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3839110A-F344-2E48-82BF-7F5E3A69E539}"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T2" i="1" l="1"/>
  <c r="BF3" i="1"/>
  <c r="BT3" i="1"/>
  <c r="BF4" i="1"/>
  <c r="BT4" i="1"/>
  <c r="BT5" i="1"/>
  <c r="BF6" i="1"/>
  <c r="BT6" i="1"/>
  <c r="BF7" i="1"/>
  <c r="BT7" i="1"/>
  <c r="BF8" i="1"/>
  <c r="BT8" i="1"/>
  <c r="BF9" i="1"/>
  <c r="BT9" i="1"/>
  <c r="BF10" i="1"/>
  <c r="BT10" i="1"/>
  <c r="BF11" i="1"/>
  <c r="BT11" i="1"/>
  <c r="BF12" i="1"/>
  <c r="BT12" i="1"/>
  <c r="BF13" i="1"/>
  <c r="BT13" i="1"/>
  <c r="BF14" i="1"/>
  <c r="BT14" i="1"/>
  <c r="BT15" i="1"/>
  <c r="BF16" i="1"/>
  <c r="BT16" i="1"/>
  <c r="BF17" i="1"/>
  <c r="BT17" i="1"/>
  <c r="BF18" i="1"/>
  <c r="BT18" i="1"/>
  <c r="BF19" i="1"/>
  <c r="BT19" i="1"/>
  <c r="BF20" i="1"/>
  <c r="BT20" i="1"/>
  <c r="BF21" i="1"/>
  <c r="BT21" i="1"/>
  <c r="BF22" i="1"/>
  <c r="BT22" i="1"/>
  <c r="BF23" i="1"/>
  <c r="BT23" i="1"/>
  <c r="BF24" i="1"/>
  <c r="BT24"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T41" i="1"/>
  <c r="BF42" i="1"/>
  <c r="BT42" i="1"/>
  <c r="BF43" i="1"/>
  <c r="BT43" i="1"/>
  <c r="BF44" i="1"/>
  <c r="BT44" i="1"/>
  <c r="BF45" i="1"/>
  <c r="BT45" i="1"/>
  <c r="BF46" i="1"/>
  <c r="BT46" i="1"/>
  <c r="BF47" i="1"/>
  <c r="BT47" i="1"/>
  <c r="BF48" i="1"/>
  <c r="BT48" i="1"/>
  <c r="BF49" i="1"/>
  <c r="BT49" i="1"/>
  <c r="BF50" i="1"/>
  <c r="BT50" i="1"/>
  <c r="BF51" i="1"/>
  <c r="BT51" i="1"/>
  <c r="BF52" i="1"/>
  <c r="BT52"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T118" i="1"/>
  <c r="BF119" i="1"/>
  <c r="BT119" i="1"/>
  <c r="BF120" i="1"/>
  <c r="BT120" i="1"/>
  <c r="BF121" i="1"/>
  <c r="BT121" i="1"/>
  <c r="BF122" i="1"/>
  <c r="BT122" i="1"/>
  <c r="BF123" i="1"/>
  <c r="BT123" i="1"/>
  <c r="BF124" i="1"/>
  <c r="BT124" i="1"/>
  <c r="BF125" i="1"/>
  <c r="BT125" i="1"/>
  <c r="BF126" i="1"/>
  <c r="BT126" i="1"/>
  <c r="BF127" i="1"/>
  <c r="BT127" i="1"/>
  <c r="BT128" i="1"/>
  <c r="BF129" i="1"/>
  <c r="BT129" i="1"/>
  <c r="BF130" i="1"/>
  <c r="BT130" i="1"/>
  <c r="BF131" i="1"/>
  <c r="BT131" i="1"/>
  <c r="BF132" i="1"/>
  <c r="BT132" i="1"/>
  <c r="BF133" i="1"/>
  <c r="BT133" i="1"/>
  <c r="BF134" i="1"/>
  <c r="BT134" i="1"/>
  <c r="BF135" i="1"/>
  <c r="BT135" i="1"/>
  <c r="BF136" i="1"/>
  <c r="BT136" i="1"/>
  <c r="BF137" i="1"/>
  <c r="BT137" i="1"/>
  <c r="BF138" i="1"/>
  <c r="BT138"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T165"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T181" i="1"/>
  <c r="BT182" i="1"/>
  <c r="BT183" i="1"/>
  <c r="BT184" i="1"/>
  <c r="BT185" i="1"/>
  <c r="BT186" i="1"/>
  <c r="BT187" i="1"/>
  <c r="BT188"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F255"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T306" i="1"/>
  <c r="BF307" i="1"/>
  <c r="BT307" i="1"/>
  <c r="BF308" i="1"/>
  <c r="BT308"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T344" i="1"/>
  <c r="BF345" i="1"/>
  <c r="BT345" i="1"/>
  <c r="BF346" i="1"/>
  <c r="BT346" i="1"/>
  <c r="BF347" i="1"/>
  <c r="BT347" i="1"/>
  <c r="BF348" i="1"/>
  <c r="BT348" i="1"/>
  <c r="BF349" i="1"/>
  <c r="BT349" i="1"/>
  <c r="BF350" i="1"/>
  <c r="BT350" i="1"/>
  <c r="BF351" i="1"/>
  <c r="BT351" i="1"/>
  <c r="BF352" i="1"/>
  <c r="BT352" i="1"/>
  <c r="BT353" i="1"/>
  <c r="BF354" i="1"/>
  <c r="BT354" i="1"/>
  <c r="BT355" i="1"/>
  <c r="BF356" i="1"/>
  <c r="BT356" i="1"/>
  <c r="BF357" i="1"/>
  <c r="BT357" i="1"/>
  <c r="BF358" i="1"/>
  <c r="BT358" i="1"/>
  <c r="BF359" i="1"/>
  <c r="BT359" i="1"/>
  <c r="BF360" i="1"/>
  <c r="BT360" i="1"/>
  <c r="BF361" i="1"/>
  <c r="BT361"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T455" i="1"/>
  <c r="BF456" i="1"/>
  <c r="BT456" i="1"/>
  <c r="BF457" i="1"/>
  <c r="BT457" i="1"/>
  <c r="BF458" i="1"/>
  <c r="BT458" i="1"/>
  <c r="BF459" i="1"/>
  <c r="BT459"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T597" i="1"/>
  <c r="BF598" i="1"/>
  <c r="BT598" i="1"/>
  <c r="BF599" i="1"/>
  <c r="BT599" i="1"/>
  <c r="BF600" i="1"/>
  <c r="BT600" i="1"/>
  <c r="BF601" i="1"/>
  <c r="BT601" i="1"/>
  <c r="BF602" i="1"/>
  <c r="BT602" i="1"/>
  <c r="BF603" i="1"/>
  <c r="BT603"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T616" i="1"/>
  <c r="BF617" i="1"/>
  <c r="BT617" i="1"/>
  <c r="BF618" i="1"/>
  <c r="BT618" i="1"/>
  <c r="BF619" i="1"/>
  <c r="BT619" i="1"/>
  <c r="BF620" i="1"/>
  <c r="BT620" i="1"/>
  <c r="BF621" i="1"/>
  <c r="BT621" i="1"/>
  <c r="BF622" i="1"/>
  <c r="BT622" i="1"/>
  <c r="BF623" i="1"/>
  <c r="BT623" i="1"/>
  <c r="BT624"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T638" i="1"/>
  <c r="BF639" i="1"/>
  <c r="BT639" i="1"/>
  <c r="BF640" i="1"/>
  <c r="BT640" i="1"/>
  <c r="BT641" i="1"/>
  <c r="BF642" i="1"/>
  <c r="BT642" i="1"/>
  <c r="BF643" i="1"/>
  <c r="BT643" i="1"/>
  <c r="BT644" i="1"/>
  <c r="BT645" i="1"/>
  <c r="BF646" i="1"/>
  <c r="BT646" i="1"/>
  <c r="BT647" i="1"/>
  <c r="BT648" i="1"/>
  <c r="BT649" i="1"/>
  <c r="BF650" i="1"/>
  <c r="BT650" i="1"/>
  <c r="BT651" i="1"/>
  <c r="BF652" i="1"/>
  <c r="BT652" i="1"/>
  <c r="BF653" i="1"/>
  <c r="BT653" i="1"/>
  <c r="BF654" i="1"/>
  <c r="BT654" i="1"/>
  <c r="BT655" i="1"/>
  <c r="BT656" i="1"/>
  <c r="BT657" i="1"/>
  <c r="BF658" i="1"/>
  <c r="BT658" i="1"/>
  <c r="BF659" i="1"/>
  <c r="BT659" i="1"/>
  <c r="BF660" i="1"/>
  <c r="BT660" i="1"/>
  <c r="BT661" i="1"/>
  <c r="BT662" i="1"/>
  <c r="BT663" i="1"/>
  <c r="BT664" i="1"/>
  <c r="BF665" i="1"/>
  <c r="BT665" i="1"/>
  <c r="BF666" i="1"/>
  <c r="BT666" i="1"/>
  <c r="BF667" i="1"/>
  <c r="BT667" i="1"/>
  <c r="BT668" i="1"/>
  <c r="BT669" i="1"/>
  <c r="BT670" i="1"/>
  <c r="BT671" i="1"/>
  <c r="BT672" i="1"/>
  <c r="BT673" i="1"/>
  <c r="BF674" i="1"/>
  <c r="BT674" i="1"/>
  <c r="BT675" i="1"/>
  <c r="BT676" i="1"/>
  <c r="BT677" i="1"/>
  <c r="BF678" i="1"/>
  <c r="BT678" i="1"/>
  <c r="BF679" i="1"/>
  <c r="BT679" i="1"/>
  <c r="BF680" i="1"/>
  <c r="BT680" i="1"/>
  <c r="BF681" i="1"/>
  <c r="BT681" i="1"/>
  <c r="BF682" i="1"/>
  <c r="BT682" i="1"/>
  <c r="BF683" i="1"/>
  <c r="BT683" i="1"/>
  <c r="BF684" i="1"/>
  <c r="BT684" i="1"/>
  <c r="BF685" i="1"/>
  <c r="BT685" i="1"/>
  <c r="BF686" i="1"/>
  <c r="BT686" i="1"/>
  <c r="BF687" i="1"/>
  <c r="BT687" i="1"/>
  <c r="BT688" i="1"/>
  <c r="BF689" i="1"/>
  <c r="BT689" i="1"/>
  <c r="BF690" i="1"/>
  <c r="BT690" i="1"/>
  <c r="BF691" i="1"/>
  <c r="BT691" i="1"/>
  <c r="BF692" i="1"/>
  <c r="BT692" i="1"/>
  <c r="BF693" i="1"/>
  <c r="BT693" i="1"/>
  <c r="BF694" i="1"/>
  <c r="BT694" i="1"/>
  <c r="BF695" i="1"/>
  <c r="BT695" i="1"/>
  <c r="BF696" i="1"/>
  <c r="BT696" i="1"/>
  <c r="BF697" i="1"/>
  <c r="BT697" i="1"/>
  <c r="BT698" i="1"/>
  <c r="BF699" i="1"/>
  <c r="BT699" i="1"/>
  <c r="BF700" i="1"/>
  <c r="BT700"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T729" i="1"/>
  <c r="BT730" i="1"/>
  <c r="BT731" i="1"/>
  <c r="BT732" i="1"/>
  <c r="BT733" i="1"/>
  <c r="BF734" i="1"/>
  <c r="BT734" i="1"/>
  <c r="BF735" i="1"/>
  <c r="BT735" i="1"/>
  <c r="BF736" i="1"/>
  <c r="BT736" i="1"/>
  <c r="BF737" i="1"/>
  <c r="BT737" i="1"/>
  <c r="BF738" i="1"/>
  <c r="BT738"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T759" i="1"/>
  <c r="BT760" i="1"/>
  <c r="BF761" i="1"/>
  <c r="BT761" i="1"/>
  <c r="BT762" i="1"/>
  <c r="BT763" i="1"/>
  <c r="BF764" i="1"/>
  <c r="BT764" i="1"/>
  <c r="BF765" i="1"/>
  <c r="BT765" i="1"/>
  <c r="BF766" i="1"/>
  <c r="BT766" i="1"/>
  <c r="BT767" i="1"/>
  <c r="BF768" i="1"/>
  <c r="BT768" i="1"/>
  <c r="BF769" i="1"/>
  <c r="BT769" i="1"/>
  <c r="BF770" i="1"/>
  <c r="BT770" i="1"/>
  <c r="BF771" i="1"/>
  <c r="BT771" i="1"/>
  <c r="BF772" i="1"/>
  <c r="BT772" i="1"/>
  <c r="BF773" i="1"/>
  <c r="BT773" i="1"/>
  <c r="BF774" i="1"/>
  <c r="BT774" i="1"/>
  <c r="BT775" i="1"/>
  <c r="BF776" i="1"/>
  <c r="BT776" i="1"/>
  <c r="BF777" i="1"/>
  <c r="BT777"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T799" i="1"/>
  <c r="BT800" i="1"/>
  <c r="BF801" i="1"/>
  <c r="BT801" i="1"/>
  <c r="BF802" i="1"/>
  <c r="BT802" i="1"/>
  <c r="BF803" i="1"/>
  <c r="BT803" i="1"/>
  <c r="BF804" i="1"/>
  <c r="BT804" i="1"/>
  <c r="BF805" i="1"/>
  <c r="BT805" i="1"/>
  <c r="BF806" i="1"/>
  <c r="BT806" i="1"/>
  <c r="BF807" i="1"/>
  <c r="BT807" i="1"/>
  <c r="BF808" i="1"/>
  <c r="BT808"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T869" i="1"/>
  <c r="BF870" i="1"/>
  <c r="BT870" i="1"/>
  <c r="BF871" i="1"/>
  <c r="BT871" i="1"/>
  <c r="BT872" i="1"/>
  <c r="BF873" i="1"/>
  <c r="BT873" i="1"/>
  <c r="BT874" i="1"/>
  <c r="BT875" i="1"/>
  <c r="BT876" i="1"/>
  <c r="BT877" i="1"/>
  <c r="BT878" i="1"/>
  <c r="BT879" i="1"/>
  <c r="BT880" i="1"/>
  <c r="BT881" i="1"/>
  <c r="BT882" i="1"/>
  <c r="BT883" i="1"/>
  <c r="BT884"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T908" i="1"/>
  <c r="BF909" i="1"/>
  <c r="BT909" i="1"/>
  <c r="BF910" i="1"/>
  <c r="BT910" i="1"/>
  <c r="BF911" i="1"/>
  <c r="BT911" i="1"/>
  <c r="BF912" i="1"/>
  <c r="BT912" i="1"/>
  <c r="BF913" i="1"/>
  <c r="BT913" i="1"/>
  <c r="BF914" i="1"/>
  <c r="BT914" i="1"/>
  <c r="BF915" i="1"/>
  <c r="BT915" i="1"/>
  <c r="BF916" i="1"/>
  <c r="BT916" i="1"/>
  <c r="BF917" i="1"/>
  <c r="BT917" i="1"/>
  <c r="BT918" i="1"/>
  <c r="BF919" i="1"/>
  <c r="BT919" i="1"/>
  <c r="BT920" i="1"/>
  <c r="BF921" i="1"/>
  <c r="BT921" i="1"/>
  <c r="BF922" i="1"/>
  <c r="BT922" i="1"/>
  <c r="BF923" i="1"/>
  <c r="BT923" i="1"/>
  <c r="BF924" i="1"/>
  <c r="BT924" i="1"/>
  <c r="BF925" i="1"/>
  <c r="BT925"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<sst xmlns="http://schemas.openxmlformats.org/spreadsheetml/2006/main" count="59774" uniqueCount="18289">
  <si>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</si>
  <si>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</si>
  <si>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</si>
  <si>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</si>
  <si>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</si>
  <si>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</si>
  <si>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</si>
  <si>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</si>
  <si>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</si>
  <si>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</si>
  <si>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</si>
  <si>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</si>
  <si>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</si>
  <si>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</si>
  <si>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</si>
  <si>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</si>
  <si>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</si>
  <si>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</si>
  <si>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</si>
  <si>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</si>
  <si>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</si>
  <si>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</si>
  <si>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</si>
  <si>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</si>
  <si>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</si>
  <si>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</si>
  <si>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</si>
  <si>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</si>
  <si>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</si>
  <si>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</si>
  <si>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</si>
  <si>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</si>
  <si>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</si>
  <si>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</si>
  <si>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</si>
  <si>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</si>
  <si>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</si>
  <si>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</si>
  <si>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</si>
  <si>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</si>
  <si>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</si>
  <si>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</si>
  <si>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</si>
  <si>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</si>
  <si>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</si>
  <si>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</si>
  <si>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</si>
  <si>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</si>
  <si>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</si>
  <si>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</si>
  <si>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</si>
  <si>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</si>
  <si>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</si>
  <si>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</si>
  <si>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</si>
  <si>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</si>
  <si>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</si>
  <si>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</si>
  <si>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</si>
  <si>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</si>
  <si>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</si>
  <si>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</si>
  <si>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</si>
  <si>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</si>
  <si>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</si>
  <si>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</si>
  <si>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</si>
  <si>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</si>
  <si>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</si>
  <si>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</si>
  <si>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</si>
  <si>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</si>
  <si>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</si>
  <si>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D'Acoz, CD; Havermans, C</t>
  </si>
  <si>
    <t/>
  </si>
  <si>
    <t>D'Acoz, Cedric D'Udekem; Havermans, Charlotte</t>
  </si>
  <si>
    <t>Two new Pseudorchomene species from the Southern Ocean, with phylogenetic remarks on the genus and related species (Crustacea: Amphipoda: Lysianassoidea: Lysianassidae: Tryphosinae)</t>
  </si>
  <si>
    <t>ZOOTAXA</t>
  </si>
  <si>
    <t>English</t>
  </si>
  <si>
    <t>Article</t>
  </si>
  <si>
    <t>Amphipoda; Lysianassoidea; Pseudorchomene; Abyssorchomene; Tryphosa; Southern Ocean; systematics; new species</t>
  </si>
  <si>
    <t>NANUS KROYER AMPHIPODA; MCMURDO SOUND; ROSS SEA; ATLANTIC; GAMMARIDEA; SCAVENGER; FAMILY; SHELF; ICE</t>
  </si>
  <si>
    <t>Two new lysianassoid amphipods of the genus Pseudorchomene Schellenberg, 1926 from the Southern Ocean are described: P. debroyeri sp. n. collected in baited traps deployed around the Falkland Islands, Burdwood Bank and Iles Kerguelen between 55 and 470 m, and P. lophorachis sp. n. collected in baited traps and Agassiz trawls deployed in the Scotia and Weddell Seas at depths between 847 and 1943 m. P. lophorachis sp. n. is characterized by an strongly elongated first gnathopod and by the occurrence of low posterodorsal humps on the body segments. P. debroyeri sp. n. is very similar to P. coatsi (Chilton, 1912) but exhibits slight differences of proportions in the articles of gnathopods 1 and 2, more spines on pereopods and more acute spines on the propodus of pereopods 3-7. Molecular data indicate the existence of a well-defined clade comprising P. lophorachis sp. n., P. debroyeri sp. n., P. coatsi (Chilton, 1912), Abyssorchomene plebs (Hurley, 1965) and A. rossi (Walker, 1903). On the other hand, A. plebs and A. rossi do not form a clade with A. chevreuxi (Stebbing, 1906), which is the type species of the genus Abyssorchomene De Broyer, 1984. The definition of Pseudorchomene is amended, so that it now includes P. coatsi, P. debroyeri, P. lophorachis, P. plebs and P. rossi. The triangular coxa 1 in these 5 species is unique for 'orchomenid' lysianassoids, thus considered as a putative synapomorphy. P. coatsi (Antarctic species) is morphologically extremely similar to P. debroyeri (sub-Antarctic species) but it is genetically closer to the morphologically distinct P. lophorachis (Antarctic species). Hypotheses for these recent speciations and the morphological evolution within Pseudorchomene are discussed. The type species and the nomenclatural history of the genus Tryphosa Boeck, 1871, which is the type genus of the subfamily Tryphosinae, are discussed.</t>
  </si>
  <si>
    <t>[D'Acoz, Cedric D'Udekem; Havermans, Charlotte] Royal Belgian Inst Nat Sci, B-1000 Brussels, Belgium; [Havermans, Charlotte] Catholic Univ Louvain, Marine Biol Lab, B-1348 Louvain, Belgium</t>
  </si>
  <si>
    <t>Royal Belgian Institute of Natural Sciences; Universite Catholique Louvain</t>
  </si>
  <si>
    <t>D'Acoz, CD (corresponding author), Royal Belgian Inst Nat Sci, Rue Vautier 29, B-1000 Brussels, Belgium.</t>
  </si>
  <si>
    <t>Cedric.Dudekem@naturalsciences.be; charlotte.havermans@naturalsciences.be</t>
  </si>
  <si>
    <t>Havermans, Charlotte/0000-0002-1126-4074</t>
  </si>
  <si>
    <t>Belgian Science Policy; Action I grant [MO/36/022]; Action II grant [WI/36/H04]; Joint Experimental Molecular Unit; National Science Foundation [OPP 01-32032]</t>
  </si>
  <si>
    <t>Belgian Science Policy(Belgian Federal Science Policy Office); Action I grant; Action II grant; Joint Experimental Molecular Unit; National Science Foundation(National Science Foundation (NSF))</t>
  </si>
  <si>
    <t>Both authors were supported by the Belgian Science Policy, the first author by an Action I grant (contract number MO/36/022) and the second author by an Action II grant (contract number WI/36/H04). The study was performed in the framework of the Scientific Research Programme on the Antarctic (BIANZO II project) and funding for genetic analyses was provided by the Joint Experimental Molecular Unit (project BARCOLYS), both supported by the Belgian Science Policy. Special thanks to CAML and to Dr. Dirk Steinke of the University of Guelph for facilitating COI sequencing through Marine Barcode of Life under the barcode project Amphipods of the Southern Ocean. We thank the Alfred Wegener Institute of Polar and Marine Research, Bremerhaven, for the invitation to participate to the expeditions ANT XV-3, ANT XIX-5, ANDEEP I-II-III and ANT XXIII-8, and the crew of the R/V Polarstern for their professional help during the cruises. The present work was also partly based on samples collected during the ICEFISH 2004 cruise (supported by National Science Foundation grant OPP 01-32032 to H. William Detrich (Northestern University) and we thank Christoph Held for putting this material at our disposal. We thank the crew of the Ivan Papanin and Henri Robert for sampling during the BELARE cruise. We are deeply indebted to Michael Thurston (National Oceanography Centre, Southampton) for his careful review of the paper and for his important contribution to the reconstruction of the 'Tryphosa saga'. Peter K. L. Ng (National University of Singapore) and Sammy De Grave (Oxford University Museum of Natural History) are also acknowledged for their comments on the Tryphosa issue. Some valuable suggestions on the manuscript have been proposed by Patrick Martin (RBINS). This paper is registered as CAML (Census of Antarctic Marine Life) publication No. 76 and the contribution No. 158 to ANDEEP.</t>
  </si>
  <si>
    <t>MAGNOLIA PRESS</t>
  </si>
  <si>
    <t>AUCKLAND</t>
  </si>
  <si>
    <t>250F Marua Road Mt Wellington, AUCKLAND, ST LUKES 1023, NEW ZEALAND</t>
  </si>
  <si>
    <t>1175-5326</t>
  </si>
  <si>
    <t>1175-5334</t>
  </si>
  <si>
    <t>Zootaxa</t>
  </si>
  <si>
    <t>MAY 11</t>
  </si>
  <si>
    <t>Zoology</t>
  </si>
  <si>
    <t>Science Citation Index Expanded (SCI-EXPANDED)</t>
  </si>
  <si>
    <t>944BT</t>
  </si>
  <si>
    <t>2024-04-21</t>
  </si>
  <si>
    <t>WOS:000304174100001</t>
  </si>
  <si>
    <t>Andersson, ME; Verronen, PT; Wang, SH; Rodger, CJ; Clilverd, MA; Carson, BR</t>
  </si>
  <si>
    <t>Andersson, Monika E.; Verronen, Pekka T.; Wang, Shuhui; Rodger, Craig J.; Clilverd, Mark A.; Carson, Bonar R.</t>
  </si>
  <si>
    <t>Precipitating radiation belt electrons and enhancements of mesospheric hydroxyl during 2004-2009</t>
  </si>
  <si>
    <t>JOURNAL OF GEOPHYSICAL RESEARCH-ATMOSPHERES</t>
  </si>
  <si>
    <t>NORTHERN-HEMISPHERE; MIDDLE ATMOSPHERE; JANUARY 2005; SOLAR; VARIABILITY; SATELLITE; EVENTS</t>
  </si>
  <si>
    <t>Energetic particle precipitation leads to enhancement of odd hydrogen (HOx) below 80 km altitude through water cluster ion chemistry. Using measurements from the Microwave Limb Sounder (MLS/Aura) and Medium Energy Proton and Electron Detector (MEPED/POES) between 2004-2009, we study variations of nighttime OH caused by radiation belt electrons at geomagnetic latitudes 55-65 degrees. For those months with daily mean 100-300 keV electron count rate exceeding 150 counts/s in the outer radiation belt, we find a strong correlation (r &gt;= 0.6) between OH mixing ratios at 70-78 km (0.046-0.015 hPa) and precipitating electrons. Correlations r &gt;= 0.35, corresponding to random chance probability p &lt;= 5%, are observed down to52 km (0.681 hPa), while no clear correlation is observed at altitudes below. This suggests that the fluxes of &gt;= 3 MeV electrons were not high enough to cause observable changes in OH mixing ratios. At 75 km, in about 34% of the 65 months analyzed we find a correlation r &gt;= 0.35. Although similar results are obtained for both hemispheres in general, in some cases the differences in atmospheric conditions make the OH response more difficult to detect in the South. Considering the latitude extent of electron forcing, we find clear effects on OH at magnetic latitudes 55-72 degrees, while the lower latitudes are influenced much less. Because the time period 2004-2009 analyzed here coincided with an extended solar minimum, and the year 2009 was anomalously quiet, it is reasonable to assume that our results provide a lower-limit estimation of the importance of energetic electron precipitation at the latitudes considered.</t>
  </si>
  <si>
    <t>[Andersson, Monika E.; Verronen, Pekka T.] Finnish Meteorol Inst, Earth Observat Unit, FI-00101 Helsinki, Finland; [Wang, Shuhui] CALTECH, Jet Prop Lab, Pasadena, CA USA; [Rodger, Craig J.; Carson, Bonar R.] Univ Otago, Dept Phys, Dunedin, New Zealand; [Clilverd, Mark A.] British Antarctic Survey, NERC, Cambridge CB3 0ET, England</t>
  </si>
  <si>
    <t>Finnish Meteorological Institute; National Aeronautics &amp; Space Administration (NASA); NASA Jet Propulsion Laboratory (JPL); California Institute of Technology; University of Otago; UK Research &amp; Innovation (UKRI); Natural Environment Research Council (NERC); NERC British Antarctic Survey</t>
  </si>
  <si>
    <t>Andersson, ME (corresponding author), Finnish Meteorol Inst, Earth Observat Unit, Erik Palmenin Aukio 1,POB 503, FI-00101 Helsinki, Finland.</t>
  </si>
  <si>
    <t>monika.andersson@fmi.fi</t>
  </si>
  <si>
    <t>Verronen, P. T./AIE-0203-2022; Szelag, Monika Ewa/AAH-3529-2019; Verronen, Pekka T/G-6658-2014; Rodger, Craig/A-1501-2011</t>
  </si>
  <si>
    <t>Verronen, P. T./0000-0002-3479-9071; Szelag, Monika Ewa/0000-0002-8501-3366; Rodger, Craig J./0000-0002-6770-2707</t>
  </si>
  <si>
    <t>Academy of Finland [136225, 140888]; National Aeronautics and Space Administration; New Zealand Marsden Fund; NERC [bas0100023] Funding Source: UKRI; Natural Environment Research Council [bas0100023] Funding Source: researchfish; Academy of Finland (AKA) [136225, 140888] Funding Source: Academy of Finland (AKA)</t>
  </si>
  <si>
    <t>Academy of Finland(Research Council of Finland); National Aeronautics and Space Administration(National Aeronautics &amp; Space Administration (NASA)); New Zealand Marsden Fund(Royal Society of New ZealandMarsden Fund (NZ)); NERC(UK Research &amp; Innovation (UKRI)Natural Environment Research Council (NERC)); Natural Environment Research Council(UK Research &amp; Innovation (UKRI)Natural Environment Research Council (NERC)); Academy of Finland (AKA)(Research Council of Finland)</t>
  </si>
  <si>
    <t>M.E.A. would like to thank Marko Laine and Sanna-Mari Paivarinta for helpful comments. M. E. A., C.J.R., and M. A. C. would like to thank the International Space Science Institute (ISSI) of Bern, Switzerland, for providing the environment in which this paper could be completed. The work of M. E. A. and P. T. V. was supported by the Academy of Finland through the projects 136225 and 140888 (SPOC: Significance of Energetic Electron Precipitation to Odd Hydrogen, Ozone, and Climate). Research at the Jet Propulsion Laboratory, California Institute of Technology, is performed under contract with the National Aeronautics and Space Administration. C.J.R. was supported by the New Zealand Marsden Fund.</t>
  </si>
  <si>
    <t>AMER GEOPHYSICAL UNION</t>
  </si>
  <si>
    <t>WASHINGTON</t>
  </si>
  <si>
    <t>2000 FLORIDA AVE NW, WASHINGTON, DC 20009 USA</t>
  </si>
  <si>
    <t>2169-897X</t>
  </si>
  <si>
    <t>2169-8996</t>
  </si>
  <si>
    <t>J GEOPHYS RES-ATMOS</t>
  </si>
  <si>
    <t>J. Geophys. Res.-Atmos.</t>
  </si>
  <si>
    <t>MAY 10</t>
  </si>
  <si>
    <t>D09304</t>
  </si>
  <si>
    <t>10.1029/2011JD017246</t>
  </si>
  <si>
    <t>Meteorology &amp; Atmospheric Sciences</t>
  </si>
  <si>
    <t>941ZN</t>
  </si>
  <si>
    <t>Bronze, Green Accepted</t>
  </si>
  <si>
    <t>WOS:000304008900003</t>
  </si>
  <si>
    <t>Hellmer, HH; Kauker, F; Timmermann, R; Determann, J; Rae, J</t>
  </si>
  <si>
    <t>Hellmer, Hartmut H.; Kauker, Frank; Timmermann, Ralph; Determann, Juergen; Rae, Jamie</t>
  </si>
  <si>
    <t>Twenty-first-century warming of a large Antarctic ice-shelf cavity by a redirected coastal current</t>
  </si>
  <si>
    <t>NATURE</t>
  </si>
  <si>
    <t>PINE ISLAND GLACIER; SEA-ICE; WEDDELL SEA; OCEAN CIRCULATION; NUMERICAL-MODEL; COUPLED MODEL; TRANSPORT; DEEP</t>
  </si>
  <si>
    <t>The Antarctic ice sheet loses mass at its fringes bordering the Southern Ocean. At this boundary, warm circumpolar water can override the continental slope front, reaching the grounding line(1,2) through submarine glacial troughs and causing high rates of melting at the deep ice-shelf bases(3,4). The interplay between ocean currents and continental bathymetry is therefore likely to influence future rates of ice-mass loss. Here we show that a redirection of the coastal current into the Filchner Trough and underneath the Filchner-Ronne Ice Shelf during the second half of the twenty-first century would lead to increased movement of warm waters into the deep southern ice-shelf cavity. Water temperatures in the cavity would increase by more than 2 degrees Celsius and boost average basal melting from 0.2 metres, or 82 billion tonnes, per year to almost 4 metres, or 1,600 billion tonnes, per year. Our results, which are based on the output of a coupled ice-ocean model forced by a range of atmospheric outputs from the HadCM3(5) climate model, suggest that the changes would be caused primarily by an increase in ocean surface stress in the southeastern Weddell Sea due to thinning of the formerly consolidated sea-ice cover. The projected ice loss at the base of the Filchner-Ronne Ice Shelf represents 80 per cent of the present Antarctic surface mass balance(6). Thus, the quantification of basal mass loss under changing climate conditions is important for projections regarding the dynamics of Antarctic ice streams and ice shelves, and global sea level rise.</t>
  </si>
  <si>
    <t>[Hellmer, Hartmut H.; Kauker, Frank; Timmermann, Ralph; Determann, Juergen] Alfred Wegener Inst Polar &amp; Marine Res, D-27570 Bremerhaven, Germany; [Kauker, Frank] OASys, D-22767 Hamburg, Germany; [Rae, Jamie] Met Off Hadley Ctr, Exeter EX1 3PB, Devon, England</t>
  </si>
  <si>
    <t>Helmholtz Association; Alfred Wegener Institute, Helmholtz Centre for Polar &amp; Marine Research; Met Office - UK; Hadley Centre</t>
  </si>
  <si>
    <t>Hellmer, HH (corresponding author), Alfred Wegener Inst Polar &amp; Marine Res, D-27570 Bremerhaven, Germany.</t>
  </si>
  <si>
    <t>hartmut.hellmer@awi.de</t>
  </si>
  <si>
    <t>Macario, Ana/0000-0003-3747-793X; Hellmer, Hartmut/0000-0002-9357-9853</t>
  </si>
  <si>
    <t>European Union [226375]</t>
  </si>
  <si>
    <t>European Union(European Union (EU))</t>
  </si>
  <si>
    <t>We thank C. Wubber and W. Cohrs for providing stable computer facilities at the Alfred-Wegener-Institute for Polar and Marine Research; the Ice2Sea community for discussions during project meetings; and J. Ridley, M. Martin and A. Levermann for comments on the manuscript. This work was supported by funding to the Ice2Sea programme from the European Union Seventh Framework Programme, grant number 226375. This is Ice2Sea contribution number 41.</t>
  </si>
  <si>
    <t>NATURE PUBLISHING GROUP</t>
  </si>
  <si>
    <t>LONDON</t>
  </si>
  <si>
    <t>MACMILLAN BUILDING, 4 CRINAN ST, LONDON N1 9XW, ENGLAND</t>
  </si>
  <si>
    <t>0028-0836</t>
  </si>
  <si>
    <t>1476-4687</t>
  </si>
  <si>
    <t>Nature</t>
  </si>
  <si>
    <t>10.1038/nature11064</t>
  </si>
  <si>
    <t>Multidisciplinary Sciences</t>
  </si>
  <si>
    <t>Science &amp; Technology - Other Topics</t>
  </si>
  <si>
    <t>939HJ</t>
  </si>
  <si>
    <t>Green Submitted</t>
  </si>
  <si>
    <t>WOS:000303799800038</t>
  </si>
  <si>
    <t>Stoddart, HE; Lowry, JK</t>
  </si>
  <si>
    <t>Stoddart, H. E.; Lowry, J. K.</t>
  </si>
  <si>
    <t>Revision of the lysianassoid genera Acidostoma and Shackletonia (Crustacea: Amphipoda: Acidostomatidae fam. nov.)</t>
  </si>
  <si>
    <t>Crustacea; Amphipoda; Lysianassidae; Acidostomatidae; Australia; taxonomy; new species</t>
  </si>
  <si>
    <t>FAUNA; COAST; AREA</t>
  </si>
  <si>
    <t>The new lysianassoid amphipod family Acidostomatidae is described for the widespread genus Acidostoma Lilljeborg, 1865 and the endemic Antarctic genus Shackletonia K.H. Barnard, 1931. All species of Acidostoma are described including three new species. Acidostoma obesum (Bate &amp; Westwood, 1861) is discussed in detail.</t>
  </si>
  <si>
    <t>[Stoddart, H. E.; Lowry, J. K.] Australian Museum, Crustacea Sect, Sydney, NSW 2010, Australia</t>
  </si>
  <si>
    <t>Australian Museum</t>
  </si>
  <si>
    <t>Stoddart, HE (corresponding author), Australian Museum, Crustacea Sect, 6 Coll St, Sydney, NSW 2010, Australia.</t>
  </si>
  <si>
    <t>helen.stoddart@austmus.gov.au; jim.lowry@austmus.gov.au</t>
  </si>
  <si>
    <t>ARC; ABRS</t>
  </si>
  <si>
    <t>ARC(Australian Research Council); ABRS</t>
  </si>
  <si>
    <t>We thank all the museum Collection Managers involved for the loan and processing of material used in this study; Enrique Macpherson for the gift of Namibian material; Ty Hibberd (Australian Antarctic Division, Tasmania) for the loan of the east Antarctic Shackletonia material; and Arundathi Bopiah, Stephen Keable, Rachael Peart and Roger Springthorpe for drawing and producing our plates. The study was initially funded by ARC and more recently by ABRS which has allowed Helen Stoddart's participation.</t>
  </si>
  <si>
    <t>940LG</t>
  </si>
  <si>
    <t>WOS:000303890400001</t>
  </si>
  <si>
    <t>Orsi, AJ; Cornuelle, BD; Severinghaus, JP</t>
  </si>
  <si>
    <t>Orsi, Anais J.; Cornuelle, Bruce D.; Severinghaus, Jeffrey P.</t>
  </si>
  <si>
    <t>Little Ice Age cold interval in West Antarctica: Evidence from borehole temperature at the West Antarctic Ice Sheet (WAIS) Divide</t>
  </si>
  <si>
    <t>GEOPHYSICAL RESEARCH LETTERS</t>
  </si>
  <si>
    <t>CENTRAL GREENLAND; SOUTHERN-OCEAN; CLIMATE-CHANGE; MOVEMENT; SURFACE; AIR</t>
  </si>
  <si>
    <t>The largest climate anomaly of the last 1000 years in the Northern Hemisphere was the Little Ice Age (LIA) from 1400-1850 C. E., but little is known about the signature of this event in the Southern Hemisphere, especially in Antarctica. We present temperature data from a 300 m borehole at the West Antarctic Ice Sheet (WAIS) Divide. Results show that WAIS Divide was colder than the last 1000-year average from 1300 to 1800 C.E. The temperature in the time period 1400-1800 C.E. was on average 0.52 +/- 0.28 degrees C colder than the last 100-year average. This amplitude is about half of that seen at Greenland Summit (GRIP). This result is consistent with the idea that the LIA was a global event, probably caused by a change in solar and volcanic forcing, and was not simply a seesaw-type redistribution of heat between the hemispheres as would be predicted by some ocean-circulation hypotheses. The difference in the magnitude of the LIA between Greenland and West Antarctica suggests that the feedbacks amplifying the radiative forcing may not operate in the same way in both regions. Citation: Orsi, A. J., B. D. Cornuelle, and J. P. Severinghaus (2012), Little Ice Age cold interval in West Antarctica: Evidence from borehole temperature at the West Antarctic Ice Sheet (WAIS) Divide, Geophys. Res. Lett., 39, L09710, doi: 10.1029/2012GL051260.</t>
  </si>
  <si>
    <t>[Orsi, Anais J.; Cornuelle, Bruce D.; Severinghaus, Jeffrey P.] Univ Calif San Diego, Scripps Inst Oceanog, La Jolla, CA 92037 USA</t>
  </si>
  <si>
    <t>University of California System; University of California San Diego; Scripps Institution of Oceanography</t>
  </si>
  <si>
    <t>Orsi, AJ (corresponding author), Univ Calif San Diego, Scripps Inst Oceanog, 9500 Gilman Dr, La Jolla, CA 92037 USA.</t>
  </si>
  <si>
    <t>aorsi@ucsd.edu</t>
  </si>
  <si>
    <t>Cornuelle, Bruce/0000-0003-2110-3319</t>
  </si>
  <si>
    <t>NSF [0440701, 05-38657, 0230396, 0440817, 0944348, 0944266]; NOAA [NA10OAR4320156]; Directorate For Geosciences; Office of Polar Programs (OPP) [0944348, 0440701] Funding Source: National Science Foundation; Office of Polar Programs (OPP); Directorate For Geosciences [0944266] Funding Source: National Science Foundation; Office Of The Director; Office Of Internatl Science &amp;Engineering [0968391] Funding Source: National Science Foundation</t>
  </si>
  <si>
    <t>NSF(National Science Foundation (NSF)); NOAA(National Oceanic Atmospheric Admin (NOAA) - USA); Directorate For Geosciences; Office of Polar Programs (OPP)(National Science Foundation (NSF)NSF - Directorate for Geosciences (GEO)); Office of Polar Programs (OPP); Directorate For Geosciences(National Science Foundation (NSF)NSF - Directorate for Geosciences (GEO)); Office Of The Director; Office Of Internatl Science &amp;Engineering(National Science Foundation (NSF)NSF - Office of the Director (OD))</t>
  </si>
  <si>
    <t>This work was supported by NSF grants 0440701 and 05-38657 to J.P.S, and NOAA grant NA10OAR4320156 to BDC. The authors appreciate the support of the WAIS Divide Science Coordination Office at the Desert Research Institute of Reno, Nevada, for the collection and distribution of the WAIS Divide ice core and related tasks (Kendrick Taylor, NSF grants 0230396, 0440817, 0944348; and 0944266 University of New Hampshire). The Authors thank Atsu Muto, Kurt Cuffey and an anonymous reviewer for helpful comments on the paper.</t>
  </si>
  <si>
    <t>0094-8276</t>
  </si>
  <si>
    <t>1944-8007</t>
  </si>
  <si>
    <t>GEOPHYS RES LETT</t>
  </si>
  <si>
    <t>Geophys. Res. Lett.</t>
  </si>
  <si>
    <t>MAY 9</t>
  </si>
  <si>
    <t>L09710</t>
  </si>
  <si>
    <t>10.1029/2012GL051260</t>
  </si>
  <si>
    <t>Geosciences, Multidisciplinary</t>
  </si>
  <si>
    <t>Geology</t>
  </si>
  <si>
    <t>941YM</t>
  </si>
  <si>
    <t>Bronze, Green Submitted</t>
  </si>
  <si>
    <t>WOS:000304005700003</t>
  </si>
  <si>
    <t>Dierking, W; Linow, S; Rack, W</t>
  </si>
  <si>
    <t>Dierking, W.; Linow, S.; Rack, W.</t>
  </si>
  <si>
    <t>Toward a robust retrieval of snow accumulation over the Antarctic ice sheet using satellite radar</t>
  </si>
  <si>
    <t>DRONNING MAUD LAND; SURFACE-PROPERTIES; MICROWAVE EMISSION; C-BAND; GREENLAND; BACKSCATTER; SCATTEROMETER; POLARIZATION; WAVELENGTH; SCATTERING</t>
  </si>
  <si>
    <t>The sensitivity of radar measurements to snow accumulation rate is determined by the firn volume characteristics of the ice sheets. Here we present a new approach for calculating the volume backscattering of dry firn, which is combined with recently developed empirical parameterizations of firn grain size and density as functions of depth, surface temperature, and accumulation rate. To this end, dense medium radiative transfer theory is applied to calculate the volume scattering and absorption coefficients. The coefficients for the density transition between snow and dense firn are evaluated using polynomial interpolation. For testing the method, we used measured accumulation rates, Envisat ASAR C-band wide-swath mode images, and QuikSCAT Ku-band backscattering data from Dronning Maud Land, Antarctica. The comparison between measured and simulated backscattering coefficients shows that no tuning parameter is necessary to obtain the correct absolute level of scattering intensity. The robustness of accumulation rate retrievals depends on the consideration of technical and environmental factors. Due to the presence of sastrugi on the ice sheet surface the measured intensities are sensitive to the radar look direction. Wind compaction of snow and depth hoar formation change the depth-dependent snow density and grain size profiles. Theoretical simulations revealed that the backscattering coefficient at C-band is more sensitive to changes of accumulation rates than at Ku-band. Penetration depths can vary significantly, dependent on radar frequency and firn characteristics. This has to be taken into account when comparing accumulation rates from different locations.</t>
  </si>
  <si>
    <t>[Dierking, W.; Linow, S.] Alfred Wegener Inst Polar &amp; Marine Res, Climate Sci Div, D-27570 Bremerhaven, Germany; [Rack, W.] Univ Canterbury, Ctr Antarctic Studies &amp; Res, Christchurch 1, New Zealand</t>
  </si>
  <si>
    <t>Helmholtz Association; Alfred Wegener Institute, Helmholtz Centre for Polar &amp; Marine Research</t>
  </si>
  <si>
    <t>Dierking, W (corresponding author), Alfred Wegener Inst Polar &amp; Marine Res, Climate Sci Div, D-27570 Bremerhaven, Germany.</t>
  </si>
  <si>
    <t>wolfgang.dierking@awi.de</t>
  </si>
  <si>
    <t>Rack, Wolfgang/U-8898-2017</t>
  </si>
  <si>
    <t>Rack, Wolfgang/0000-0003-2447-377X; Linow, Stefanie/0000-0001-8896-3976</t>
  </si>
  <si>
    <t>German Science Foundation [SPP-1257]; Royal Society of New Zealand; International Bureau, Federal Ministry of Education and Research, Germany [NZL 10/024]</t>
  </si>
  <si>
    <t>German Science Foundation(German Research Foundation (DFG)); Royal Society of New Zealand(Royal Society of New Zealand); International Bureau, Federal Ministry of Education and Research, Germany</t>
  </si>
  <si>
    <t>ASAR images were provided by ESA (ALOS-ADEN, ID 3741, and Cryosat-2 Cal/Val, ID 4512). S.L. was funded by the German Science Foundation (SPP-1257: Mass Transport and Mass Distribution in the Earth System). Our study was also supported by the Royal Society of New Zealand and by the International Bureau, Federal Ministry of Education and Research, Germany (project NZL 10/024).</t>
  </si>
  <si>
    <t>MAY 8</t>
  </si>
  <si>
    <t>D09110</t>
  </si>
  <si>
    <t>10.1029/2011JD017227</t>
  </si>
  <si>
    <t>941ZJ</t>
  </si>
  <si>
    <t>Bronze</t>
  </si>
  <si>
    <t>WOS:000304008300003</t>
  </si>
  <si>
    <t>Seefeldt, MW; Cassano, JJ</t>
  </si>
  <si>
    <t>Seefeldt, Mark W.; Cassano, John J.</t>
  </si>
  <si>
    <t>A description of the Ross Ice Shelf air stream (RAS) through the use of self-organizing maps (SOMs)</t>
  </si>
  <si>
    <t>MESOSCALE-PREDICTION-SYSTEM; POLAR MM5 SIMULATIONS; KATABATIC WIND REGIME; TERRA-NOVA BAY; WEST ANTARCTICA; SIPLE COAST; ATMOSPHERIC CIRCULATION; NUMERICAL-SIMULATION; CONFLUENCE ZONE; GREENLAND</t>
  </si>
  <si>
    <t>The low-level wind field across the Ross Ice Shelf region, Antarctica is studied through the method of self-organizing maps (SOMs). Emphasis is placed on identifying and characterizing the Ross Ice Shelf air stream (RAS). The RAS is a dominant northward stream of air resulting in significant transport of atmospheric mass from the interior of Antarctica. Two SOMs are created for the lowest model level (similar to 13 m) and the 5th lowest model level (similar to 150 m), from archived real-time numerical weather prediction output of the Antarctic Mesoscale Prediction System (AMPS). A verification of the SOM for the lowest model level is completed by comparing select nodes to automatic weather station wind rose plots. The winds depicted in the lowest model level SOM are dominated by the position of the cyclone in the Ross Sea and the changes in wind speeds on the Antarctic plateau. The 5th lowest model level provides a better depiction of the RAS. The RAS is found to be present primarily when associated with a cyclone in the Ross Sea. There is a strong seasonality to the RAS with the RAS occurring frequently during the winter months and rarely during the summer months. The structure and position of the RAS is strongly dependent on the position of the Ross Sea cyclone.</t>
  </si>
  <si>
    <t>[Seefeldt, Mark W.; Cassano, John J.] Univ Colorado Boulder, Cooperat Inst Res Environm Sci, Boulder, CO 80309 USA; [Cassano, John J.] Univ Colorado Boulder, Dept Atmospher &amp; Ocean Sci, Boulder, CO 80309 USA</t>
  </si>
  <si>
    <t>University of Colorado System; University of Colorado Boulder; University of Colorado System; University of Colorado Boulder</t>
  </si>
  <si>
    <t>Seefeldt, MW (corresponding author), Univ Colorado Boulder, Cooperat Inst Res Environm Sci, 216 UCB, Boulder, CO 80309 USA.</t>
  </si>
  <si>
    <t>mark.seefeldt@colorado.edu</t>
  </si>
  <si>
    <t>Seefeldt, Mark W/D-3121-2011; Cassano, John/HKW-8817-2023</t>
  </si>
  <si>
    <t>Seefeldt, Mark W/0000-0003-0719-2570;</t>
  </si>
  <si>
    <t>NSF [OPP-0229645, ANT-0636811]; University of Colorado-Cooperative Institute for Research in the Environmental Sciences; Directorate For Geosciences; Office of Polar Programs (OPP) [0943952] Funding Source: National Science Foundation</t>
  </si>
  <si>
    <t>NSF(National Science Foundation (NSF)); University of Colorado-Cooperative Institute for Research in the Environmental Sciences; Directorate For Geosciences; Office of Polar Programs (OPP)(National Science Foundation (NSF)NSF - Directorate for Geosciences (GEO))</t>
  </si>
  <si>
    <t>This work was supported in part by NSF grants OPP-0229645 and ANT-0636811. Seefeldt was supported by a University of Colorado-Cooperative Institute for Research in the Environmental Sciences Graduate Research Fellowship during the research. The AMPS data was retrieved courtesy of the National Center for Atmospheric Research-Computational and Information Systems Laboratory. The automatic weather station data was retrieved from the University of Wisconsin-Madison Antarctic Meteorology Research Center. Jonathan Thom completed post-processing of the AWS data.</t>
  </si>
  <si>
    <t>D09112</t>
  </si>
  <si>
    <t>10.1029/2011JD016857</t>
  </si>
  <si>
    <t>WOS:000304008300001</t>
  </si>
  <si>
    <t>Humphries, NE; Weimerskirch, H; Queiroz, N; Southall, EJ; Sims, DW</t>
  </si>
  <si>
    <t>Humphries, Nicolas E.; Weimerskirch, Henri; Queiroz, Nuno; Southall, Emily J.; Sims, David W.</t>
  </si>
  <si>
    <t>Foraging success of biological Levy flights recorded in situ</t>
  </si>
  <si>
    <t>PROCEEDINGS OF THE NATIONAL ACADEMY OF SCIENCES OF THE UNITED STATES OF AMERICA</t>
  </si>
  <si>
    <t>optimal foraging; organism; predator-prey; telemetry; evolution</t>
  </si>
  <si>
    <t>WANDERING ALBATROSSES; SEARCH PATTERNS; MARINE PREDATOR; BEHAVIOR; CONTEXT; GPS</t>
  </si>
  <si>
    <t>It is an open question how animals find food in dynamic natural environments where they possess little or no knowledge of where resources are located. Foraging theory predicts that in environments with sparsely distributed target resources, where forager knowledge about resources' locations is incomplete, Levy flight movements optimize the success of random searches. However, the putative success of Levy foraging has been demonstrated only in model simulations. Here, we use high-temporal-resolution Global Positioning System (GPS) tracking of wandering (Diomedea exulans) and black-browed albatrosses (Thalassarche melanophrys) with simultaneous recording of prey captures, to show that both species exhibit Levy and Brownian movement patterns. We find that total prey masses captured by wandering albatrosses during Levy movements exceed daily energy requirements by nearly fourfold, and approached yields by Brownian movements in other habitats. These results, together with our reanalysis of previously published albatross data, overturn the notion that albatrosses do not exhibit Levy patterns during foraging, and demonstrate that Levy flights of predators in dynamic natural environments present a beneficial alternative strategy to simple, spatially intensive behaviors. Our findings add support to the possibility that biological Levy flight may have naturally evolved as a search strategy in response to sparse resources and scant information.</t>
  </si>
  <si>
    <t>[Humphries, Nicolas E.; Queiroz, Nuno; Southall, Emily J.; Sims, David W.] Marine Biol Assoc UK, The Lab, Plymouth PL1 2PB, Devon, England; [Humphries, Nicolas E.] Univ Plymouth, Sch Marine Sci &amp; Engn, Inst Marine, Plymouth PL4 8AA, Devon, England; [Weimerskirch, Henri] CNRS, Ctr Etud Biol Chize, F-79360 Villiers En Bois, France; [Queiroz, Nuno] CIBIO Univ Porto, Ctr Invest Biodiversidade &amp; Recursos Genet, P-4485668 Vairao, Portugal; [Sims, David W.] Univ Southampton, Natl Oceanog Ctr, Southampton SO14 3ZH, Hants, England; [Sims, David W.] Univ Southampton, Ctr Biol Sci, Southampton SO17 1BJ, Hants, England</t>
  </si>
  <si>
    <t>Marine Biological Association United Kingdom; University of Plymouth; Centre National de la Recherche Scientifique (CNRS); Universidade do Porto; University of Southampton; NERC National Oceanography Centre; University of Southampton</t>
  </si>
  <si>
    <t>Sims, DW (corresponding author), Marine Biol Assoc UK, The Lab, Citadel Hill, Plymouth PL1 2PB, Devon, England.</t>
  </si>
  <si>
    <t>dws@mba.ac.uk</t>
  </si>
  <si>
    <t>Weimerskirch, Henri/F-5562-2013; Humphries, Nick/AAE-7170-2019; Weimerskirch, Henri/K-7306-2019; SOUTHALL, EMILY J/AGP-5395-2022; Queiroz, Nuno/G-3850-2010</t>
  </si>
  <si>
    <t>Humphries, Nick/0000-0003-3741-1594; Weimerskirch, Henri/0000-0002-0457-586X; SOUTHALL, EMILY J/0000-0001-7246-278X; Queiroz, Nuno/0000-0002-3860-7356; Sims, David/0000-0002-0916-7363</t>
  </si>
  <si>
    <t>United Kingdom Natural Environment Research Council; Marine Biological Association; Fundacao para a Ciencia e a Tecnologia (FCT) [SFRH/BPD/70070/2010]; IPEV [109]; Natural Environment Research Council [mba010004] Funding Source: researchfish; NERC [mba010004] Funding Source: UKRI</t>
  </si>
  <si>
    <t>United Kingdom Natural Environment Research Council(UK Research &amp; Innovation (UKRI)Natural Environment Research Council (NERC)); Marine Biological Association(UK Research &amp; Innovation (UKRI)Biotechnology and Biological Sciences Research Council (BBSRC)); Fundacao para a Ciencia e a Tecnologia (FCT)(Fundacao para a Ciencia e a Tecnologia (FCT)); IPEV; Natural Environment Research Council(UK Research &amp; Innovation (UKRI)Natural Environment Research Council (NERC)); NERC(UK Research &amp; Innovation (UKRI)Natural Environment Research Council (NERC))</t>
  </si>
  <si>
    <t>A. Edwards, R. Phillips, and the British Antarctic Survey are thanked for access to their 2004 tracking data. We thank the Institut Polaire Francais Paul Emile Victor (IPEV) and the Terres Australes et Antarctiques Francaises (TAAF) for their logistical support in the field and the many field workers involved in the deployment of loggers and in the tracking programmes since 2002. Funding for data analysis was provided by the United Kingdom Natural Environment Research Council's Oceans 2025 Strategic Research Programme (Theme 6 Science for Sustainable Marine Resources) in which D.W.S. is a principal investigator, and by a Marine Biological Association Senior Research Fellowship and joint academic appointment with the University of Southampton, United Kingdom (also to D.W.S.). N.Q. was funded by a Fundacao para a Ciencia e a Tecnologia (FCT) scholarship SFRH/BPD/70070/2010. The field studies at the Crozet and Kerguelen islands are part of the long-term monitoring programme on the demography and foraging ecology of marine predators supported by IPEV Program no. 109 to H.W.</t>
  </si>
  <si>
    <t>NATL ACAD SCIENCES</t>
  </si>
  <si>
    <t>2101 CONSTITUTION AVE NW, WASHINGTON, DC 20418 USA</t>
  </si>
  <si>
    <t>0027-8424</t>
  </si>
  <si>
    <t>P NATL ACAD SCI USA</t>
  </si>
  <si>
    <t>Proc. Natl. Acad. Sci. U. S. A.</t>
  </si>
  <si>
    <t>10.1073/pnas.1121201109</t>
  </si>
  <si>
    <t>942ZQ</t>
  </si>
  <si>
    <t>Green Published, Bronze, Green Accepted</t>
  </si>
  <si>
    <t>WOS:000304090600018</t>
  </si>
  <si>
    <t>Carbone, M; Núñez-Pons, L; Paone, M; Castelluccio, F; Avila, C; Gavagnin, M</t>
  </si>
  <si>
    <t>Carbone, Marianna; Nunez-Pons, Laura; Paone, Miriam; Castelluccio, Francesco; Avila, Conxita; Gavagnin, Margherita</t>
  </si>
  <si>
    <t>Rossinone-related meroterpenes from the Antarctic ascidian Aplidium fuegiense</t>
  </si>
  <si>
    <t>TETRAHEDRON</t>
  </si>
  <si>
    <t>Marine natural products; Meroterpenoids; Quinones; Ascidian; Antartic</t>
  </si>
  <si>
    <t>CHEMICAL ECOLOGY; MARINE; ALKALOIDS; ORIGIN</t>
  </si>
  <si>
    <t>The chemical analysis of the ascidian Aplidium fuegiense resulted in the isolation of three novel meroterpenoids 2-4, structurally related to the main co-occurring known rossinone B (1). The structures of the new compounds were determined by interpretation of spectroscopic data. Compounds 1-4 were found to be selectively localized in the viscera of the ascidian. (C) 2012 Elsevier Ltd. All rights reserved.</t>
  </si>
  <si>
    <t>[Carbone, Marianna; Paone, Miriam; Castelluccio, Francesco; Gavagnin, Margherita] Ist Chim Biomol, Consiglio Nazl Ric, I-80078 Naples, Italy; [Nunez-Pons, Laura; Avila, Conxita] Univ Barcelona, Fac Biol, Dept Biol Anim Invertebrats, E-08028 Barcelona, Spain</t>
  </si>
  <si>
    <t>Consiglio Nazionale delle Ricerche (CNR); Istituto di Chimica Biomolecolare (ICB-CNR); University of Barcelona</t>
  </si>
  <si>
    <t>Gavagnin, M (corresponding author), Ist Chim Biomol, Consiglio Nazl Ric, Via Campi Flegrei 34, I-80078 Naples, Italy.</t>
  </si>
  <si>
    <t>margherita.gavagnin@icb.cnr.it</t>
  </si>
  <si>
    <t>Gavagnin, Margherita/B-4584-2012; Avila, Conxita/B-9466-2008; Paone, Miriam/AAA-1434-2020</t>
  </si>
  <si>
    <t>Avila, Conxita/0000-0002-5489-8376; Paone, Miriam/0000-0002-6913-3456; CARBONE, MARIANNA/0000-0003-3729-5714</t>
  </si>
  <si>
    <t>Ministry of Science and Education of Spain [REN2003-00545, REN2002-12006E ANT, CGL2004-03356/ANT, CTM2010-65453/ANT]; MIUR</t>
  </si>
  <si>
    <t>Ministry of Science and Education of Spain(Spanish Government); MIUR(Ministry of Education, Universities and Research (MIUR))</t>
  </si>
  <si>
    <t>We wish to thank the R/V Polarstern, BIO Hesperides, BIO Las Palmas and the BAE 'Gabriel de Castilla' crews for their support during the Antarctic cruises. Funding was provided by the Ministry of Science and Education of Spain through the ECOQUIM and ACTIQUIM Projects (REN2003-00545, REN2002-12006E ANT, CGL2004-03356/ANT and CTM2010-65453/ANT), and PRIN-MIUR 2009 Project 'Natural products and bioinspired molecules interfering with biological targets involved in control of tumour growth'. Also thanks are due to J. Vazquez, D. Melck, S. Taboada, B. Figuerola, F. J. Cristobo and M. Varela for laboratory and field work.</t>
  </si>
  <si>
    <t>PERGAMON-ELSEVIER SCIENCE LTD</t>
  </si>
  <si>
    <t>OXFORD</t>
  </si>
  <si>
    <t>THE BOULEVARD, LANGFORD LANE, KIDLINGTON, OXFORD OX5 1GB, ENGLAND</t>
  </si>
  <si>
    <t>0040-4020</t>
  </si>
  <si>
    <t>1464-5416</t>
  </si>
  <si>
    <t>Tetrahedron</t>
  </si>
  <si>
    <t>MAY 6</t>
  </si>
  <si>
    <t>10.1016/j.tet.2012.03.013</t>
  </si>
  <si>
    <t>Chemistry, Organic</t>
  </si>
  <si>
    <t>Science Citation Index Expanded (SCI-EXPANDED); Index Chemicus (IC)</t>
  </si>
  <si>
    <t>Chemistry</t>
  </si>
  <si>
    <t>932PS</t>
  </si>
  <si>
    <t>WOS:000303303600003</t>
  </si>
  <si>
    <t>Voisin, D; Jaffrezo, JL; Houdier, S; Barret, M; Cozic, J; King, MD; France, JL; Reay, HJ; Grannas, A; Kos, G; Ariya, PA; Beine, HJ; Domine, F</t>
  </si>
  <si>
    <t>Voisin, Didier; Jaffrezo, Jean-Luc; Houdier, Stephan; Barret, Manuel; Cozic, Julie; King, Martin D.; France, James L.; Reay, Holly J.; Grannas, Amanda; Kos, Gregor; Ariya, Parisa A.; Beine, Harry J.; Domine, Florent</t>
  </si>
  <si>
    <t>Carbonaceous species and humic like substances (HULIS) in Arctic snowpack during OASIS field campaign in Barrow</t>
  </si>
  <si>
    <t>SEMIVOLATILE ORGANIC-COMPOUNDS; DICARBOXYLIC-ACIDS; CONTAMINANT RELEASE; SEASONAL-VARIATIONS; CARBOXYLIC-ACIDS; LIGHT-ABSORPTION; HONO EMISSIONS; ANTARCTIC SNOW; ICE PARTICLES; WATER</t>
  </si>
  <si>
    <t>Snowpacks contain many carbonaceous species that can potentially impact on snow albedo and arctic atmospheric chemistry. During the OASIS field campaign, in March and April 2009, Elemental Carbon (EC), Water insoluble Organic Carbon (WinOC) and Dissolved Organic Carbon (DOC) were investigated in various types of snow: precipitating snows, remobilized snows, wind slabs and depth hoars. EC was found to represent less than 5% of the Total Carbon Content (TCC = EC + WinOC + DOC), whereas WinOC was found to represent an unusual 28 to 42% of TCC. Snow type was used to infer physical processes influencing the evolution of different fractions of DOC. DOC is highest in soil influenced indurated depth hoar layers due to specific wind related formation mechanisms in the early season. Apart from this specific snow type, DOC is found to decrease from precipitating snow to remobilized snow to regular depth hoar. This decrease is interpreted as due to cleaving photochemistry and physical equilibration of the most volatile fraction of DOC. Depending on the relative proportions of diamond dust and fresh snow in the deposition of the seasonal snowpack, we estimate that 31 to 76% of DOC deposited to the snowpack is reemitted back to the boundary layer. Under the assumption that this reemission is purely photochemical, we estimate an average flux of VOC out of the snowpack of 20 to 170 mu g(C) m(-2) h(-1). Humic like substances (HULIS), short chain diacids and aldehydes are quantified, and showed to represent altogether a modest (&lt;20%) proportion of DOC, and less than 10% of DOC + WinOC. HULIS optical properties are measured and could be consistent with aged biomass burning or a possible marine source.</t>
  </si>
  <si>
    <t>[Voisin, Didier; Jaffrezo, Jean-Luc; Houdier, Stephan; Barret, Manuel; Cozic, Julie; Domine, Florent] Univ Grenoble 1, Grenoble CNRS 1, INSU, Lab Glaciol &amp; Geophys Environm, F-38402 St Martin Dheres, France; [King, Martin D.; France, James L.; Reay, Holly J.] Royal Holloway Univ London, Dept Earth Sci, Egham, Surrey, England; [Grannas, Amanda] Villanova Univ, Dept Chem, Villanova, PA 19085 USA; [Kos, Gregor; Ariya, Parisa A.] McGill Univ, Dept Chem, Montreal, PQ, Canada; [Beine, Harry J.] Univ Calif Davis, LAWR, Davis, CA 95616 USA; [Domine, Florent] Univ Laval, Takuvik Joint Int Lab, Quebec City, PQ G1K 7P4, Canada; [Domine, Florent] CNRS, F-75700 Paris, France</t>
  </si>
  <si>
    <t>Communaute Universite Grenoble Alpes; Universite Grenoble Alpes (UGA); Centre National de la Recherche Scientifique (CNRS); CNRS - National Institute for Earth Sciences &amp; Astronomy (INSU); University of London; Royal Holloway University London; Villanova University; McGill University; University of California System; University of California Davis; Laval University; Centre National de la Recherche Scientifique (CNRS)</t>
  </si>
  <si>
    <t>Voisin, D (corresponding author), Univ Grenoble 1, Grenoble CNRS 1, INSU, Lab Glaciol &amp; Geophys Environm, 54 Rue Moliere, F-38402 St Martin Dheres, France.</t>
  </si>
  <si>
    <t>didier.voisin@ujf-grenoble.fr</t>
  </si>
  <si>
    <t>King, Martin/B-1308-2009; voisin, didier/ABE-6110-2020; jaffrezo, jean-luc/HIU-0016-2022; Kos, Gregor/T-8887-2019; Ariya, Parisa A/G-2810-2015; France, James/A-7885-2012; France, James/L-9719-2015; Grannas, Amanda/F-4804-2010</t>
  </si>
  <si>
    <t>King, Martin/0000-0002-0089-7693; voisin, didier/0000-0003-1317-7561; Kos, Gregor/0000-0001-8223-7308; France, James/0000-0002-8785-1240; Grannas, Amanda/0000-0003-4719-348X</t>
  </si>
  <si>
    <t>French Polar Institute (IPEV) [1017]; National Science Foundation [ATM-0807702, ATM-0547435]; INSU - LEFE CHAT; Natural Environment Research Council [fsf010001, NE/F010788/1] Funding Source: researchfish; NERC [fsf010001, NE/F010788/1] Funding Source: UKRI; Directorate For Geosciences; Div Atmospheric &amp; Geospace Sciences [0807702] Funding Source: National Science Foundation</t>
  </si>
  <si>
    <t>French Polar Institute (IPEV); National Science Foundation(National Science Foundation (NSF)); INSU - LEFE CHAT; Natural Environment Research Council(UK Research &amp; Innovation (UKRI)Natural Environment Research Council (NERC)); NERC(UK Research &amp; Innovation (UKRI)Natural Environment Research Council (NERC)); Directorate For Geosciences; Div Atmospheric &amp; Geospace Sciences(National Science Foundation (NSF)NSF - Directorate for Geosciences (GEO))</t>
  </si>
  <si>
    <t>The participation of D. V., F. D., S. H. and M. B. to the Barrow field campaign was funded by the French Polar Institute (IPEV) grant 1017 to F. D. and by the National Science Foundation, through grant ATM-0807702 to H. B. Part of the analysis in Grenoble was funded by INSU - LEFE CHAT. Participation of A. G. was funded by the National Science Foundation (ATM-0547435).</t>
  </si>
  <si>
    <t>MAY 5</t>
  </si>
  <si>
    <t>D00R19</t>
  </si>
  <si>
    <t>10.1029/2011JD016612</t>
  </si>
  <si>
    <t>937SL</t>
  </si>
  <si>
    <t>Green Published, Bronze</t>
  </si>
  <si>
    <t>WOS:000303678800001</t>
  </si>
  <si>
    <t>Kravitz, B; Robock, A; Shindell, DT; Miller, MA</t>
  </si>
  <si>
    <t>Kravitz, Ben; Robock, Alan; Shindell, Drew T.; Miller, Mark A.</t>
  </si>
  <si>
    <t>Sensitivity of stratospheric geoengineering with black carbon to aerosol size and altitude of injection</t>
  </si>
  <si>
    <t>OZONE DEPLETION; CLIMATE RESPONSE; NUCLEAR WINTER; CONSEQUENCES; SIMULATIONS; SOOT; ENHANCEMENT; LEVITATION; EMISSIONS; TRANSPORT</t>
  </si>
  <si>
    <t>Simulations of stratospheric geoengineering with black carbon (BC) aerosols using a general circulation model with fixed sea surface temperatures show that the climate effects strongly depend on aerosol size and altitude of injection. 1 Tg BC a(-1) injected into the lower stratosphere would cause little surface cooling for large radii but a large amount of surface cooling for small radii and stratospheric warming of over 60 degrees C. With the exception of small particles, increasing the altitude of injection increases surface cooling and stratospheric warming. Stratospheric warming causes global ozone loss by up to 50% in the small radius case. The Antarctic shows less ozone loss due to reduction of polar stratospheric clouds, but strong circumpolar winds would enhance the Arctic ozone hole. Using diesel fuel to produce the aerosols is likely prohibitively expensive and infeasible. Although studying an absorbing aerosol is a useful counterpart to previous studies involving sulfate aerosols, black carbon geoengineering likely carries too many risks to make it a viable option for deployment.</t>
  </si>
  <si>
    <t>[Kravitz, Ben] Carnegie Inst Sci, Dept Global Ecol, Stanford, CA 94305 USA; [Robock, Alan; Miller, Mark A.] Rutgers State Univ, Dept Environm Sci, New Brunswick, NJ 08903 USA; [Shindell, Drew T.] NASA, Goddard Inst Space Studies, New York, NY 10025 USA</t>
  </si>
  <si>
    <t>Carnegie Institution for Science; Rutgers University System; Rutgers University New Brunswick; National Aeronautics &amp; Space Administration (NASA); NASA Goddard Space Flight Center; Goddard Institute for Space Studies</t>
  </si>
  <si>
    <t>Kravitz, B (corresponding author), Carnegie Inst Sci, Dept Global Ecol, 260 Panama St, Stanford, CA 94305 USA.</t>
  </si>
  <si>
    <t>bkravitz@carnegie.stanford.edu</t>
  </si>
  <si>
    <t>Kravitz, Ben/P-7925-2014; Robock, Alan/B-6385-2016; Shindell, Drew/D-4636-2012; Forster, Piers/F-9829-2010</t>
  </si>
  <si>
    <t>Kravitz, Ben/0000-0001-6318-1150; Shindell, Drew/0000-0003-1552-4715; Forster, Piers/0000-0002-6078-0171</t>
  </si>
  <si>
    <t>National Aeronautics and Space Administration; NSF [ATM-070452]; Div Atmospheric &amp; Geospace Sciences; Directorate For Geosciences [0730452] Funding Source: National Science Foundation</t>
  </si>
  <si>
    <t>National Aeronautics and Space Administration(National Aeronautics &amp; Space Administration (NASA)); NSF(National Science Foundation (NSF)); Div Atmospheric &amp; Geospace Sciences; Directorate For Geosciences(National Science Foundation (NSF)NSF - Directorate for Geosciences (GEO))</t>
  </si>
  <si>
    <t>We thank Barbara Turpin, Ken Caldeira, and Anthony Broccoli for comments, as well as the reviewers for helpful suggestions. Model development and computer time at NASA Goddard Space Flight Center are supported by National Aeronautics and Space Administration climate modeling grants. The work of Kravitz and Robock is supported by NSF grant ATM-070452.</t>
  </si>
  <si>
    <t>MAY 4</t>
  </si>
  <si>
    <t>D09203</t>
  </si>
  <si>
    <t>10.1029/2011JD017341</t>
  </si>
  <si>
    <t>937SJ</t>
  </si>
  <si>
    <t>Green Published</t>
  </si>
  <si>
    <t>WOS:000303678600002</t>
  </si>
  <si>
    <t>Saenz, BT; Arrigo, KR</t>
  </si>
  <si>
    <t>Saenz, Benjamin T.; Arrigo, Kevin R.</t>
  </si>
  <si>
    <t>Simulation of a sea ice ecosystem using a hybrid model for slush layer desalination</t>
  </si>
  <si>
    <t>JOURNAL OF GEOPHYSICAL RESEARCH-OCEANS</t>
  </si>
  <si>
    <t>ANTARCTIC PACK ICE; WEDDELL-SEA; THICKNESS DISTRIBUTION; THERMODYNAMIC MODEL; GROWTH; SNOW; SALINITY; PHASE; OCEAN; TRANSPORT</t>
  </si>
  <si>
    <t>Porous, slushy layers are a common feature of Antarctic sea ice and are often colonized by high concentrations of algae. Despite its potential importance to the physics and biogeochemistry of the sea ice ecosystem, current knowledge of the evolution of sea ice slush layers is limited. Here we present a model of sea ice that is capable of reproducing the vertical biophysical evolution of sea ice that contains slush layers. The model uses a novel hybrid desalination scheme to calculate salt fluxes and brine motion during freezing using one of two different methods depending on the brine fraction of the ice. Model runs using atmospheric and snow depth forcing from the Ice Station Weddell experiment show that model is able to simulate the magnitude and timing of sea ice temperature, salinity, and associated algal growth of observed slush layers, as well as the surrounding sea ice. The model was designed with regional-scale simulations in mind and we show that the model performs well at lower vertical resolutions, as long as the slush layer is resolved. Incorporation of our model of slush ice desalination into regional and global simulations has potential to improve model estimates of salt, heat, and biochemical fluxes in polar marine environments.</t>
  </si>
  <si>
    <t>[Saenz, Benjamin T.; Arrigo, Kevin R.] Stanford Univ, Dept Environm Earth Syst Sci, Stanford, CA 94708 USA</t>
  </si>
  <si>
    <t>Stanford University</t>
  </si>
  <si>
    <t>Saenz, BT (corresponding author), Stanford Univ, Dept Environm Earth Syst Sci, 473 Via Ortega, Stanford, CA 94708 USA.</t>
  </si>
  <si>
    <t>blsaenz@gmail.com</t>
  </si>
  <si>
    <t>Arrigo, Kevin/0000-0002-7364-876X</t>
  </si>
  <si>
    <t>NASA Earth System Science (ESS); NASA OES [NR-A04-OSE-02]</t>
  </si>
  <si>
    <t>NASA Earth System Science (ESS)(National Aeronautics &amp; Space Administration (NASA)); NASA OES</t>
  </si>
  <si>
    <t>This work was made possible through a NASA Earth System Science (ESS) Fellowship to Benjamin Saenz, and NASA OES grant NR-A04-OSE-02 to Kevin Arrigo, with assistance from the Stanford School of Earth Sciences. Gert van Dijken provided invaluable scientific, technical, and programming advice. Special thanks to Steve Ackley, Don Perovich, Chris Fritsen, Ken Golden, and Ted Maksym for providing data, helpful advice, comments, and reviews.</t>
  </si>
  <si>
    <t>2169-9275</t>
  </si>
  <si>
    <t>2169-9291</t>
  </si>
  <si>
    <t>J GEOPHYS RES-OCEANS</t>
  </si>
  <si>
    <t>J. Geophys. Res.-Oceans</t>
  </si>
  <si>
    <t>C05007</t>
  </si>
  <si>
    <t>10.1029/2011JC007544</t>
  </si>
  <si>
    <t>Oceanography</t>
  </si>
  <si>
    <t>937PJ</t>
  </si>
  <si>
    <t>WOS:000303670100001</t>
  </si>
  <si>
    <t>van Elk, CE; Boelens, HAM; van Belkum, A; Foster, G; Kuiken, T</t>
  </si>
  <si>
    <t>van Elk, Cornelis E.; Boelens, Helene A. M.; van Belkum, Alex; Foster, Geoffrey; Kuiken, Thijs</t>
  </si>
  <si>
    <t>Indications for both host-specific and introduced genotypes of Staphylococcus aureus in marine mammals</t>
  </si>
  <si>
    <t>VETERINARY MICROBIOLOGY</t>
  </si>
  <si>
    <t>Staphylococcus aureus; Marine mammals; Multi locus sequence typing; Host specificity</t>
  </si>
  <si>
    <t>DOLPHINS TURSIOPS-TRUNCATUS; BOTTLE-NOSED DOLPHINS; METHICILLIN-RESISTANT; TOXOPLASMA-GONDII; STRAINS; SEPTICEMIA; HUMANS; WATERS</t>
  </si>
  <si>
    <t>Staphylococcus aureus is present in the marine environment and causes disease in marine mammals. To determine whether marine mammals are colonized by host-specific strains or by strains originating from other species, we performed multi-locus sequence typing on ten S. aureus strains isolated from marine mammals in the U.K., the Netherlands, and the Antarctic. Four new sequence types of S. aureus were discovered S. aureus strains from a southern elephant seal (n = 1) and harbour porpoises (n = 2) did not cluster with known S. aureus strains, suggesting that they may be host species-specific. In contrast, S. aureus strains from harbour seals (n = 3), other harbour porpoises (n =), and a grey seal (n = 1) clustered with S. aureus strains previously isolated from domestic ruminants, humans, or birds, suggesting that these S. aureus strains in marine mammals were introduced from terrestrial species. (C) 2011 Elsevier B.V. All rights reserved.</t>
  </si>
  <si>
    <t>[van Elk, Cornelis E.] Dolfinarium Harderwijk, NL-3841 AB Harderwijk, Netherlands; [Boelens, Helene A. M.; van Belkum, Alex] Erasmus MC, Dept Med Microbiol &amp; Infect Dis, NL-3015 CE Rotterdam, Netherlands; [van Belkum, Alex] BioMerieux, Microbiol R&amp;D, F-38390 La Balmeles Les Grottes, France; [Foster, Geoffrey] SAC Vet Serv, Inverness IV2 4JZ, Scotland; [Kuiken, Thijs] Erasmus MC, Dept Virol, NL-3000 DR Rotterdam, Netherlands</t>
  </si>
  <si>
    <t>Erasmus University Rotterdam; Erasmus MC; bioMerieux; Scottish Agricultural College; Erasmus University Rotterdam; Erasmus MC</t>
  </si>
  <si>
    <t>van Elk, CE (corresponding author), Dolfinarium Harderwijk, NL-3841 AB Harderwijk, Netherlands.</t>
  </si>
  <si>
    <t>niels.van.elk@dolfinarium.nl</t>
  </si>
  <si>
    <t>Kuiken, Thijs/0000-0001-5501-9049; Foster, Geoffrey/0000-0002-5527-758X</t>
  </si>
  <si>
    <t>UK Department of Environment, Food and Rural Affairs (DEFRA); Scottish Government Marine Directorate; Dolfinarium in Harderwijk</t>
  </si>
  <si>
    <t>UK Department of Environment, Food and Rural Affairs (DEFRA)(Department for Environment, Food &amp; Rural Affairs (DEFRA)); Scottish Government Marine Directorate; Dolfinarium in Harderwijk</t>
  </si>
  <si>
    <t>The Scottish Strandings Scheme is operated under contract to the UK Department of Environment, Food and Rural Affairs (DEFRA), with financial support from the Scottish Government Marine Directorate.; SOS Dolfijn is a charity foundation with financial support of benefactors and the Dolfinarium in Harderwijk</t>
  </si>
  <si>
    <t>ELSEVIER SCIENCE BV</t>
  </si>
  <si>
    <t>AMSTERDAM</t>
  </si>
  <si>
    <t>PO BOX 211, 1000 AE AMSTERDAM, NETHERLANDS</t>
  </si>
  <si>
    <t>0378-1135</t>
  </si>
  <si>
    <t>VET MICROBIOL</t>
  </si>
  <si>
    <t>Vet. Microbiol.</t>
  </si>
  <si>
    <t>3-4</t>
  </si>
  <si>
    <t>10.1016/j.vetmic.2011.10.034</t>
  </si>
  <si>
    <t>Microbiology; Veterinary Sciences</t>
  </si>
  <si>
    <t>927EU</t>
  </si>
  <si>
    <t>WOS:000302890700014</t>
  </si>
  <si>
    <t>Van de Vijver, B</t>
  </si>
  <si>
    <t>Van de Vijver, Bart</t>
  </si>
  <si>
    <t>Aulacoseira principissa sp nov., a new 'centric' diatom species from the sub-Antarctic region</t>
  </si>
  <si>
    <t>PHYTOTAXA</t>
  </si>
  <si>
    <t>aquatic habitat; morphology; sub-Antarctic Region; ultrastructure</t>
  </si>
  <si>
    <t>FRESH-WATER DIATOMS; COMMUNITIES; GENUS; BACILLARIOPHYCEAE; DIVERSITY; TAXONOMY; THWAITES; ECOLOGY; ISLAND</t>
  </si>
  <si>
    <t>A new centric diatom, Aulacoseira principissa sp. nov., is described from the sub-Antarctic region. The morphology of the species is illustrated using detailed light and scanning electron microscopy observations. Its main discriminating features include the presence of typical bifurcating spines, a single rimoportula, a typical valve heterovalvy with spineless separation valves and a variable striation pattern on the discus. The new species is compared to related species belonging to the complex of Aulacoseira distans. Aulacoseira principissa has a broad geographical distribution ranging from the sub-Antarctic islands in the southern Indian Ocean to South Georgia in the southern Atlantic Ocean. It is commonly found in slightly acidic, oligotrophic pools with low specific conductance values.</t>
  </si>
  <si>
    <t>Natl Bot Garden Belgium, Dept Bryophyta &amp; Thallophyta, B-1860 Meise, Belgium</t>
  </si>
  <si>
    <t>Van de Vijver, B (corresponding author), Natl Bot Garden Belgium, Dept Bryophyta &amp; Thallophyta, B-1860 Meise, Belgium.</t>
  </si>
  <si>
    <t>vandevijver@br.fgov.be</t>
  </si>
  <si>
    <t>French Polar Institute-Paul-Emile Victor [136]; EU; FWO [G.0533.07]</t>
  </si>
  <si>
    <t>French Polar Institute-Paul-Emile Victor; EU(European Union (EU)); FWO(FWO)</t>
  </si>
  <si>
    <t>The authors wish to thank Prof. Dr. L. Beyens and Dr. Niek Gremmen for the collection of samples on South Georgia, the Prince Edward Islands and Heard Island. Sampling on Crozet has been made possible thanks to the logistic and financial support of the French Polar Institute-Paul-Emile Victor in the framework of the terrestrial program 136 (Ir. Marc Lebouvier &amp; Dr. Yves Frenot). Dr. Vaclav Houk is acknowledged for his help in photographing and identifying this Aulacoseira species. Dr. Alex Ball, the staff of the EMMA laboratory and Dr. Eileen J. Cox at the Natural History Museum are thanked for their help with the scanning electron microscopy. This study was supported by an EU Synthesys grant to BVDV to visit the National History Museum in London, UK. Part of this research was funded within the FWO project G.0533.07.</t>
  </si>
  <si>
    <t>PO BOX 41383, AUCKLAND, ST LUKES 1030, NEW ZEALAND</t>
  </si>
  <si>
    <t>1179-3155</t>
  </si>
  <si>
    <t>Phytotaxa</t>
  </si>
  <si>
    <t>MAY 3</t>
  </si>
  <si>
    <t>Plant Sciences</t>
  </si>
  <si>
    <t>936PS</t>
  </si>
  <si>
    <t>WOS:000303603100001</t>
  </si>
  <si>
    <t>Mueller, RD; Padman, L; Dinniman, MS; Erofeeva, SY; Fricker, HA; King, MA</t>
  </si>
  <si>
    <t>Mueller, R. D.; Padman, L.; Dinniman, M. S.; Erofeeva, S. Y.; Fricker, H. A.; King, M. A.</t>
  </si>
  <si>
    <t>Impact of tide-topography interactions on basal melting of Larsen C Ice Shelf, Antarctica</t>
  </si>
  <si>
    <t>SOUTHERN WEDDELL SEA; THERMOHALINE CIRCULATION; EAST ANTARCTICA; CRITICAL LATITUDE; CURRENT PROFILES; GROUNDING LINES; YERMAK PLATEAU; WATER MASSES; PENINSULA; CURRENTS</t>
  </si>
  <si>
    <t>Basal melting of ice shelves around Antarctica contributes to formation of Antarctic Bottom Water and can affect global sea level by altering the offshore flow of grounded ice streams and glaciers. Tides influence ice shelf basal melt rate (w(b)) by contributing to ocean mixing and mean circulation as well as thermohaline exchanges with the ice shelf. We use a three-dimensional ocean model, thermodynamically coupled to a nonevolving ice shelf, to investigate the relationship between topography, tides, and w(b) for Larsen C Ice Shelf (LCIS) in the northwestern Weddell Sea, Antarctica. Using our best estimates of ice shelf thickness and seabed topography, we find that the largest modeled LCIS melt rates occur in the northeast, where our model predicts strong diurnal tidal currents (similar to 0.4 m s(-1)). This distribution is significantly different from models with no tidal forcing, which predict largest melt rates along the deep grounding lines. We compare several model runs to explore melt rate sensitivity to geometry, initial ocean potential temperature (theta(0)), thermodynamic parameterizations of heat and freshwater ice-ocean exchange, and tidal forcing. The resulting range of LCIS-averaged w(b) is similar to 0.11-0.44 m a(-1). The spatial distribution of w(b) is very sensitive to model geometry and thermodynamic parameterization while the overall magnitude of w(b) is influenced by theta(0). These sensitivities in w(b) predictions reinforce a need for high-resolution maps of ice draft and sub-ice-shelf seabed topography together with ocean temperature measurements at the ice shelf front to improve representation of ice shelves in coupled climate system models.</t>
  </si>
  <si>
    <t>[Mueller, R. D.; Erofeeva, S. Y.] Oregon State Univ, Coll Earth Ocean &amp; Atmospher Sci, Corvallis, OR 97331 USA; [Mueller, R. D.; Padman, L.] Earth &amp; Space Res, Corvallis, OR 97333 USA; [Dinniman, M. S.] Old Dominion Univ, Ctr Coastal Phys Oceanog, Norfolk, VA 23508 USA; [Fricker, H. A.] Univ Calif San Diego, Inst Geophys &amp; Planetary Phys, Scripps Inst Oceanog, La Jolla, CA 92093 USA; [King, M. A.] Newcastle Univ, Sch Civil Engn &amp; Geosci, Newcastle Upon Tyne NE1 7RU, Tyne &amp; Wear, England</t>
  </si>
  <si>
    <t>Oregon State University; Old Dominion University; University of California System; University of California San Diego; Scripps Institution of Oceanography; Newcastle University - UK</t>
  </si>
  <si>
    <t>Mueller, RD (corresponding author), Oregon State Univ, Coll Earth Ocean &amp; Atmospher Sci, 104 COAS Adm Bldg, Corvallis, OR 97331 USA.</t>
  </si>
  <si>
    <t>rmueller@coas.oregonstate.edu; padman@esr.org; msd@ccpo.odu.edu; serofeev@coas.oregonstate.edu; hafricker@ucsd.edu; m.a.king@newcastle.ac.uk</t>
  </si>
  <si>
    <t>Padman, Laurence/AAH-3808-2021; King, Matt/B-4622-2008</t>
  </si>
  <si>
    <t>King, Matt/0000-0001-5611-9498; Fricker, Helen Amanda/0000-0002-0921-1432; Padman, Laurence/0000-0003-2010-642X; Dinniman, Michael/0000-0001-7519-9278; Erofeeva, Svetlana/0000-0002-4489-7505</t>
  </si>
  <si>
    <t>NASA [09-Earth09R-2, NNG05GR58G, NNX06AH39G, NNX10AG19G]; NERC; RCUK; NSF [OPP-0337247]; NASA [134135, NNX10AG19G] Funding Source: Federal RePORTER</t>
  </si>
  <si>
    <t>NASA(National Aeronautics &amp; Space Administration (NASA)); NERC(UK Research &amp; Innovation (UKRI)Natural Environment Research Council (NERC)); RCUK(UK Research &amp; Innovation (UKRI)); NSF(National Science Foundation (NSF)); NASA(National Aeronautics &amp; Space Administration (NASA))</t>
  </si>
  <si>
    <t>R.D.M. was supported by a NASA Earth and Space Science Fellowship (09-Earth09R-2). Additional funding to L. P., H. A. F. and S. E. was provided by NASA, grants NNG05GR58G, NNX06AH39G and NNX10AG19G. M. A. K. was supported by NERC grants and a RCUK Academic Fellowship. M. S. D. was supported by NSF grant OPP-0337247. Ben Galton-Fenzi provided us with the ROMS3.2 model version that incorporated ocean and ice shelf exchange, the thermodynamics of which we further modified. Miles McPhee, Eric Skyllingstad and Adrian Jenkins were very gracious with their time in support of learning the details of ice shelf and ocean thermodynamics. Scott Springer and Susan Howard helped with the practicalities of running ROMS. We thank Jenny Griggs, Daniela Jansen and James Cochran for freely sharing their data and insights. We also appreciate the detailed and constructive comments from two anonymous reviewers. This is ESR contribution 143.</t>
  </si>
  <si>
    <t>C05005</t>
  </si>
  <si>
    <t>10.1029/2011JC007263</t>
  </si>
  <si>
    <t>937PI</t>
  </si>
  <si>
    <t>WOS:000303670000001</t>
  </si>
  <si>
    <t>Kinrade, J; Mitchell, CN; Yin, P; Smith, N; Jarvis, MJ; Maxfield, DJ; Rose, MC; Bust, GS; Weatherwax, AT</t>
  </si>
  <si>
    <t>Kinrade, J.; Mitchell, C. N.; Yin, P.; Smith, N.; Jarvis, M. J.; Maxfield, D. J.; Rose, M. C.; Bust, G. S.; Weatherwax, A. T.</t>
  </si>
  <si>
    <t>Ionospheric scintillation over Antarctica during the storm of 5-6 April 2010</t>
  </si>
  <si>
    <t>JOURNAL OF GEOPHYSICAL RESEARCH-SPACE PHYSICS</t>
  </si>
  <si>
    <t>POLAR-CAP; SOLAR MINIMUM; GPS TEC; SPECIFICATION; TOMOGRAPHY; REGION; PLASMA; EISCAT</t>
  </si>
  <si>
    <t>On 5 April 2010 a coronal mass ejection produced a traveling solar wind shock front that impacted the Earth's magnetosphere, producing the largest geomagnetic storm of 2010. The storm resulted in a prolonged period of phase scintillation on Global Positioning System signals in Antarctica. The scintillation began in the deep polar cap at South Pole just over 40 min after the shock front impact was recorded by a satellite at the first Lagrangian orbit position. Scintillation activity continued there for many hours. On the second day, significant phase scintillation was observed from an auroral site (81 degrees S) during the postmidnight sector in association with a substorm. Particle data from polar-orbiting satellites provide indication of electron and ion precipitation into the Antarctic region during the geomagnetic disturbance. Total electron content maps show enhanced electron density being drawn into the polar cap in response to southward turning of the interplanetary magnetic field. The plasma enhancement structure then separates from the dayside plasma and drifts southward. Scintillation on the first day is coincident spatially and temporally with a plasma depletion region both in the dayside noon sector and in the dayside cusp. On the second day, scintillation is observed in the nightside auroral region and appears to be strongly associated with ionospheric irregularities caused by E region particle precipitation.</t>
  </si>
  <si>
    <t>[Kinrade, J.; Mitchell, C. N.; Yin, P.; Smith, N.] Univ Bath, Dept Elect &amp; Elect Engn, Bath BA2 7AY, Somerset, England; [Yin, P.] Civil Aviat Univ China, Coll Elect Informat Engn, Tianjin 618307, Peoples R China; [Jarvis, M. J.; Maxfield, D. J.; Rose, M. C.] British Antarctic Survey, Div Phys Sci, Cambridge CB3 0ET, England; [Bust, G. S.] Atmospher &amp; Space Technol Res Associates LLC, Boulder, CO 80301 USA; [Weatherwax, A. T.] Siena Coll, Dept Phys, Loudonville, NY 12211 USA</t>
  </si>
  <si>
    <t>University of Bath; Civil Aviation University of China; UK Research &amp; Innovation (UKRI); Natural Environment Research Council (NERC); NERC British Antarctic Survey</t>
  </si>
  <si>
    <t>Kinrade, J (corresponding author), Univ Bath, Dept Elect &amp; Elect Engn, Bath BA2 7AY, Somerset, England.</t>
  </si>
  <si>
    <t>j.kinrade@bath.ac.uk</t>
  </si>
  <si>
    <t>Bust, Gary S./AAZ-1848-2020</t>
  </si>
  <si>
    <t>Bust, Gary S./0000-0001-6910-3989; Weatherwax, Allan/0000-0003-4732-358X; Mitchell, Cathryn/0000-0003-1964-8723; Kinrade, Joe/0000-0001-9740-130X</t>
  </si>
  <si>
    <t>Engineering and Physical Sciences Research Council; Isle of Man Government; Natural Environment Research Council; Civil Aviation University of China [ZXH2009B005]; NSF [ANT-0840650, ANT-0839858, ANT-0840158, ANT-0638587]; NASA under NSF [EAR-0735156]; Natural Environment Research Council [bas0100023] Funding Source: researchfish; NERC [bas0100023] Funding Source: UKRI; STFC [PP/D002230/1] Funding Source: UKRI; Directorate For Geosciences; Office of Polar Programs (OPP) [0638587] Funding Source: National Science Foundation; Directorate For Geosciences; Office of Polar Programs (OPP) [0840650] Funding Source: National Science Foundation; Division Of Polar Programs; Directorate For Geosciences [0840729] Funding Source: National Science Foundation</t>
  </si>
  <si>
    <t>Engineering and Physical Sciences Research Council(UK Research &amp; Innovation (UKRI)Engineering &amp; Physical Sciences Research Council (EPSRC)); Isle of Man Government; Natural Environment Research Council(UK Research &amp; Innovation (UKRI)Natural Environment Research Council (NERC)); Civil Aviation University of China; NSF(National Science Foundation (NSF)); NASA under NSF; Natural Environment Research Council(UK Research &amp; Innovation (UKRI)Natural Environment Research Council (NERC)); NERC(UK Research &amp; Innovation (UKRI)Natural Environment Research Council (NERC)); STFC(UK Research &amp; Innovation (UKRI)Science &amp; Technology Facilities Council (STFC)); Directorate For Geosciences; Office of Polar Programs (OPP)(National Science Foundation (NSF)NSF - Directorate for Geosciences (GEO)); Directorate For Geosciences; Office of Polar Programs (OPP)(National Science Foundation (NSF)NSF - Directorate for Geosciences (GEO)); Division Of Polar Programs; Directorate For Geosciences(National Science Foundation (NSF)NSF - Directorate for Geosciences (GEO))</t>
  </si>
  <si>
    <t>We thank the Engineering and Physical Sciences Research Council, the Isle of Man Government, and the Natural Environment Research Council for funding this project, and we thank the British Antarctic Survey and the United States Antarctic Program for their extensive logistical and engineering support. Ping Yin is grateful for support from a special grant of the Civil Aviation University of China (ZXH2009B005). G. S. Bust was supported under NSF grants ANT-0840650 and ANT-0839858. South Pole GPS operations are supported in part by NSF grants ANT-0840158 and ANT-0638587 to Siena College. These awards further support the University of Bath/Siena College GPS collaboration at South Pole and McMurdo Stations, Antarctica. GPS ground data from the PoleNet and IGS campaigns were obtained through the UNAVCO facility with support from the National Science Foundation and the NASA under NSF cooperative agreement EAR-0735156. We gratefully acknowledge the ACE MAG instrument team and the ACE Science Center for providing IMF data, the National Oceanic and Atmospheric Administration for providing magnetic indices through the SPIDR facility, the Center for Space Sciences at the University of Texas at Dallas and the U.S. Air Force for providing the DMSP thermal plasma data, the Auroral Particles and Imagery Group at the Johns Hopkins University Applied Physics Laboratory for providing DMSP particle spectrometer data, and the German Research Centre for Geosciences at GFZ Potsdam for providing CHAMP and GRACE satellite data.</t>
  </si>
  <si>
    <t>2169-9380</t>
  </si>
  <si>
    <t>2169-9402</t>
  </si>
  <si>
    <t>J GEOPHYS RES-SPACE</t>
  </si>
  <si>
    <t>J. Geophys. Res-Space Phys.</t>
  </si>
  <si>
    <t>A05304</t>
  </si>
  <si>
    <t>10.1029/2011JA017073</t>
  </si>
  <si>
    <t>Astronomy &amp; Astrophysics</t>
  </si>
  <si>
    <t>937QC</t>
  </si>
  <si>
    <t>Green Accepted, Bronze, Green Published</t>
  </si>
  <si>
    <t>WOS:000303672100001</t>
  </si>
  <si>
    <t>Walterscheid, RL; Gelinas, LJ; Mechoso, CR; Schubert, G</t>
  </si>
  <si>
    <t>Walterscheid, R. L.; Gelinas, L. J.; Mechoso, C. R.; Schubert, G.</t>
  </si>
  <si>
    <t>Evaluation of momentum and sensible heat fluxes in constant density coordinates: Application to superpressure balloon data during the VORCORE campaign</t>
  </si>
  <si>
    <t>GRAVITY-WAVES; LOWER STRATOSPHERE; MOUNTAIN WAVES; SOUTHERN-HEMISPHERE; MIDDLE ATMOSPHERE; LONG-DURATION; PHASE SPEEDS; BREAKING; NIGHTGLOW; FLUCTUATIONS</t>
  </si>
  <si>
    <t>Expressions for momentum and heat fluxes using density as the vertical coordinate are derived. These are applied in the evaluation of fluxes using data from super-pressure balloons drifting on constant density surfaces in the Antarctic lower stratosphere during the VORCORE campaign (September 2005 to February 2006). We focus on the core months of October and November. Vertical fluxes of zonal and meridional momentum are calculated using wind, pressure and height data and the vertical flux of sensible heat is calculated using temperature and height data. Calculations were performed in three band passes covering 1-13 h. We find that the largest fluxes are in the vicinity of the Antarctic Peninsula. In October the fluxes in the low period band pass (1-5 h) account for the main part of the total flux of zonal momentum, consistent with topographically forced waves. During November the vertical fluxes of zonal momentum are found mainly in longer period band passes, consistent with weaker winds. The peak campaign-averaged flux of zonal momentum in the vicinity of the Antarctic Peninsula is similar to-30 mPa. These values are similar to 60% larger over the peninsula than those inferred by other authors. The flux of zonal momentum provides a zonal body force of similar to 5 m s(-1) day(-1) assuming a saturated spectrum. We infer downward sensible heat fluxes of similar to 3 W m(-2). The corresponding cooling rates assuming a saturated spectrum are similar to 0.6 K day(-1), a significant fraction of the net radiative imbalance in the springtime Antarctic lower stratosphere.</t>
  </si>
  <si>
    <t>[Walterscheid, R. L.; Gelinas, L. J.; Schubert, G.] Aerosp Corp, Space Sci Applicat Lab, El Segundo, CA 90245 USA; [Mechoso, C. R.] Univ Calif Los Angeles, Dept Atmospher &amp; Ocean Sci, Los Angeles, CA 90095 USA; [Schubert, G.] Univ Calif Los Angeles, Dept Earth &amp; Space Sci, Los Angeles, CA 90095 USA</t>
  </si>
  <si>
    <t>Aerospace Corporation - USA; University of California System; University of California Los Angeles; University of California System; University of California Los Angeles</t>
  </si>
  <si>
    <t>Walterscheid, RL (corresponding author), Aerosp Corp, Space Sci Applicat Lab, El Segundo, CA 90245 USA.</t>
  </si>
  <si>
    <t>richard.walterscheid@aero.org</t>
  </si>
  <si>
    <t>NSF [ATM-0732222]; NASA [NNX08AM13G]; NASA [NNX08AM13G, 98149] Funding Source: Federal RePORTER</t>
  </si>
  <si>
    <t>NSF(National Science Foundation (NSF)); NASA(National Aeronautics &amp; Space Administration (NASA)); NASA(National Aeronautics &amp; Space Administration (NASA))</t>
  </si>
  <si>
    <t>The VORCORE data were provided by the France's Centre National de la Recherche Scientifique from their web site http://www.lmd.polytechnique.fr/VORCORE/McMurdoE.htm. Research at Aerospace Corporation and UCLA were supported by NSF grant ATM-0732222. Research at The Aerospace Corporation was also supported by NASA grant NNX08AM13G.</t>
  </si>
  <si>
    <t>MAY 2</t>
  </si>
  <si>
    <t>D09105</t>
  </si>
  <si>
    <t>10.1029/2011JD016731</t>
  </si>
  <si>
    <t>937SG</t>
  </si>
  <si>
    <t>WOS:000303678300002</t>
  </si>
  <si>
    <t>Pandit, D; Panigrahi, MK</t>
  </si>
  <si>
    <t>Pandit, Dinesh; Panigrahi, Mruganka Kumar</t>
  </si>
  <si>
    <t>Comparative petrogenesis and tectonics of Paleoproterozoic Malanjkhand and Dongargarh granitoids, Central India</t>
  </si>
  <si>
    <t>JOURNAL OF ASIAN EARTH SCIENCES</t>
  </si>
  <si>
    <t>Malanjkhand granitoid; Dongargarh granitoids; Petrogenesis; Magma mixing; Tectonic setting</t>
  </si>
  <si>
    <t>HIGH-FIELD-STRENGTH; COPPER-MOLYBDENUM MINERALIZATION; ZIRCON SATURATION; TRACE-ELEMENTS; EXPERIMENTAL CALIBRATION; MICROGRANULAR ENCLAVES; CONTINENTAL-CRUST; ZR/HF RATIOS; MANTLE; MAGMA</t>
  </si>
  <si>
    <t>The Malanjkhand granitoid (MG) and two units of Dongargarh granitoids (DGs) represent contemporaneous episodes of Paleoproterozoic felsic magmatism in the Bastar Craton, Central India. A comparative geochemical study is carried out between the mineralized Malanjkhand granitoid (MG) and barren Dongargarh granitoids (DGs) that occur adjacent to each other separated by the Dongargarh Group of rocks. Major element oxides geochemistry reveals that MG is granite-granodiorite whereas DG is strictly granite in composition and both plutons show calc-alkaline affinity. Geochemical discrimination indicates that MG is an l-type, whereas an A-type affinity can only be suspected in case of DG and both can be labeled as 'peraluminous'. Trace element data from these Paleoproterozoic granitoids indicate that they evolved in a tectonic environment similar to continental rift setting. HFSE ratios suggest variable degree of fractionation of highly differentiated granitic magma was a very complex crystallization process results in the formation of these two granitoids by common mechanism, possibly fluid separation might be involved. Highly fractionated REE and depleted MREE patterns with Eu-anomaly absent in MG and negative in DG, inferred that the parental magma derived by low-degree partial melting of heterogeneous mafic source probably amphibolitic in nature, followed by progressive differentiation. Zircon saturation temperature and Zr content reveals that MG crystallized from wet melt whereas DG crystallized from relatively dry melt but both are classify as hot-granites. Thermobarometric calculations indicates that MG has emplaced at upper level whereas DG at relatively deeper or middle-upper level in the continental crust. The origin of Palaeoproterozoic granitoids in Central India has attributed to the magma mixing process between crustal derived felsic and mafic magma contributed by basaltic underplating in a continental rift environment. (C) 2012 Elsevier Ltd. All rights reserved.</t>
  </si>
  <si>
    <t>[Pandit, Dinesh] Natl Ctr Antarctic &amp; Ocean Res, Vasco Da Gama 403804, Goa, India; [Pandit, Dinesh] Natl Geophys Res Inst, Hyderabad 500007, Andhra Pradesh, India; [Panigrahi, Mruganka Kumar] Indian Inst Technol, Dept Geol &amp; Geophys, Kharagpur 721302, W Bengal, India</t>
  </si>
  <si>
    <t>Ministry of Earth Sciences (MoES) - India; National Centre for Polar and Ocean Research (NCPOR); Council of Scientific &amp; Industrial Research (CSIR) - India; CSIR - National Geophysical Research Institute (NGRI); Indian Institute of Technology System (IIT System); Indian Institute of Technology (IIT) - Kharagpur</t>
  </si>
  <si>
    <t>Pandit, D (corresponding author), Natl Ctr Antarctic &amp; Ocean Res, Vasco Da Gama 403804, Goa, India.</t>
  </si>
  <si>
    <t>dpandit@hotmail.com</t>
  </si>
  <si>
    <t>Pandit, Dinesh/AAM-6990-2021</t>
  </si>
  <si>
    <t>Pandit, Dinesh/0000-0003-1722-6586</t>
  </si>
  <si>
    <t>Council of Scientific and Industrial Research (CSIR), Government of India; Department of Science and Technology (DST), Government of India [ESS/16/246/2005]; host Department</t>
  </si>
  <si>
    <t>Council of Scientific and Industrial Research (CSIR), Government of India(Council of Scientific &amp; Industrial Research (CSIR) - India); Department of Science and Technology (DST), Government of India(Department of Science &amp; Technology (India)); host Department</t>
  </si>
  <si>
    <t>DP acknowledged to Council of Scientific and Industrial Research (CSIR), Government of India for financial supports in terms of Research Fellowship, which is also a part of his Ph.D. dissertation. The research work carried out by M.K.P. had been also received financial supports from Department of Science and Technology (DST), Government of India in terms of a sponsored project (ESS/16/246/2005). X-ray fluorescence analysis was done with a Philips PW 2404 XRF Spectrometer available to the authors in the host Department. The ICP-MS analysis of REEs was done with a Varian 820 MS quadrupole mass spectrometer, available to the Department under the FIST program of DST, Government of India. The support from the host Department is duly acknowledged. Authors also likes to thanks B. Chattopadhyay, S.K. Sengupta, and S. Nandi, EPMA Laboratory, Geological Survey of India, Kolkata, for technical supports during EPMA analysis. Prof. Borming Jahn is thanked for editorial handling. We are also thankful to two anonymous referees for their thoughtful comments on our previous version of the manuscript. This is NCAOR contribution no 05/2012.</t>
  </si>
  <si>
    <t>1367-9120</t>
  </si>
  <si>
    <t>1878-5786</t>
  </si>
  <si>
    <t>J ASIAN EARTH SCI</t>
  </si>
  <si>
    <t>J. Asian Earth Sci.</t>
  </si>
  <si>
    <t>10.1016/j.jseaes.2012.01.017</t>
  </si>
  <si>
    <t>934GN</t>
  </si>
  <si>
    <t>WOS:000303431900003</t>
  </si>
  <si>
    <t>Lu, H; Pancheva, D; Mukhtarov, P; Cnossen, I</t>
  </si>
  <si>
    <t>Lu, Hua; Pancheva, Dora; Mukhtarov, Plamen; Cnossen, Ingrid</t>
  </si>
  <si>
    <t>QBO modulation of traveling planetary waves during northern winter</t>
  </si>
  <si>
    <t>QUASI-BIENNIAL OSCILLATION; GENERAL-CIRCULATION MODEL; MIDLATITUDE ATMOSPHERIC VARIABILITY; SUDDEN STRATOSPHERIC WARMINGS; TIME SPECTRAL ANALYSIS; 11-YEAR SOLAR-CYCLE; EQUATORIAL QBO; ROSSBY WAVES; INTERANNUAL VARIABILITY; LOWER THERMOSPHERE</t>
  </si>
  <si>
    <t>This study analyzes geopotential height data from the ERA-40 and ERA-Interim reanalyses for the period of 1958-2009 to provide some new insights on the stratospheric Quasi-Biennial Oscillation (QBO) modulation of traveling planetary waves during Northern Hemisphere (NH) winter. In the stratosphere, the zonal wave number 1-3 waves with periods of 22.5-30 days and 45-60 days are found to be significantly stronger at midlatitudes when the QBO at 50 hPa is in its westerly phase than when it is in its easterly phase. The modulation is stronger for eastward propagating and standing waves and weaker for westward propagating waves. A QBO modulation of 11-13 day planetary waves is also found but the effect is dominated by post-satellite data. In the troposphere, significant QBO modulation is only detected in westward propagating waves at zonal wave number 2 with periods of 22.5-30 days in early winter (Oct-Dec). Consistent results in the stratosphere are obtained using the temperature data from SABER/TIMED. The SABER data also show that the QBO effect on the eastward propagating 23-day waves extends into the mesosphere (similar to 70 km) for wave number 1 and only up to the stratopause (similar to 45 km) for wave numbers 2 and 3. We suggest that the 22.5-30 day planetary waves are secondary waves generated by a nonlinear coupling between zonal-mean intraseasonal oscillations (ISO) and the well-known 16-day planetary waves. The QBO modulation of those planetary waves is due to a QBO-ISO interaction. Further studies are needed to prove this hypothesis.</t>
  </si>
  <si>
    <t>[Lu, Hua; Cnossen, Ingrid] British Antarctic Survey, Cambridge CB3 0ET, England; [Pancheva, Dora; Mukhtarov, Plamen] Bulgarian Acad Sci, Inst Geophys, BU-1113 Sofia, Bulgaria; [Cnossen, Ingrid] Natl Ctr Atmospher Res, High Altitude Observ, Boulder, CO 80307 USA</t>
  </si>
  <si>
    <t>UK Research &amp; Innovation (UKRI); Natural Environment Research Council (NERC); NERC British Antarctic Survey; Bulgarian Academy of Sciences; National Center Atmospheric Research (NCAR) - USA</t>
  </si>
  <si>
    <t>Lu, H (corresponding author), British Antarctic Survey, Madingley Rd, Cambridge CB3 0ET, England.</t>
  </si>
  <si>
    <t>hlu@bas.ac.uk</t>
  </si>
  <si>
    <t>Cnossen, Ingrid/E-5809-2010; Lu, Hua/GXA-0276-2022</t>
  </si>
  <si>
    <t>Cnossen, Ingrid/0000-0001-6469-7861; Lu, Hua/0000-0001-9485-5082</t>
  </si>
  <si>
    <t>Natural Environment Research Council (NERC), UK; National Center for Atmospheric Research; National Science Foundation; NERC; NERC [bas0100023] Funding Source: UKRI; Natural Environment Research Council [bas0100023] Funding Source: researchfish</t>
  </si>
  <si>
    <t>Natural Environment Research Council (NERC), UK(UK Research &amp; Innovation (UKRI)Natural Environment Research Council (NERC)); National Center for Atmospheric Research; National Science Foundation(National Science Foundation (NSF)); NERC(UK Research &amp; Innovation (UKRI)Natural Environment Research Council (NERC)); NERC(UK Research &amp; Innovation (UKRI)Natural Environment Research Council (NERC)); Natural Environment Research Council(UK Research &amp; Innovation (UKRI)Natural Environment Research Council (NERC))</t>
  </si>
  <si>
    <t>H.L. is funded by the Natural Environment Research Council (NERC), UK. I.C. is partially funded by NERC as well as by the National Center for Atmospheric Research, which is sponsored by the National Science Foundation. We are grateful to ECMWF for providing the geopotential height data from their reanalysis products and the SABER team for access to the data on http://saber.gats-inc.com. We thank Tony Philips at British Antarctic Survey for help with acquiring and managing the ERA-40 and ERA-Interim data. Finally, we thank three anonymous reviewers for their constructive comments.</t>
  </si>
  <si>
    <t>D09104</t>
  </si>
  <si>
    <t>10.1029/2011JD016901</t>
  </si>
  <si>
    <t>WOS:000303678300003</t>
  </si>
  <si>
    <t>Ishitani, Y; Ujiié, Y; de Vargas, C; Not, F; Takahashi, K</t>
  </si>
  <si>
    <t>Ishitani, Yoshiyuki; Ujiie, Yurika; de Vargas, Colomban; Not, Fabrice; Takahashi, Kozo</t>
  </si>
  <si>
    <t>Phylogenetic Relationships and Evolutionary Patterns of the Order Collodaria (Radiolaria)</t>
  </si>
  <si>
    <t>PLOS ONE</t>
  </si>
  <si>
    <t>COLONIAL RADIOLARIAN; FINE-STRUCTURE; ANTARCTIC GLACIATION; MAXIMUM-LIKELIHOOD; GLOBAL CLIMATE; DNA-SEQUENCES; OCEAN; SEA; EOCENE; ZOOXANTHELLAE</t>
  </si>
  <si>
    <t>Collodaria are the only group of Radiolaria that has a colonial lifestyle. This group is potentially the most important plankton in the oligotrophic ocean because of its large biomass and the high primary productivity associated with the numerous symbionts inside a cell or colony. The evolution of Collodaria could thus be related to the changes in paleo-productivity that have affected organic carbon fixation in the oligotrophic ocean. However, the fossil record of Collodaria is insufficient to trace their abundance through geological time, because most collodarians do not have silicified shells. Recently, molecular phylogeny based on nuclear small sub-unit ribosomal DNA (SSU rDNA) confirmed Collodaria to be one of five orders of Radiolaria, though the relationship among collodarians is still unresolved because of inadequate taxonomic sampling. Our phylogenetic analysis has revealed four novel collodarian sequences, on the basis of which collodarians can be divided into four clades that correspond to taxonomic grouping at the family level: Thalassicollidae, Collozoidae, Collosphaeridae, and Collophidae. Comparison of the results of our phylogenetic analyses with the morphological characteristics of each collodarian family suggests that the first ancestral collodarians had a solitary lifestyle and left no silica deposits. The timing of events estimated from molecular divergence calculations indicates that naked collodarian lineages first appeared around 45.6 million years (Ma) ago, coincident with the diversification of diatoms in the pelagic oceans. Colonial collodarians appeared after the formation of the present ocean circulation system and the development of oligotrophic conditions in the equatorial Pacific (ca. 33.4 Ma ago). The divergence of colonial collodarians probably caused a shift in the efficiency of primary production during this period.</t>
  </si>
  <si>
    <t>[Ishitani, Yoshiyuki] Japan Agcy Marine Earth Sci &amp; Technol JAMSTEC, Yokosuka, Kanagawa, Japan; [Ujiie, Yurika] Kochi Univ, Ctr Adv Marine Core Res, Nankoku, Kochi, Japan; [de Vargas, Colomban; Not, Fabrice] Stn Biolog, UMR CNRS Evolut Plancton &amp; PaleOceans 7144, Roscoff, France; [Takahashi, Kozo] Kyushu Univ, Dept Sci, Higashi Ku, Fukuoka 812, Japan</t>
  </si>
  <si>
    <t>Japan Agency for Marine-Earth Science &amp; Technology (JAMSTEC); Kochi University; Sorbonne Universite; Kyushu University</t>
  </si>
  <si>
    <t>Ishitani, Y (corresponding author), Japan Agcy Marine Earth Sci &amp; Technol JAMSTEC, Yokosuka, Kanagawa, Japan.</t>
  </si>
  <si>
    <t>Ishitani@jamstec.go.jp</t>
  </si>
  <si>
    <t>Not, Fabrice/0000-0002-9342-195X; Ishitani, Yoshiyuki/0000-0001-8941-6990; Takahashi, Kozo/0000-0001-8660-4371; Ujiie, Yurika/0000-0001-7627-7979</t>
  </si>
  <si>
    <t>JSPS [17310009]; Grants-in-Aid for Scientific Research [23241015, 23710012, 10J07648, 17310009] Funding Source: KAKEN</t>
  </si>
  <si>
    <t>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</si>
  <si>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research was entirely supported by a JSPS Grant-in-Aid for Scientific Research (B) Project No. 17310009 (http://www.jsps.go.jp/). The funders had no role in study design, data collection and analysis, decision to publish, or preparation of the manuscript.</t>
  </si>
  <si>
    <t>PUBLIC LIBRARY SCIENCE</t>
  </si>
  <si>
    <t>SAN FRANCISCO</t>
  </si>
  <si>
    <t>1160 BATTERY STREET, STE 100, SAN FRANCISCO, CA 94111 USA</t>
  </si>
  <si>
    <t>1932-6203</t>
  </si>
  <si>
    <t>PLoS One</t>
  </si>
  <si>
    <t>e35775</t>
  </si>
  <si>
    <t>10.1371/journal.pone.0035775</t>
  </si>
  <si>
    <t>959US</t>
  </si>
  <si>
    <t>Green Published, gold</t>
  </si>
  <si>
    <t>WOS:000305341500030</t>
  </si>
  <si>
    <t>Raymond, JA; Kim, HJ</t>
  </si>
  <si>
    <t>Raymond, James A.; Kim, Hak Jun</t>
  </si>
  <si>
    <t>Possible Role of Horizontal Gene Transfer in the Colonization of Sea Ice by Algae</t>
  </si>
  <si>
    <t>DIATOM FRAGILARIOPSIS-CYLINDRUS; ANTIFREEZE PROTEINS; BINDING PROTEINS; MICROBIAL COMMUNITIES; MCMURDO-SOUND; BACTERIA; ANTARCTICA; EVOLUTION; GENOME; MICROORGANISMS</t>
  </si>
  <si>
    <t>Diatoms and other algae not only survive, but thrive in sea ice. Among sea ice diatoms, all species examined so far produce ice-binding proteins (IBPs), whereas no such proteins are found in non-ice-associated diatoms, which strongly suggests that IBPs are essential for survival in ice. The restricted occurrence also raises the question of how the IBP genes were acquired. Proteins with similar sequences and ice-binding activities are produced by ice-associated bacteria, and so it has previously been speculated that the genes were acquired by horizontal transfer (HGT) from bacteria. Here we report several new IBP sequences from three types of ice algae, which together with previously determined sequences reveal a phylogeny that is completely incongruent with algal phylogeny, and that can be most easily explained by HGT. HGT is also supported by the finding that the closest matches to the algal IBP genes are all bacterial genes and that the algal IBP genes lack introns. We also describe a highly freeze-tolerant bacterium from the bottom layer of Antarctic sea ice that produces an IBP with 47% amino acid identity to a diatom IBP from the same layer, demonstrating at least an opportunity for gene transfer. Together, these results suggest that the success of diatoms and other algae in sea ice can be at least partly attributed to their acquisition of prokaryotic IBP genes.</t>
  </si>
  <si>
    <t>[Raymond, James A.] Univ Nevada, Sch Life Sci, Las Vegas, NV 89154 USA; [Kim, Hak Jun] Korea Polar Res Inst, Div Polar Life Sci, Inchon, South Korea; [Kim, Hak Jun] Univ Sci &amp; Technol, Dept Polar Sci, Inchon, South Korea</t>
  </si>
  <si>
    <t>Nevada System of Higher Education (NSHE); University of Nevada Las Vegas; Korea Polar Research Institute (KOPRI); Korea Institute of Ocean Science &amp; Technology (KIOST)</t>
  </si>
  <si>
    <t>Raymond, JA (corresponding author), Univ Nevada, Sch Life Sci, Las Vegas, NV 89154 USA.</t>
  </si>
  <si>
    <t>raymond@unlv.nevada.edu</t>
  </si>
  <si>
    <t>NSF [0088000]; National Agenda Project from The Korea Research Council of Fundamental Science &amp; Technology (KRCF); Korea Polar Research Institute (KOPRI) [PG11010, PE11100]; Office of Polar Programs (OPP); Directorate For Geosciences [0088000] Funding Source: National Science Foundation</t>
  </si>
  <si>
    <t>NSF(National Science Foundation (NSF)); National Agenda Project from The Korea Research Council of Fundamental Science &amp; Technology (KRCF); Korea Polar Research Institute (KOPRI); Office of Polar Programs (OPP); Directorate For Geosciences(National Science Foundation (NSF)NSF - Directorate for Geosciences (GEO))</t>
  </si>
  <si>
    <t>Collections of sea ice and diatom samples in McMurdo Sound, Antarctica, were supported by NSF grant 0088000 to JR. The Pyramimonas studies and part of the F. frigoris studies were supported by the National Agenda Project from The Korea Research Council of Fundamental Science &amp; Technology (KRCF) and the Korea Polar Research Institute (KOPRI) (Grant nos. PG11010 and PE11100 to HJK). Additional material support was provided by the University of Nevada Las Vegas. The funders had no role in study design, data collection and analysis, decision to publish, or preparation of the manuscript.</t>
  </si>
  <si>
    <t>e35968</t>
  </si>
  <si>
    <t>10.1371/journal.pone.0035968</t>
  </si>
  <si>
    <t>gold, Green Published, Green Submitted</t>
  </si>
  <si>
    <t>WOS:000305341500039</t>
  </si>
  <si>
    <t>Kelcey, J; Lucieer, A</t>
  </si>
  <si>
    <t>Kelcey, Joshua; Lucieer, Arko</t>
  </si>
  <si>
    <t>Sensor Correction of a 6-Band Multispectral Imaging Sensor for UAV Remote Sensing</t>
  </si>
  <si>
    <t>REMOTE SENSING</t>
  </si>
  <si>
    <t>UAV; sensor correction; radiometric correction</t>
  </si>
  <si>
    <t>Unmanned aerial vehicles (UAVs) represent a quickly evolving technology, broadening the availability of remote sensing tools to small-scale research groups across a variety of scientific fields. Development of UAV platforms requires broad technical skills covering platform development, data post-processing, and image analysis. UAV development is constrained by a need to balance technological accessibility, flexibility in application and quality in image data. In this study, the quality of UAV imagery acquired by a miniature 6-band multispectral imaging sensor was improved through the application of practical image-based sensor correction techniques. Three major components of sensor correction were focused upon: noise reduction, sensor-based modification of incoming radiance, and lens distortion. Sensor noise was reduced through the use of dark offset imagery. Sensor modifications through the effects of filter transmission rates, the relative monochromatic efficiency of the sensor and the effects of vignetting were removed through a combination of spatially/spectrally dependent correction factors. Lens distortion was reduced through the implementation of the Brown-Conrady model. Data post-processing serves dual roles in data quality improvement, and the identification of platform limitations and sensor idiosyncrasies. The proposed corrections improve the quality of the raw multispectral imagery, facilitating subsequent quantitative image analysis.</t>
  </si>
  <si>
    <t>[Kelcey, Joshua; Lucieer, Arko] Univ Tasmania, Sch Geog &amp; Environm Studies, Hobart, Tas 7001, Australia</t>
  </si>
  <si>
    <t>University of Tasmania</t>
  </si>
  <si>
    <t>Kelcey, J (corresponding author), Univ Tasmania, Sch Geog &amp; Environm Studies, Private Bag 76, Hobart, Tas 7001, Australia.</t>
  </si>
  <si>
    <t>josh.kelcey@utas.edu.au; arko.lucieer@utas.edu.au</t>
  </si>
  <si>
    <t>Lucieer, Arko/F-1247-2013</t>
  </si>
  <si>
    <t>Lucieer, Arko/0000-0002-9468-4516</t>
  </si>
  <si>
    <t>Winifred Violet Scott Trust; Australian Antarctic Division</t>
  </si>
  <si>
    <t>We would like to acknowledge the Winifred Violet Scott Trust and the Australian Antarctic Division for financially supporting this project. We thank Darren Turner for his technical input and UAV piloting skills in the field. Finally, we would like to thank Steven de Jong for his comments on an earlier version of this manuscript.</t>
  </si>
  <si>
    <t>MDPI AG</t>
  </si>
  <si>
    <t>BASEL</t>
  </si>
  <si>
    <t>POSTFACH, CH-4005 BASEL, SWITZERLAND</t>
  </si>
  <si>
    <t>2072-4292</t>
  </si>
  <si>
    <t>REMOTE SENS-BASEL</t>
  </si>
  <si>
    <t>Remote Sens.</t>
  </si>
  <si>
    <t>MAY</t>
  </si>
  <si>
    <t>10.3390/rs4051462</t>
  </si>
  <si>
    <t>Environmental Sciences; Geosciences, Multidisciplinary; Remote Sensing; Imaging Science &amp; Photographic Technology</t>
  </si>
  <si>
    <t>Environmental Sciences &amp; Ecology; Geology; Remote Sensing; Imaging Science &amp; Photographic Technology</t>
  </si>
  <si>
    <t>978PR</t>
  </si>
  <si>
    <t>Green Submitted, Green Accepted, gold</t>
  </si>
  <si>
    <t>WOS:000306757800018</t>
  </si>
  <si>
    <t>Gangai, B; Lucic, D; Morovic, M; Brautovic, I; Miloslavic, M</t>
  </si>
  <si>
    <t>Gangai, Barbara; Lucic, Davor; Morovic, Mira; Brautovic, Igor; Miloslavic, Marijana</t>
  </si>
  <si>
    <t>POPULATION STRUCTURE AND DIEL VERTICAL MIGRATION OF EUPHAUSIID LARVAE IN THE OPEN SOUTHERN ADRIATIC SEA (JULY 2003)</t>
  </si>
  <si>
    <t>CRUSTACEANA</t>
  </si>
  <si>
    <t>ANTARCTIC KRILL; ZOOPLANKTON; CRUSTACEA; SUPERBA; GROWTH; WATERS; PACIFICA; ECOLOGY; MEDUSAE; DANA</t>
  </si>
  <si>
    <t>The composition, bathymetric distribution, and diel vertical migration of larval euphausiids in the oligotrophic southern Adriatic Sea were studied during the summer of 2003. Larvae of 11 species were identified. Of these, Thysanoessa gregaria is reported for the first time from the Adriatic Sea. Information is presented on the distribution and diet migrations of the five dominant species. Nematoscelis megalops furciliae had the widest bathymetric range, extending from surface to the bottom (1200 m); larvae of Stylocheiron maximum were found from 100 to 1200 m. Euphausia krohnii (calyptopes and furciliae), Stylocheiron abbreviatum calyptopes, and Stylocheiron longicorne furciliae ranged over 800 m. S. abbreviatum (furciliae) and S. longicorne (calyptopes) had more restricted bathymetric distributions. Different populations were associated with layers characterized by specific light intensities. Three migration patterns were observed: (i) nocturnal ascent to upper layers (E. krohnii, N. megalops, S. abbreviatum); (ii) scattered population through the water column (S. maximum); (iii) migration to upper layers at midday and night, and descent during the morning and evening (S. longicorne). Different stages of the same species showed different preferences for light intensity.</t>
  </si>
  <si>
    <t>[Gangai, Barbara; Lucic, Davor; Brautovic, Igor; Miloslavic, Marijana] Univ Dubrovnik, Inst Marine &amp; Coastal Res, HR-20000 Dubrovnik, Croatia; [Morovic, Mira] Inst Oceanog &amp; Fisheries, HR-21000 Split, Croatia</t>
  </si>
  <si>
    <t>University of Dubrovnik; Croatian Institute of Oceanography &amp; Fisheries (IZOR)</t>
  </si>
  <si>
    <t>Gangai, B (corresponding author), Univ Dubrovnik, Inst Marine &amp; Coastal Res, Damjana Jude 12,POB 83, HR-20000 Dubrovnik, Croatia.</t>
  </si>
  <si>
    <t>barbara.gangai@unidu.hr</t>
  </si>
  <si>
    <t>Hure, Marijana/HKE-6335-2023</t>
  </si>
  <si>
    <t>Hure, Marijana/0000-0003-2124-2773</t>
  </si>
  <si>
    <t>Ministry of Science, Education, and Sport of the Republic of Croatia; University of Dubrovnik (Croatia)</t>
  </si>
  <si>
    <t>Ministry of Science, Education, and Sport of the Republic of Croatia(Ministry of Science, Education and Sports, Republic of Croatia); University of Dubrovnik (Croatia)</t>
  </si>
  <si>
    <t>We acknowledge support of the Ministry of Science, Education, and Sport of the Republic of Croatia and of the University of Dubrovnik (Croatia). We express our gratitude to Dr. J. P. Casanova for his help in species identification.</t>
  </si>
  <si>
    <t>BRILL ACADEMIC PUBLISHERS</t>
  </si>
  <si>
    <t>LEIDEN</t>
  </si>
  <si>
    <t>PLANTIJNSTRAAT 2, P O BOX 9000, 2300 PA LEIDEN, NETHERLANDS</t>
  </si>
  <si>
    <t>0011-216X</t>
  </si>
  <si>
    <t>1568-5403</t>
  </si>
  <si>
    <t>Crustaceana</t>
  </si>
  <si>
    <t>10.1163/156854012X643942</t>
  </si>
  <si>
    <t>Marine &amp; Freshwater Biology</t>
  </si>
  <si>
    <t>977CB</t>
  </si>
  <si>
    <t>WOS:000306632900003</t>
  </si>
  <si>
    <t>Fukuda, Y; Mukai, T; Sawada, K; Iida, K</t>
  </si>
  <si>
    <t>Fukuda, Yoshiaki; Mukai, Tohru; Sawada, Kouichi; Iida, Kohji</t>
  </si>
  <si>
    <t>Lateral target strength of Euphausia Pacifica measured by a tethered method</t>
  </si>
  <si>
    <t>NIPPON SUISAN GAKKAISHI</t>
  </si>
  <si>
    <t>Japanese</t>
  </si>
  <si>
    <t>ANTARCTIC KRILL; SOUND-SCATTERING; SWIMMING BEHAVIOR; 120 KHZ; ZOOPLANKTON; ORIENTATION; BACKSCATTERING; EQUATION; MODELS</t>
  </si>
  <si>
    <t>Side-aspect target strengths (TS) of Euphausia pacifica (10.9 similar to 19.6 mm in total length [TL], n = 44) were measured as a function of the incident angle of the ensonified wave at 120 kHz and 200 kHz. These measurements were compared with the theoretical predictions by the Distorted-Wave Born Approximation-based deformed-cylinder model (DWBA model). The measurements agreed with the predictions. Dorsal-aspect TSs as a function of the incident angle of the ensonified wave were also predicted by taking the curvature of the body in their swimming condition into account. The relationship between the reduced maximum TS (TScm, max) in dorsal aspect by the DWBA model and the total length to wavelength ratio (TL/lambda) was expressed by TScm, max = 36.5 log TL/lambda-91.4.</t>
  </si>
  <si>
    <t>[Fukuda, Yoshiaki] Hokkaido Univ, Grad Sch Fisheries Sci, Hakodate, Hokkaido 0418611, Japan; [Mukai, Tohru; Iida, Kohji] Hokkaido Univ, Fac Fisheries Sci, Hakodate, Hokkaido 0418611, Japan; [Sawada, Kouichi] Fisheries Res Agcy, Natl Res Inst Fisheries Engn, Ibaraki 3140408, Japan</t>
  </si>
  <si>
    <t>Hokkaido University; Hokkaido University; Japan Fisheries Research &amp; Education Agency (FRA)</t>
  </si>
  <si>
    <t>Fukuda, Y (corresponding author), Hokkaido Univ, Grad Sch Fisheries Sci, Hakodate, Hokkaido 0418611, Japan.</t>
  </si>
  <si>
    <t>fukudajjj@gmail.com</t>
  </si>
  <si>
    <t>Mukai, Tohru/F-9143-2012</t>
  </si>
  <si>
    <t>JAPANESE SOC FISHERIES SCIENCE</t>
  </si>
  <si>
    <t>TOKYO</t>
  </si>
  <si>
    <t>C/O TOKYO UNIV FISHERIES, KONAN 4, MINATO, TOKYO, 108-8477, JAPAN</t>
  </si>
  <si>
    <t>0021-5392</t>
  </si>
  <si>
    <t>NIPPON SUISAN GAKK</t>
  </si>
  <si>
    <t>Nippon Suisan Gakkaishi</t>
  </si>
  <si>
    <t>Fisheries</t>
  </si>
  <si>
    <t>973UE</t>
  </si>
  <si>
    <t>WOS:000306384500007</t>
  </si>
  <si>
    <t>Schlosser, C; De La Rocha, CL; Streu, P; Croot, PL</t>
  </si>
  <si>
    <t>Schlosser, Christian; De La Rocha, Christina L.; Streu, Peter; Croot, Peter L.</t>
  </si>
  <si>
    <t>Solubility of iron in the Southern Ocean</t>
  </si>
  <si>
    <t>LIMNOLOGY AND OCEANOGRAPHY</t>
  </si>
  <si>
    <t>NORTH PACIFIC-OCEAN; IRON(III) HYDROXIDE SOLUBILITY; DISSOLVED ORGANIC-MATTER; EQUATORIAL PACIFIC; ATLANTIC-OCEAN; TRACE-METALS; SEA-WATER; PRYDZ BAY; SEAWATER; SPECIATION</t>
  </si>
  <si>
    <t>Iron solubility (cFeS) ranged from 0.4 to 1.5 nmol L-1, decreasing from south to north in three different Southern Ocean zones (the Coastal Zone, the Antarctic Zone, and the Polar Frontal Zone plus the Subantarctic Zone). This decrease was at times correlated with an increase in temperature. Organic Fe solubility (cFe(S, org)), which was obtained by subtracting from total measured Fe solubility the solubility of inorganic species of iron (Fe) at the measurement temperature (20 degrees C), ranged from 0.3 to 1.3 nmol L-1, representing an average of 32 +/- 14% of the concentration of ligands in the dissolved size fraction as determined via competitive ligand exchange-absorptive cathodic stripping voltammetry (barring a handful of extremely high values from a transect run to the east of Prydz Bay). Values of cFe(S) were mainly lower than the predicted value for inorganic Fe solubility at the in situ temperature. Total in situ Fe solubility (cFe(S, adj)) was therefore estimated by adjusting for inorganic Fe solubility at in situ temperatures (between -2 degrees C and +18 degrees C). Because in situ temperatures in the Antarctic Circumpolar Current were mostly lower than +3 degrees C, such cFe(S, adj) values, ranging from 0.5 to 1.8 nmol L-1, were roughly twice as large as cFe(S, org). The adjustment relies heavily on model calculations of inorganic Fe solubility but, if correct, indicates that the bulk of the solubility of Fe in the cold waters of the Southern Ocean is tied to the solubility of inorganic Fe rather than to Fe ligands in the soluble size fraction.</t>
  </si>
  <si>
    <t>[Schlosser, Christian; Streu, Peter; Croot, Peter L.] Univ Kiel IFM GEOMAR, Leibniz Inst Meereswissensch, Kiel, Germany; [Schlosser, Christian] Natl Oceanog Ctr, Southampton, Hants, England; [De La Rocha, Christina L.] Alfred Wegener Insitut Polar &amp; Meeresforsch, Bremerhaven, Germany; [De La Rocha, Christina L.] Univ Bretagne Occidentale, Lab Sci Environm Marin LEMAR, IUEM, Plouzane, France; [Croot, Peter L.] Plymouth Marine Lab, Plymouth, Devon, England</t>
  </si>
  <si>
    <t>University of Kiel; Helmholtz Association; GEOMAR Helmholtz Center for Ocean Research Kiel; NERC National Oceanography Centre; Helmholtz Association; Alfred Wegener Institute, Helmholtz Centre for Polar &amp; Marine Research; Universite de Bretagne Occidentale; Institut Universitaire Europeen de la Mer (IUEM); Centre National de la Recherche Scientifique (CNRS); Ifremer; Institut de Recherche pour le Developpement (IRD); Plymouth Marine Laboratory</t>
  </si>
  <si>
    <t>Schlosser, C (corresponding author), Univ Kiel IFM GEOMAR, Leibniz Inst Meereswissensch, Kiel, Germany.</t>
  </si>
  <si>
    <t>C.Schlosser@noc.soton.ac.uk</t>
  </si>
  <si>
    <t>Croot, Peter/C-8460-2009; Croot, Peter/U-5296-2019</t>
  </si>
  <si>
    <t>Croot, Peter/0000-0003-1396-0601;</t>
  </si>
  <si>
    <t>Deutsche Forschungsgemeinschaft (DFG) [CR145/5-1, CR145/11-1]; CDLR [DE1455/1-1]</t>
  </si>
  <si>
    <t>Deutsche Forschungsgemeinschaft (DFG)(German Research Foundation (DFG)); CDLR</t>
  </si>
  <si>
    <t>We thank the captain and crew of the R/V Polarstern (ANTXXIII/9) and the anonymous reviewers who provided constructive comments on the manuscript. This work was supported by the Deutsche Forschungsgemeinschaft (DFG)-Schwerpunktprogramm 1158 Anarktisforschung via grants awarded to PC (CR145/5-1 and CR145/11-1) and CDLR (DE1455/1-1).</t>
  </si>
  <si>
    <t>WILEY</t>
  </si>
  <si>
    <t>HOBOKEN</t>
  </si>
  <si>
    <t>111 RIVER ST, HOBOKEN 07030-5774, NJ USA</t>
  </si>
  <si>
    <t>0024-3590</t>
  </si>
  <si>
    <t>1939-5590</t>
  </si>
  <si>
    <t>LIMNOL OCEANOGR</t>
  </si>
  <si>
    <t>Limnol. Oceanogr.</t>
  </si>
  <si>
    <t>10.4319/lo.2012.57.3.0684</t>
  </si>
  <si>
    <t>Limnology; Oceanography</t>
  </si>
  <si>
    <t>Marine &amp; Freshwater Biology; Oceanography</t>
  </si>
  <si>
    <t>971XJ</t>
  </si>
  <si>
    <t>Green Accepted, Bronze</t>
  </si>
  <si>
    <t>WOS:000306239300002</t>
  </si>
  <si>
    <t>Sereda, JM; Vandergucht, DM; Hudson, JJ</t>
  </si>
  <si>
    <t>Sereda, Jeff M.; Vandergucht, David M.; Hudson, Jeff J.</t>
  </si>
  <si>
    <t>In Situ UVA Exposure Modulates Change in the Uptake of Radiophosphate in Size-Fractionated Plankton Assemblages Following UVR Exposure</t>
  </si>
  <si>
    <t>MICROBIAL ECOLOGY</t>
  </si>
  <si>
    <t>SOLAR ULTRAVIOLET-RADIATION; NATURAL PHYTOPLANKTON COMMUNITIES; BOREAL LAKE PHYTOPLANKTON; PHOSPHATE-UPTAKE; FRESH-WATER; B RADIATION; ANTARCTIC PHYTOPLANKTON; MARINE BACTERIOPLANKTON; PHOSPHORUS-NUTRITION; NUTRIENT LIMITATION</t>
  </si>
  <si>
    <t>We investigated the effect of ultraviolet radiation (UVR) on the uptake and partitioning of radiophosphate ((PO)-P-33 (4) (3-) ) in size-fractionated plankton assemblages (0.2-0.8, 0.8-2.0 and &gt; 2.0 mu m) collected from nine freshwater lakes located in Saskatchewan, Canada. A significant (p &lt; 0.05) reduction in (PO)-P-33 (4) (3-) uptake by plankton was observed in seven of the nine lakes. Plankton &gt; 2.0 mu m were generally unaffected by UVR, whereas the 0.2-0.8 mu m size fraction exhibited severe photoinhibition. The effect of UVR on the 0.8-2.0 mu m size fraction was variable, ranging from significant reductions to significant increases in (PO)-P-33 (4) (3-) uptake. The &gt; 2.0 mu m size fraction was composed of a diversity of phytoplankton genera, suggesting that P uptake mechanisms for a range of phytoplankton are resistant to UVR. Our ability to detect a UVR effect on specific plankton size fractions was confounded by the resolution of the analysis. That is, only examining the &lt; 2.0 and &gt; 2.0 mu m size fractions concealed the effect of UVR on plankton &lt; 0.8 mu m. The magnitude of decrease in P uptake by plankton &lt; 0.8 mu m was significantly and negatively correlated with in situ UVA exposure. Our results underscore the need for studies to consider both the size resolution of their analysis (i.e., the size of target organisms) and the ambient light conditions under which organisms may have acclimated before generalizing results across limnetic systems.</t>
  </si>
  <si>
    <t>[Sereda, Jeff M.; Vandergucht, David M.; Hudson, Jeff J.] Univ Saskatchewan, Dept Biol, Saskatoon, SK S7N 5E2, Canada</t>
  </si>
  <si>
    <t>University of Saskatchewan</t>
  </si>
  <si>
    <t>Sereda, JM (corresponding author), Univ Saskatchewan, Dept Biol, Saskatoon, SK S7N 5E2, Canada.</t>
  </si>
  <si>
    <t>jeff.sereda@usask.ca</t>
  </si>
  <si>
    <t>hudson, jeff/G-6171-2012</t>
  </si>
  <si>
    <t>hudson, jeff/0000-0002-0256-3240</t>
  </si>
  <si>
    <t>NSERC (Canada); University of Saskatchewan; NSERC</t>
  </si>
  <si>
    <t>NSERC (Canada)(Natural Sciences and Engineering Research Council of Canada (NSERC)); University of Saskatchewan; NSERC(Natural Sciences and Engineering Research Council of Canada (NSERC))</t>
  </si>
  <si>
    <t>This research was supported by NSERC (Canada) funding to JJH and University of Saskatchewan scholarship to JMS and a NSERC scholarship to DMV.</t>
  </si>
  <si>
    <t>SPRINGER</t>
  </si>
  <si>
    <t>NEW YORK</t>
  </si>
  <si>
    <t>233 SPRING ST, NEW YORK, NY 10013 USA</t>
  </si>
  <si>
    <t>0095-3628</t>
  </si>
  <si>
    <t>MICROB ECOL</t>
  </si>
  <si>
    <t>Microb. Ecol.</t>
  </si>
  <si>
    <t>10.1007/s00248-011-9982-9</t>
  </si>
  <si>
    <t>Ecology; Marine &amp; Freshwater Biology; Microbiology</t>
  </si>
  <si>
    <t>Environmental Sciences &amp; Ecology; Marine &amp; Freshwater Biology; Microbiology</t>
  </si>
  <si>
    <t>970KM</t>
  </si>
  <si>
    <t>WOS:000306127300005</t>
  </si>
  <si>
    <t>Kozlovskii, AG; Zhelifonova, VP; Antipova, TV; Baskunov, BP; Kochkina, GA; Ozerskaya, SM</t>
  </si>
  <si>
    <t>Kozlovskii, A. G.; Zhelifonova, V. P.; Antipova, T. V.; Baskunov, B. P.; Kochkina, G. A.; Ozerskaya, S. M.</t>
  </si>
  <si>
    <t>Secondary metabolite profiles of the Penicillium fungi isolated from the arctic and antarctic permafrost as elements of polyphase taxonomy</t>
  </si>
  <si>
    <t>MICROBIOLOGY</t>
  </si>
  <si>
    <t>microscopic fungi; subgenus Penicillium; secondary metabolites; taxonomy</t>
  </si>
  <si>
    <t>The secondary metabolite profiles of the fungi of the subgenus Penicillium of the genus Penicillium isolated from permafrost were studied. Most of the tested strains synthesized biologically active alkaloids and polyketides. A novel producer of fumiquinazolines F and G was found. Species names of the strains were defined more exactly on the basis of their secondary metabolite profiles and micro- and macromorphological characteristics.</t>
  </si>
  <si>
    <t>[Kozlovskii, A. G.; Zhelifonova, V. P.; Antipova, T. V.; Baskunov, B. P.; Kochkina, G. A.; Ozerskaya, S. M.] Russian Acad Sci, Skryabin Inst Biochem &amp; Physiol Microorganisms, Pushchino 142290, Moscow Oblast, Russia</t>
  </si>
  <si>
    <t>Russian Academy of Sciences; Pushchino Scientific Center for Biological Research (PSCBI) of the Russian Academy of Sciences</t>
  </si>
  <si>
    <t>Kozlovskii, AG (corresponding author), Russian Acad Sci, Skryabin Inst Biochem &amp; Physiol Microorganisms, Pr Nauki 5, Pushchino 142290, Moscow Oblast, Russia.</t>
  </si>
  <si>
    <t>kozlovski@ibpm.pushchino.ru</t>
  </si>
  <si>
    <t>Zhelifonova, Valentina/AAE-3426-2020; Antipova, Tatiana V/P-8218-2016; Kozlovsky, Anatoly G/V-1120-2017; Ozerskaya, Svetlana/J-3821-2018; KOCHKINA, GALINA/AAR-7765-2020; Antipova, Tatiana/P-5686-2018</t>
  </si>
  <si>
    <t>Ozerskaya, Svetlana/0000-0002-0373-7521; KOCHKINA, GALINA/0000-0002-5893-7782; Antipova, Tatiana/0000-0002-4860-2647; Baskunov, Boris/0000-0002-0342-2431; Zhelifonova, Valentina/0000-0001-9213-9584</t>
  </si>
  <si>
    <t>Federal Targeted Programme Research and Development in Priority Fields of S&amp;T Complex of Russia [16.518.7035]</t>
  </si>
  <si>
    <t>Federal Targeted Programme Research and Development in Priority Fields of S&amp;T Complex of Russia</t>
  </si>
  <si>
    <t>The work was supported by the Federal Targeted Programme Research and Development in Priority Fields of S&amp;T Complex of Russia for 2007-2013 (contract no. 16.518.7035).</t>
  </si>
  <si>
    <t>MAIK NAUKA/INTERPERIODICA/SPRINGER</t>
  </si>
  <si>
    <t>233 SPRING ST, NEW YORK, NY 10013-1578 USA</t>
  </si>
  <si>
    <t>0026-2617</t>
  </si>
  <si>
    <t>1608-3237</t>
  </si>
  <si>
    <t>MICROBIOLOGY+</t>
  </si>
  <si>
    <t>Microbiology</t>
  </si>
  <si>
    <t>10.1134/S0026261712030071</t>
  </si>
  <si>
    <t>953NL</t>
  </si>
  <si>
    <t>WOS:000304875300006</t>
  </si>
  <si>
    <t>Koshlyakov, MN; Gladyshev, SV; Tarakanov, RY; Fedorov, DA</t>
  </si>
  <si>
    <t>Koshlyakov, M. N.; Gladyshev, S. V.; Tarakanov, R. Yu.; Fedorov, D. A.</t>
  </si>
  <si>
    <t>Currents in the drake passage based on the observations in November of 2010</t>
  </si>
  <si>
    <t>OCEANOLOGY</t>
  </si>
  <si>
    <t>JANUARY</t>
  </si>
  <si>
    <t>The currents in the central part of the Drake Passage are investigated by analyzing the CTD and SADCP data over the section across the Drake Passage occupied in November 2010 and satellite altimetry data. All eight of the jets of the Antarctic Circumpolar Current, which are currently identidifed, were resolved by the section. The velocities and water transports of these jets are estimated. Three synoptic scale eddies with different vertical structures were revealed; hypotheses on the physical nature of these eddies are discussed.</t>
  </si>
  <si>
    <t>[Koshlyakov, M. N.; Gladyshev, S. V.; Tarakanov, R. Yu.; Fedorov, D. A.] Russian Acad Sci, PP Shirshov Oceanol Inst, Moscow, Russia</t>
  </si>
  <si>
    <t>Russian Academy of Sciences; Shirshov Institute of Oceanology</t>
  </si>
  <si>
    <t>Koshlyakov, MN (corresponding author), Russian Acad Sci, PP Shirshov Oceanol Inst, Moscow, Russia.</t>
  </si>
  <si>
    <t>mnkoshl@ocean.ru</t>
  </si>
  <si>
    <t>Tarakanov, Roman/R-3325-2016; Gladyshev, Sergey/N-6508-2017</t>
  </si>
  <si>
    <t>Tarakanov, Roman/0000-0002-8711-1859;</t>
  </si>
  <si>
    <t>Russian Foundation for Basic Research [12-05-00131a, 12-05-00277a, 10-05-00029a]; Fundamental Research of the Presidium of the Russian Academy of Sciences [21]</t>
  </si>
  <si>
    <t>Russian Foundation for Basic Research(Russian Foundation for Basic Research (RFBR)Spanish Government); Fundamental Research of the Presidium of the Russian Academy of Sciences</t>
  </si>
  <si>
    <t>This work was supported by the Russian Foundation for Basic Research (project nos. 12-05-00131a, 12-05-00277a, and 10-05-00029a) and by Program No. 21 of Fundamental Research of the Presidium of the Russian Academy of Sciences (project Hydrological Structure and Circulation of Waters of the Southern Ocean). The expedition was conducted in the framework of the interdepartmental project Meridian Plus.</t>
  </si>
  <si>
    <t>0001-4370</t>
  </si>
  <si>
    <t>1531-8508</t>
  </si>
  <si>
    <t>OCEANOLOGY+</t>
  </si>
  <si>
    <t>Oceanology</t>
  </si>
  <si>
    <t>10.1134/S000143701203006X</t>
  </si>
  <si>
    <t>965TO</t>
  </si>
  <si>
    <t>WOS:000305790400001</t>
  </si>
  <si>
    <t>Schreider, AA; Schreider, AA; Kashintsev, GL</t>
  </si>
  <si>
    <t>Schreider, Al. A.; Schreider, A. A.; Kashintsev, G. L.</t>
  </si>
  <si>
    <t>The Australian-Antarctic segment of Gondwana</t>
  </si>
  <si>
    <t>NORTHERN VICTORIA LAND; LACHLAN FOLD BELT; EAST-ANTARCTICA; TECTONIC RECONSTRUCTIONS; SOUTHEASTERN AUSTRALIA; SOUTHERN MARGIN; GAWLER CRATON; INDIAN-OCEAN; EVOLUTION; PLATE</t>
  </si>
  <si>
    <t>Australia is one of the major continental terranes in Gondwana's structure. At the same time, the precise position of Australia in this structure has not yet been clearly identified. According to different works, Australia is connected to Antarctica in a number of areas near Wilkes Land, Adelie Land, and Victoria Land. The comprehensive analysis of the geological and geophysical data allows us to reconstruct the optimal relative position of the continents and to reach a conclusion about the propagation of the tectonic structures of Australia towards Antarctica.</t>
  </si>
  <si>
    <t>[Schreider, Al. A.] OOO NIIgazekonomika, Moscow 105066, Russia; [Schreider, A. A.; Kashintsev, G. L.] Russian Acad Sci, PP Shirshov Oceanol Inst, Moscow 117851, Russia</t>
  </si>
  <si>
    <t>Schreider, AA (corresponding author), OOO NIIgazekonomika, Ul Staraya Basmannaya 20-8, Moscow 105066, Russia.</t>
  </si>
  <si>
    <t>aschr@ocean.ru</t>
  </si>
  <si>
    <t>Sazhneva, Alexandra/HPG-9897-2023</t>
  </si>
  <si>
    <t>10.1134/S0001437012030101</t>
  </si>
  <si>
    <t>WOS:000305790400012</t>
  </si>
  <si>
    <t>Campbell, D; Bergeron, J</t>
  </si>
  <si>
    <t>Campbell, Daniel; Bergeron, Jaimee</t>
  </si>
  <si>
    <t>Natural Revegetation of Winter Roads on Peat lands in the Hudson Bay Lowland, Canada</t>
  </si>
  <si>
    <t>ARCTIC ANTARCTIC AND ALPINE RESEARCH</t>
  </si>
  <si>
    <t>TUNDRA PLANT-COMMUNITIES; SEISMIC EXPLORATION; SURFACE DISTURBANCE; MILLED PEATLANDS; ARCTIC TUNDRA; SNOW COVER; VEGETATION; RECOLONIZATION; RESTORATION; SPHAGNUM</t>
  </si>
  <si>
    <t>Winter roads across subarctic peatlands are increasingly being used to access remote communities and resource development camps, yet relatively little is known on their ability to recover after abandonment. We evaluated the natural recovery of winter roads abandoned within 7 years on peatlands in the Hudson Bay Lowland, Canada. We sampled 5 winter roads of increasing age of abandonment and compared surface elevation, microtopography, active layer thickness, species cover, diversity, and composition between winter road clearances and adjacent undisturbed peatland. No differences in surface elevation and hummock-hollow microtopography were detected between road clearances and adjacent peatlands, but clearances had significantly thinner active layer, which persisted at least 7 years after abandonment. The cover of lichens, bryophytes, and vascular plants returned within 5 years to similar levels as in undisturbed peatlands, although species richness per quadrat remained lower and species composition differed. The limited recovery of black spruce on these peatlands and their slow growth indicates that the full recovery of vegetation structure on these road clearances will take decades. Future research should focus on the restoration of a Sphagnum carpet and on the interactions between a shallower active layer and the revegetation of abandoned winter roads.</t>
  </si>
  <si>
    <t>[Campbell, Daniel] Laurentian Univ, MIRARCO, Sudbury, ON P3E 2C6, Canada; [Campbell, Daniel] Laurentian Univ, Living Lakes Ctr, Sudbury, ON P3E 2C6, Canada; [Bergeron, Jaimee] Laurentian Univ, Dept Biol, Sudbury, ON P3E 2C6, Canada</t>
  </si>
  <si>
    <t>Laurentian University; Laurentian University; Laurentian University</t>
  </si>
  <si>
    <t>Campbell, D (corresponding author), Laurentian Univ, MIRARCO, 935 Ramsey Lake Rd, Sudbury, ON P3E 2C6, Canada.</t>
  </si>
  <si>
    <t>dcampbell@laurentian.ca</t>
  </si>
  <si>
    <t>De Beers Canada Victor Mine; De Beers Canada; Centre of Excellence in Milling Innovation; Natural Science and Engineering Research Council of Canada (NSERC); NSERC</t>
  </si>
  <si>
    <t>De Beers Canada Victor Mine; De Beers Canada; Centre of Excellence in Milling Innovation; Natural Science and Engineering Research Council of Canada (NSERC)(Natural Sciences and Engineering Research Council of Canada (NSERC)); NSERC(Natural Sciences and Engineering Research Council of Canada (NSERC))</t>
  </si>
  <si>
    <t>We would like to think Angie Corson and Kristina Skeries for their assistance during field work. We gratefully acknowledge the support from the De Beers Canada Victor Mine, especially Ruben Wallin, Brian Steinback, Rod Blake, Terry Ternes, Charles Hookimaw, Andrew Sutherland, David Iserhoff, Victor Wesley, Andrea Labelle, Anne Boucher, Aline de Chevigny, Marnie Couture, and Laurie LaFleche. The research was made possible from financial support from a Collaborative Research and Development grant between De Beers Canada, the Centre of Excellence in Milling Innovation and the Natural Science and Engineering Research Council of Canada (NSERC), and from an NSERC Undergraduate Student Research Award to Jaimee Bergeron. We thank two anonymous reviewers for their constructive suggestions on an earlier version of this manuscript.</t>
  </si>
  <si>
    <t>INST ARCTIC ALPINE RES</t>
  </si>
  <si>
    <t>BOULDER</t>
  </si>
  <si>
    <t>UNIV COLORADO, BOULDER, CO 80309 USA</t>
  </si>
  <si>
    <t>1523-0430</t>
  </si>
  <si>
    <t>ARCT ANTARCT ALP RES</t>
  </si>
  <si>
    <t>Arct. Antarct. Alp. Res.</t>
  </si>
  <si>
    <t>10.1657/1938-4246-44.2.155</t>
  </si>
  <si>
    <t>Environmental Sciences; Geography, Physical</t>
  </si>
  <si>
    <t>Environmental Sciences &amp; Ecology; Physical Geography</t>
  </si>
  <si>
    <t>951MA</t>
  </si>
  <si>
    <t>WOS:000304723500001</t>
  </si>
  <si>
    <t>Grabiec, M; Budzik, T; Glowacki, P</t>
  </si>
  <si>
    <t>Grabiec, Mariusz; Budzik, Tomasz; Glowacki, Piotr</t>
  </si>
  <si>
    <t>Modeling and Hindcasting of the Mass Balance of Werenskioldbreen (Southern Svalbard)</t>
  </si>
  <si>
    <t>INTERNAL ACCUMULATION; SUPERIMPOSED ICE; ENERGY-BALANCE; CLIMATE SENSITIVITY; ERA-40 REANALYSIS; SNOW ACCUMULATION; STORGLACIAREN; GLACIERS; MELT; SWEDEN</t>
  </si>
  <si>
    <t>The authors propose a model of glacial mass balance based on correlations with meteorological observations and data from climate re-analysis. The minimum input data required include the following: average monthly temperature on the glacier and in its vicinity during summertime for a reference time period, average monthly air temperature, and average precipitation total at the nearest weather station or from re-analysis. This model was used to hindcast the mass balance and its components at Werenskioldbreen (southern Svalbard) over the period 1912-2005. The hindcast specific mass balance was then used to estimate the change in the thickness of the snout of Werenskioldbreen over the period 1958-1990. These results were compared with results obtained using a cartographic method. Comparing the topographic maps, the glacier front lowered 28.7 m on average over 32 years. The average difference in the calculation of the change in glacier thickness between these two methods amounted to 3.7 m (based on meteorological data) and 0.2 m (using ERA-40). The discrepancy of less than 13% confirmed that the method is a reasonably accurate way of predicting past glacier mass balance. The proposed method can find a broad application in hindcasting the mass balances of small Svalbard glaciers where observation data are scarce or nonexistent.</t>
  </si>
  <si>
    <t>[Grabiec, Mariusz; Budzik, Tomasz] Univ Silesia, Fac Earth Sci, PL-41200 Sosnowiec, Poland; [Glowacki, Piotr] Polish Acad Sci, Inst Geophys, PL-01452 Warsaw, Poland</t>
  </si>
  <si>
    <t>University of Silesia in Katowice; Polish Academy of Sciences; Institute of Geophysics of the Polish Academy of Sciences</t>
  </si>
  <si>
    <t>Grabiec, M (corresponding author), Univ Silesia, Fac Earth Sci, Bedzinska 60, PL-41200 Sosnowiec, Poland.</t>
  </si>
  <si>
    <t>mariusz.grabiec@us.edu.pl</t>
  </si>
  <si>
    <t>Budzik, Tomasz/K-5354-2012</t>
  </si>
  <si>
    <t>Budzik, Tomasz/0000-0003-0601-6890</t>
  </si>
  <si>
    <t>Polish Ministry of Science and Higher Education [IPY/269/2006]; Polish-Norwegian Research Found [PNRF-22-AI-1/07]</t>
  </si>
  <si>
    <t>Polish Ministry of Science and Higher Education(Ministry of Science and Higher Education, Poland); Polish-Norwegian Research Found</t>
  </si>
  <si>
    <t>The authors would like to thank the Institute of Geophysics of the Polish Academy of Sciences, and the Norwegian Meteorological Institute for granting access to meteorological data and mass balance data as well as ECMWF for access to the ERA-40 data set. We also would like to express our thanks to Dr. Leszek Kolondra for making the DEM of the glacier available and Dr. Jan Leszkiewicz for unique meteorological data. This research has been financially supported for scientific research in 2007-2010 by research grants from the Polish Ministry of Science and Higher Education (IPY/269/2006). The final stage was supported from the Polish-Norwegian Research Found on the project Arctic Climate and Environment of the Nordic Seas and the Svalbard-Greenland Area-AWAKE (PNRF-22-AI-1/07). The authors wish to thank two anonymous reviewers and the Associate Editor, whose comments improved this paper. Jason Gulley helped in smoothing the text.</t>
  </si>
  <si>
    <t>TAYLOR &amp; FRANCIS LTD</t>
  </si>
  <si>
    <t>ABINGDON</t>
  </si>
  <si>
    <t>2-4 PARK SQUARE, MILTON PARK, ABINGDON OR14 4RN, OXON, ENGLAND</t>
  </si>
  <si>
    <t>1938-4246</t>
  </si>
  <si>
    <t>10.1657/1938-4246-44.2.164</t>
  </si>
  <si>
    <t>WOS:000304723500002</t>
  </si>
  <si>
    <t>Green, K; Venn, S</t>
  </si>
  <si>
    <t>Green, Ken; Venn, Susanna</t>
  </si>
  <si>
    <t>Tree-Limit Ribbons in the Snowy Mountains, Australia: Characterization and Recent Seedling Establishment</t>
  </si>
  <si>
    <t>EUCALYPTUS-PAUCIFLORA; ROCKY-MOUNTAINS; SNOWPATCHES; VEGETATION; KOSCIUSKO; PATTERNS; RANGE; SOILS</t>
  </si>
  <si>
    <t>Tree-limit ribbons, isolated ribbons of trees growing above, but close to the alpine tree limit, have been described previously only for North America. Here, we describe such ribbons from the Snowy Mountains, Australia. Spread of trees above the treeline on lee slopes is generally as ribbons perpendicular to the prevailing wind, with snowdrifts accumulating downwind suppressing seedling establishment. The ribbons exhibit long-term stability, with estimated stem ages of snowgum (Eucalyptus pauciflora subsp. niphophila) up to 500 years, and the lignotubers considerably older. Windblown branches containing viable seed may allow initial establishment of trees above treeline leading to the formation of ribbons. Seedling establishment uphill of the highest ribbons is rare because snowgum has no inherent seed dispersal mechanism, depending on gravity for dispersal. However, seedling establishment immediately downslope of the highest ribbons, normally suppressed by snowdrifts, is more common and appears to have occurred mainly post-1970. Whether seedlings that established under snowdrifts post-1970 will remain as krummholz or proceed to full tree status will depend on the future snow regime and the persistence of regular snowdrifts. However, there are trees that have established below ribbons but outside the influence of snowdrifts, that exist now as younger ribbons, in clumps, or as individuals, in areas that previously did not support trees.</t>
  </si>
  <si>
    <t>[Green, Ken; Venn, Susanna] Snowy Mt Reg, Natl Pk &amp; Wildlife Serv, Jindabyne, NSW 2627, Australia</t>
  </si>
  <si>
    <t>Green, K (corresponding author), Snowy Mt Reg, Natl Pk &amp; Wildlife Serv, POB 2228, Jindabyne, NSW 2627, Australia.</t>
  </si>
  <si>
    <t>kenpetergreen@gmail.com</t>
  </si>
  <si>
    <t>Venn, Susanna/0000-0002-7433-0120</t>
  </si>
  <si>
    <t>10.1657/1938-4246-44.2.180</t>
  </si>
  <si>
    <t>Green Submitted, Bronze</t>
  </si>
  <si>
    <t>WOS:000304723500003</t>
  </si>
  <si>
    <t>Lu, XY; Yan, Y; Fan, JH; Wang, XD</t>
  </si>
  <si>
    <t>Lu, Xuyang; Yan, Yan; Fan, Jihui; Wang, Xiaodan</t>
  </si>
  <si>
    <t>Gross Nitrification and Denitrification in Alpine Grassland Ecosystems on the Tibetan Plateau</t>
  </si>
  <si>
    <t>NET NITROGEN MINERALIZATION; FLOODED SUBTROPICAL SOIL; MICROBIAL BIOMASS; N MINERALIZATION; N2O EMISSIONS; NITRIC-OXIDE; MEADOW ECOSYSTEM; TEMPERATURE; FOREST; RATES</t>
  </si>
  <si>
    <t>Nitrification and denitrification are key microbiological processes in the soil nitrogen cycle and are the main biological sources of N2O emissions from soils. In this work, we measured gross nitrification and denitrification rates of northern Tibet alpine grassland ecosystems during the growing season and evaluated the influence of soil environmental factors. The results showed that the soil inorganic nitrogen concentration and gross nitrification and denitrification rates of both alpine meadow and alpine steppe varied obviously across the season. During the growing season mean values of gross nitrification and denitrification rates of the alpine meadow site were 3.0 and 2.3 times greater than those of the alpine steppe site, respectively. Both gross nitrification and denitrification rates were not significantly correlated with the determined soil characteristics which include soil microbial biomass, inorganic nitrogen, and soil temperature, except that gross nitrification seemed associated with the microsite where soil moisture was higher. Our results demonstrate that soil moisture can explain partly the higher soil nitrogen (N) transformation rates in alpine meadow sites, but soil N transformation microorganisms and enzyme activities studies covering prolonged observation periods are still needed to clarify the key soil environmental factors that control gross nitrification and denitrification processes in alpine grassland ecosystems.</t>
  </si>
  <si>
    <t>[Lu, Xuyang; Yan, Yan; Wang, Xiaodan] Chinese Acad Sci, Inst Mt Hazards &amp; Environm, Key Lab Mt Environm Evolvement &amp; Regulat, Chengdu 610041, Peoples R China; [Lu, Xuyang; Fan, Jihui; Wang, Xiaodan] Chinese Acad Sci, IMHE, Shenzha Alpine Steppe &amp; Wetland Ecosyst Observ &amp;, Shenzhen 853100, Peoples R China</t>
  </si>
  <si>
    <t>Chinese Academy of Sciences; Institute of Mountain Hazards &amp; Environment, CAS; Chinese Academy of Sciences</t>
  </si>
  <si>
    <t>Yan, Y (corresponding author), Chinese Acad Sci, Inst Mt Hazards &amp; Environm, Key Lab Mt Environm Evolvement &amp; Regulat, 9 Block,4 Renminnan Rd, Chengdu 610041, Peoples R China.</t>
  </si>
  <si>
    <t>yy@imde.ac.cn</t>
  </si>
  <si>
    <t>Lu, Xuyang/0000-0001-6653-6009</t>
  </si>
  <si>
    <t>Institute of Mountain Hazards and Environment [SDSQB-2010-02]; National Natural Science Foundation of China [41001177]; Chinese Academy of Sciences [KZCX2-YW-QN31]</t>
  </si>
  <si>
    <t>Institute of Mountain Hazards and Environment; National Natural Science Foundation of China(National Natural Science Foundation of China (NSFC)); Chinese Academy of Sciences(Chinese Academy of Sciences)</t>
  </si>
  <si>
    <t>This study is funded by the One Hundred Young Persons Project of Institute of Mountain Hazards and Environment (SDSQB-2010-02), National Natural Science Foundation of China (41001177), and Knowledge Innovation Program of the Chinese Academy of Sciences (KZCX2-YW-QN31).</t>
  </si>
  <si>
    <t>10.1657/1938-4246-44.2.188</t>
  </si>
  <si>
    <t>WOS:000304723500004</t>
  </si>
  <si>
    <t>Malanson, GP; Bengtson, LE; Fagre, DB</t>
  </si>
  <si>
    <t>Malanson, George P.; Bengtson, Lindsey E.; Fagre, Daniel B.</t>
  </si>
  <si>
    <t>Geomorphic Determinants of Species Composition of Alpine Tundra, Glacier National Park, U.S.A.</t>
  </si>
  <si>
    <t>CLIMATE-CHANGE; PLANT-DISTRIBUTION; VASCULAR PLANTS; VEGETATION; RESPONSES; TEMPERATURE; ELEVATION; COMMUNITY; DIVERSITY; NITROGEN</t>
  </si>
  <si>
    <t>Because the distribution of alpine tundra is associated with spatially limited cold climates, global warming may threaten its local extent or existence. This notion has been challenged, however, based on observations of the diversity of alpine tundra in small areas primarily due to topographic variation. The importance of diversity in temperature or moisture conditions caused by topographic variation is an open question, and we extend this to geomorphology more generally. The extent to which geomorphic variation per se, based on relatively easily assessed indicators, can account for the variation in alpine tundra community composition is analyzed versus the inclusion of broad indicators of regional climate variation. Visual assessments of topography are quantified and reduced using principal components analysis (PCA). Observations of species cover are reduced using detrended correspondence analysis (DCA). A best subsets regression approach using the Akaike Information Criterion for selection of variables is compared to a simple stepwise regression with DCA scores as the dependent variable and scores on significant PCA axes plus more direct measures of topography as independent variables. Models with geographic coordinates (representing regional climate gradients) excluded explain almost as much variation in community composition as models with them included, although they are important contributors to the latter. The geomorphic variables in the model are those associated with local moisture differences such as snowbeds. The potential local variability of alpine tundra can be a buffer against climate change, but change in precipitation may be as important as change in temperature.</t>
  </si>
  <si>
    <t>[Malanson, George P.] Univ Iowa, Dept Geog, Iowa City, IA 52242 USA; [Bengtson, Lindsey E.; Fagre, Daniel B.] US Geol Survey, No Rocky Mt Sci Ctr, W Glacier, MT 59936 USA</t>
  </si>
  <si>
    <t>University of Iowa; United States Department of the Interior; United States Geological Survey</t>
  </si>
  <si>
    <t>Malanson, GP (corresponding author), Univ Iowa, Dept Geog, Iowa City, IA 52242 USA.</t>
  </si>
  <si>
    <t>george-malanson@uiowa.edu</t>
  </si>
  <si>
    <t>University of Iowa Center for Global and Regional Environmental Research; U.S. Geological Survey Park-Oriented Biological Support; NSF [BCS-1121305]; Direct For Social, Behav &amp; Economic Scie; Division Of Behavioral and Cognitive Sci [1121305] Funding Source: National Science Foundation</t>
  </si>
  <si>
    <t>University of Iowa Center for Global and Regional Environmental Research; U.S. Geological Survey Park-Oriented Biological Support; NSF(National Science Foundation (NSF)); Direct For Social, Behav &amp; Economic Scie; Division Of Behavioral and Cognitive Sci(National Science Foundation (NSF)NSF - Directorate for Social, Behavioral &amp; Economic Sciences (SBE))</t>
  </si>
  <si>
    <t>This research was supported by a seed grant from the University of Iowa Center for Global and Regional Environmental Research to Malanson, by a U.S. Geological Survey Park-Oriented Biological Support grant to Fagre, and by NSF award BCS-1121305. Any use of trade, product, or firm names is for descriptive purposes only and does not imply endorsement by the U.S. Government. This is a contribution from the Mountain GeoDynamics Research Group.</t>
  </si>
  <si>
    <t>10.1657/1938-4246-44.2.197</t>
  </si>
  <si>
    <t>WOS:000304723500005</t>
  </si>
  <si>
    <t>Pope, S; Copland, L; Mueller, D</t>
  </si>
  <si>
    <t>Pope, Sierra; Copland, Luke; Mueller, Derek</t>
  </si>
  <si>
    <t>Loss of Multiyear Landfast Sea Ice from Yelverton Bay, Ellesmere Island, Nunavut, Canada</t>
  </si>
  <si>
    <t>SHELF; RADAR</t>
  </si>
  <si>
    <t>For much of the 20th century, multiyear landfast sea ice (MLSI) formed a permanent ice cover in Yelverton Bay, Ellesmere Island. This MLSI formed following the removal of ice shelf ice from Yelverton Bay in the early 1900s, including the well-documented Ice Island T-3. The MLSI cover survived intact for 55-60 years until 2005, when &gt;690 km(2) (90%) of MLSI was lost from Yelverton Bay. Further losses occurred in 2008, and the last of the Yelverton Bay MLSI was lost in August 2010. Ground penetrating radar (GPR) transects and ice cores taken in June 2009 provide the first detailed assessment of MLSI in Yelverton Inlet, and indeed the last assessment now that it has all been replaced with first-year ice. A detailed history of ice shelf, glacier, and MLSI changes in Yelverton Bay since the early 1900s is presented using remotely sensed imagery (air photos, space-borne optical, and radar scenes) and ancillary evidence from in situ surveys. Recent changes in the floating ice cover here align with the broad-scale trend of long-term reductions in age and thickness of sea ice in the Arctic Ocean and Canadian Arctic Archipelago.</t>
  </si>
  <si>
    <t>[Pope, Sierra; Copland, Luke] Univ Ottawa, Dept Geog, Ottawa, ON K1N 6N5, Canada; [Mueller, Derek] Carleton Univ, Dept Geog &amp; Environm Studies, Ottawa, ON K1S 5B6, Canada</t>
  </si>
  <si>
    <t>University of Ottawa; Carleton University</t>
  </si>
  <si>
    <t>Copland, L (corresponding author), Univ Ottawa, Dept Geog, Ottawa, ON K1N 6N5, Canada.</t>
  </si>
  <si>
    <t>luke.copland@uottawa.ca</t>
  </si>
  <si>
    <t>Mueller, Derek/0000-0003-1974-319X</t>
  </si>
  <si>
    <t>Natural Sciences and Engineering Research Council of Canada; Canada Foundation for Innovation; Ontario Research Fund; University of Ottawa</t>
  </si>
  <si>
    <t>Natural Sciences and Engineering Research Council of Canada(Natural Sciences and Engineering Research Council of Canada (NSERC)CGIAR); Canada Foundation for Innovation(Canada Foundation for InnovationCGIARSpanish Government); Ontario Research Fund; University of Ottawa</t>
  </si>
  <si>
    <t>We thank Colleen Mortimer for assistance in data collection, and the Polar Continental Shelf Program (PCSP) for assistance with field logistics. This is PCSP contribution #010-11. ASTER data courtesy of NASA; RADARSAT-1 and ERS data were provided by the Alaska Satellite Facility; RADARSAT-2 imagery was provided by the Canadian Ice Service, Environment Canada. Funding contributions came from Natural Sciences and Engineering Research Council of Canada, Canada Foundation for Innovation, Ontario Research Fund, and the University of Ottawa. The authors thank the Nunavut Research Institute and communities of Grise Fiord and Resolute Bay for permission to conduct this research.</t>
  </si>
  <si>
    <t>10.1657/1938-4246-44.2.210</t>
  </si>
  <si>
    <t>Bronze, Green Published</t>
  </si>
  <si>
    <t>WOS:000304723500006</t>
  </si>
  <si>
    <t>Shahnavaz, B; Zinger, L; Lavergne, S; Choler, P; Geremia, RA</t>
  </si>
  <si>
    <t>Shahnavaz, Bahar; Zinger, Lucie; Lavergne, Sebastien; Choler, Philippe; Geremia, Roberto A.</t>
  </si>
  <si>
    <t>Phylogenetic Clustering Reveals Selective Events Driving the Turnover of Bacterial Community in Alpine Tundra Soils</t>
  </si>
  <si>
    <t>SNOW COVER; DIVERSITY; RESPONSES; PATTERNS</t>
  </si>
  <si>
    <t>Soil bacterial communities play a determining role in snow-covered ecosystems' response to global warming because of their role in nutrient recycling. However, little is known about how changes in snow-cover dynamics could affect bacterial community assembly in the short or long term. We examined the phylogenetic structure of soil bacterial communities sampled seasonally from early snowmelt (ESM) and late snowmelt locations (LSM) in temperate alpine tundra. Most of the variation in phylogenetic structure (i.e. beta-diversity) was temporal rather than spatial and most observed deviations from random community assembly were towards phylogenetic clustering. Indeed, we observed phylogenetic clustering of Acidobacteria, Actinobacteria, and alpha-Proteobacteria during late winter in ESM locations, and a phylogenetic clustering of beta-,gamma-Proteobacteria, and Bacteroidetes during autumn in ESM and LSM locations probably linked to the onset of plant senescence and biomass decomposition. Interestingly, Acidobacteria were clustered in all LSM samples. Our study provides evidence of a high seasonal turnover of the phylogenetic structure of bacterial communities in alpine tundra soils, suggesting that climate-induced changes in snow cover can significantly alter the functioning of cold ecosystems through their filtering effects on soil bacteria communities.</t>
  </si>
  <si>
    <t>[Shahnavaz, Bahar; Zinger, Lucie; Lavergne, Sebastien; Choler, Philippe; Geremia, Roberto A.] Univ Grenoble 1, CNRS, UMR 5553, Lab Ecol Alpine, F-38041 Grenoble 09, France; [Choler, Philippe] Univ Grenoble 1, CNRS, UMS 2925, Stn Alpine J Fourier, F-38041 Grenoble, France</t>
  </si>
  <si>
    <t>Communaute Universite Grenoble Alpes; Universite Grenoble Alpes (UGA); Centre National de la Recherche Scientifique (CNRS); Universite Savoie Mont Blanc; CNRS - Institute of Ecology &amp; Environment (INEE); Communaute Universite Grenoble Alpes; Universite Grenoble Alpes (UGA); Centre National de la Recherche Scientifique (CNRS)</t>
  </si>
  <si>
    <t>Geremia, RA (corresponding author), Univ Grenoble 1, CNRS, UMR 5553, Lab Ecol Alpine, BP 53, F-38041 Grenoble 09, France.</t>
  </si>
  <si>
    <t>roberto.geremia@ujf-grenoble.fr</t>
  </si>
  <si>
    <t>Zinger, Lucie/D-2527-2010; Shahanavaz, Bahar/AAQ-1668-2020; Choler, Philippe/A-7270-2008</t>
  </si>
  <si>
    <t>Zinger, Lucie/0000-0002-3400-5825; Choler, Philippe/0000-0002-9062-2721</t>
  </si>
  <si>
    <t>Microalpes project [ANR-06-BLAN-0301]; Agence Nationale de la Recherche (ANR) [ANR-06-BLAN-0301] Funding Source: Agence Nationale de la Recherche (ANR)</t>
  </si>
  <si>
    <t>Microalpes project; Agence Nationale de la Recherche (ANR)(Agence Nationale de la Recherche (ANR))</t>
  </si>
  <si>
    <t>This research was conducted on the long-term research site Zone Atelier Alpes, a member of the ILTER-Europe network. We thank Serge Aubert and the staff of Station Alpine J. Fourier for providing logistics facilities during the fieldwork. We thank Armelle Monier and Jerome Gury for their technical expertise and scientific discussions, and also the anonymous reviewers for their comments. We also wish to thank the Centre National de Sequencage (Genoscope, Evry) for sequencing the libraries. The Station Alpine Joseph Fourier provided logistics support for fieldwork and sampling. This work was funded by the ANR-06-BLAN-0301 Microalpes project.</t>
  </si>
  <si>
    <t>10.1657/1938-4246-44.2.232</t>
  </si>
  <si>
    <t>WOS:000304723500008</t>
  </si>
  <si>
    <t>Sjögersten, S; Llurba, R; Ribas, A; Yanez-Serrano, A; Sebastià, MT</t>
  </si>
  <si>
    <t>Sjoegersten, Sofie; Llurba, Rosa; Ribas, Angela; Yanez-Serrano, Ana; Sebastia, M-Teresa</t>
  </si>
  <si>
    <t>Temperature and Moisture Controls of C Fluxes in Grazed Subalpine Grasslands</t>
  </si>
  <si>
    <t>FOREST-TUNDRA ECOTONE; MOUNTAIN GRASSLANDS; METHANE OXIDATION; SOIL RESPIRATION; AIR-TEMPERATURE; CO2 FLUXES; CLIMATE; CARBON; REINDEER; NITROGEN</t>
  </si>
  <si>
    <t>The aim of this research was to determine how changes in soil moisture and temperature influence ecosystem C fluxes in the context of changing grazing regimes in subalpine grasslands in the Pyrenees. We (i) measured CO2 fluxes in the field in cattle- and sheep-grazed areas, and (ii) compared responses of CO2 and CH4 fluxes from soil turf samples from cattle- and sheep-grazed areas to changes in soil temperature and moisture. The cattle-grazed area showed greater ecosystem respiration and gross ecosystem photosynthesis than the sheep-grazed areas. With respect to the temperature and moisture treatments, the two areas responded in a similar way: Soil moisture was the strongest driver of soil respiration rates; although temperature also increased CO2 effluxes from the soils, the effects were transient. The greatest effluxes of CO2 were found in soils incubated at elevated temperature and 80% soil moisture content. Methane fluxes were only influenced by the moisture treatment, with the greatest methane oxidation rates found at 40% soil moisture content. We conclude that regional changes in moisture availability resulting from climate change are likely to be the most important driver of soil respiration and methane fluxes in these grazed subalpine ecosystems.</t>
  </si>
  <si>
    <t>[Sjoegersten, Sofie] Univ Nottingham, Sch Biosci, Nottingham LE12 5RD, England; [Llurba, Rosa; Ribas, Angela; Sebastia, M-Teresa] Forest Technol Ctr Catalonia, Solsona 25230, Spain</t>
  </si>
  <si>
    <t>University of Nottingham; Centre Tecnologic Forestal de Catalunya (CTFC)</t>
  </si>
  <si>
    <t>Sjögersten, S (corresponding author), Univ Nottingham, Sch Biosci, Nottingham LE12 5RD, England.</t>
  </si>
  <si>
    <t>Sebastia, M. Teresa/B-5479-2013; yañez serrano, ana/Z-6147-2019; Ribas, Angela/L-5633-2014</t>
  </si>
  <si>
    <t>Sebastia, M. Teresa/0000-0002-9017-3575; yañez serrano, ana/0000-0001-6408-5961; Ribas, Angela/0000-0002-5938-2408</t>
  </si>
  <si>
    <t>University of Nottingham; Spanish Ministry of Science and Innovation [CGL2006-13555-CO3-01/BOS, CGL2009-13425-C02-01/BOS, CSD2008-000]</t>
  </si>
  <si>
    <t>University of Nottingham; Spanish Ministry of Science and Innovation(Spanish Government)</t>
  </si>
  <si>
    <t>This work was funded by the University of Nottingham and the projects from the Spanish Ministry of Science and Innovation CARBOAGROPAS (CGL2006-13555-CO3-01/BOS), OBAMA (CGL2009-13425-C02-01/BOS), and MONTES (Consolider-Ingenio CSD2008-000). We are grateful for field and laboratory support from Daniel Ventura and CTFC staff. Dr. Brian Atkinson provided a much appreciated internal review on the manuscript.</t>
  </si>
  <si>
    <t>10.1657/1938-4246-44.2.239</t>
  </si>
  <si>
    <t>Green Published, Green Submitted, Bronze</t>
  </si>
  <si>
    <t>WOS:000304723500009</t>
  </si>
  <si>
    <t>Sullivan, BW; Dore, S; Montes-Helu, MC; Kolb, TE; Hart, SC</t>
  </si>
  <si>
    <t>Sullivan, Benjamin W.; Dore, Sabina; Montes-Helu, Mario C.; Kolb, Thomas E.; Hart, Stephen C.</t>
  </si>
  <si>
    <t>Pulse Emissions of Carbon Dioxide during Snowmelt at a High-Elevation Site in Northern Arizona, U.S.A.</t>
  </si>
  <si>
    <t>SOIL CO2 EFFLUX; DEEPENED SNOW; FLUX; RESPIRATION; FOREST; COVER; NITROGEN; TUNDRA; MICROCLIMATE; VARIABILITY</t>
  </si>
  <si>
    <t>The paradigm that winter is a dormant period of soil biogeochemical activity in high elevation or high latitude ecosystems has been amply refuted by recent research. Carbon dioxide (CO2) released from cold or snow-covered soil is a substantial component of total annual ecosystem carbon fluxes. Recent investigations have shown that the late-winter/early-spring transition is a period of high biogeochemical activity. However, little is known about the temporal dynamics of CO2 from the snowpack itself during periods of snowmelt. We present a case study of three snowmelt events at a high-elevation site in northern Arizona during which we measured changes in CO2 concentrations and fluxes above the snow and within the soil profile, and characterized the soil physical environment and site meteorological variables. We show that large pulses of CO2 were emitted to the atmosphere during snowmelt, and we present evidence that these pulses came from CO2 stored in snowpack. Earlier and more frequent snowmelts worldwide caused by climate change have the potential to alter the timing of release of CO2 from land to atmosphere.</t>
  </si>
  <si>
    <t>[Sullivan, Benjamin W.; Dore, Sabina; Montes-Helu, Mario C.; Kolb, Thomas E.] No Arizona Univ, Sch Forestry, Flagstaff, AZ 86011 USA; [Hart, Stephen C.] Univ Calif Merced, Sch Nat Sci, Merced, CA 95343 USA; [Hart, Stephen C.] Univ Calif Merced, Sierra Nevada Res Inst, Merced, CA 95343 USA</t>
  </si>
  <si>
    <t>Northern Arizona University; University of California System; University of California Merced; University of California System; University of California Merced</t>
  </si>
  <si>
    <t>Sullivan, BW (corresponding author), Univ Montana, Coll Forestry &amp; Conservat, 32 Campus Dr, Missoula, MT 59801 USA.</t>
  </si>
  <si>
    <t>benjamini.sullivan@cfc.umt.edu; sabina.dore@nau.edu; Mario.montes-helu@nau.edu; tom.kolb@nau.edu; shart4@ucmerced.edu</t>
  </si>
  <si>
    <t>USDA CREES NRI [2004-35111-15057]; National Science Foundation MRI [DBI-0216471]; Northern Arizona University School of Forestry (McIntire-Stennis/AZ Bureau of Forestry); NSFIGERT [DGE-0549505]</t>
  </si>
  <si>
    <t>USDA CREES NRI(United States Department of Agriculture (USDA)); National Science Foundation MRI(National Science Foundation (NSF)); Northern Arizona University School of Forestry (McIntire-Stennis/AZ Bureau of Forestry); NSFIGERT(National Science Foundation (NSF))</t>
  </si>
  <si>
    <t>This research was supported by a grant from the North American Carbon Program/USDA CREES NRI (2004-35111-15057), and the National Science Foundation MRI program (DBI-0216471). Sullivan was supported by the Mission Research Program at the Northern Arizona University School of Forestry (McIntire-Stennis/AZ Bureau of Forestry) and an NSFIGERT fellowship (DGE-0549505). We would like to thank B. Hungate and three reviewers for helpful comments on this manuscript and P. Templer and J. Schimel for organizing an oral session at the 94th ESA Annual Meeting where Sullivan first presented these data.</t>
  </si>
  <si>
    <t>10.1657/1938-4246-44.2.247</t>
  </si>
  <si>
    <t>WOS:000304723500010</t>
  </si>
  <si>
    <t>Uehara, Y; Kume, A</t>
  </si>
  <si>
    <t>Uehara, Yoshitoshi; Kume, Atsushi</t>
  </si>
  <si>
    <t>Canopy Rainfall Interception and Fog Capture by Pinus pumila Regal at Mt. Tateyama in the Northern Japan Alps, Japan (vol 44, pg 143, 2012)</t>
  </si>
  <si>
    <t>Correction</t>
  </si>
  <si>
    <t>[Kume, Atsushi] Kyushu Univ, Kyushu Univ Forest, Fukuoka 8112415, Japan; [Uehara, Yoshitoshi] Kyushu Univ, Fac Agr, Dept Forest &amp; Forest Prod Sci, Sasaguri, Fukuoka 8112415, Japan</t>
  </si>
  <si>
    <t>Kyushu University; Kyushu University</t>
  </si>
  <si>
    <t>Kume, A (corresponding author), Kyushu Univ, Kyushu Univ Forest, 394 Tsubakuro, Fukuoka 8112415, Japan.</t>
  </si>
  <si>
    <t>akume@attglobal.net</t>
  </si>
  <si>
    <t>Kume, Atsushi/G-3523-2011</t>
  </si>
  <si>
    <t>Kume, Atsushi/0000-0002-0048-5680</t>
  </si>
  <si>
    <t>10.1657/1938-4246-44.2.255</t>
  </si>
  <si>
    <t>WOS:000304723500011</t>
  </si>
  <si>
    <t>Caroline, L</t>
  </si>
  <si>
    <t>Caroline, Louis</t>
  </si>
  <si>
    <t>Biodiversity Antarctic threatened by invasive species</t>
  </si>
  <si>
    <t>BIOFUTUR</t>
  </si>
  <si>
    <t>French</t>
  </si>
  <si>
    <t>News Item</t>
  </si>
  <si>
    <t>ELSEVIER FRANCE-EDITIONS SCIENTIFIQUES MEDICALES ELSEVIER</t>
  </si>
  <si>
    <t>PARIS</t>
  </si>
  <si>
    <t>23 RUE LINOIS, 75724 PARIS, FRANCE</t>
  </si>
  <si>
    <t>0294-3506</t>
  </si>
  <si>
    <t>Biofutur</t>
  </si>
  <si>
    <t>Biotechnology &amp; Applied Microbiology</t>
  </si>
  <si>
    <t>950HG</t>
  </si>
  <si>
    <t>WOS:000304639600038</t>
  </si>
  <si>
    <t>Lu, N; Jing, Y; Lloyd, H; Sun, YH</t>
  </si>
  <si>
    <t>Lu, Nan; Jing, Yu; Lloyd, Huw; Sun, Yue-Hua</t>
  </si>
  <si>
    <t>ASSESSING THE DISTRIBUTIONS AND POTENTIAL RISKS FROM CLIMATE CHANGE FOR THE SICHUAN JAY (PERISORELIS INTERNIGRANS)</t>
  </si>
  <si>
    <t>CONDOR</t>
  </si>
  <si>
    <t>climate change; Qinghai-Tibet plateau; Sichuan Jay; Perisoreus internigrans; MaxEnt; fragmentation</t>
  </si>
  <si>
    <t>SPECIES DISTRIBUTIONS; TROPICAL MOUNTAIN; TIBETAN PLATEAU; EXTINCTION RISK; PREDICTION; IMPACTS; MAXIMUM; MODELS; BIRDS; FRAGMENTATION</t>
  </si>
  <si>
    <t>The effects of global climate change have attracted increasing attention, especially concerning the Arctic, and Antarctic. However, montane/alpine areas are also quite sensitive to climate change. Animals endemic to these areas are distributed within restricted elevational ranges, and many of them are also reliant on the harsh climate, a change of which may affect them as disastrously as it may affect polar species. Here we used MaxEnt software to construct models and make predictions for the rare Sichuan Jay (Perisoreus internigrans), which is known only from isolated fragments of high-elevation coniferous forest on the Qinghai-Tibet plateau of west-central China. Our model suggests that potentially suitable areas are concentrated in northern Sichuan and southern Gansu provinces, and they are fragmented generally, because of the mountainous terrain. It also predicts severe risks from climate change, even more than for the other two species of the genus, P. canadensis and P. infaustus: (1) both of the extent of suitable habitat and the suitability of that habitat will decline significantly under climate change; (2) climate change will compel this bird to shift northward and upward, but areas left for such compensatory extension are quite limited, and (3) the suitable habitat will become much more fragmented, which may exacerbate the effects of climate change indirectly by slowing or halting gene flow and increasing the rate of extinction of isolated local populations.</t>
  </si>
  <si>
    <t>[Lu, Nan; Jing, Yu; Sun, Yue-Hua] Chinese Acad Sci, Inst Zool, Key Lab Anim Ecol &amp; Conservat Biol, Beijing 100101, Peoples R China; [Lu, Nan] Chinese Acad Sci, Grad Univ, Beijing 100049, Peoples R China; [Lloyd, Huw] Manchester Metropolitan Univ, Sch Sci &amp; Environm, Div Biol &amp; Conservat Ecol, Manchester M1 5GD, Lancs, England</t>
  </si>
  <si>
    <t>Chinese Academy of Sciences; Institute of Zoology, CAS; Chinese Academy of Sciences; University of Chinese Academy of Sciences, CAS; Manchester Metropolitan University</t>
  </si>
  <si>
    <t>Lu, N (corresponding author), Chinese Acad Sci, Inst Zool, Key Lab Anim Ecol &amp; Conservat Biol, Beijing 100101, Peoples R China.</t>
  </si>
  <si>
    <t>sunyh@ioz.ac.cn</t>
  </si>
  <si>
    <t>Lyu, Nan/0000-0002-2544-6864</t>
  </si>
  <si>
    <t>Chinese Academy of Sciences [KSCX2-YW-Z-1021]; National Natural Sciences Foundation of China [30620130110]</t>
  </si>
  <si>
    <t>Chinese Academy of Sciences(Chinese Academy of Sciences); National Natural Sciences Foundation of China(National Natural Science Foundation of China (NSFC))</t>
  </si>
  <si>
    <t>This work was supported by the Chinese Academy of Sciences (KSCX2-YW-Z-1021) and National Natural Sciences Foundation of China (30620130110). We thank the anonymous reviewers for their valuable comments. We also thank Dan Strickland, Jochen Martens, and Jon E. Swenson for their comments and English writing improvements, Chen Zhuo and Chen Jizhuo for their great help in data management with ArcGIS.</t>
  </si>
  <si>
    <t>COOPER ORNITHOLOGICAL SOC</t>
  </si>
  <si>
    <t>LAWRENCE</t>
  </si>
  <si>
    <t>ORNITHOLOGICAL SOC NORTH AMER PO BOX 1897, LAWRENCE, KS 66044-8897 USA</t>
  </si>
  <si>
    <t>0010-5422</t>
  </si>
  <si>
    <t>Condor</t>
  </si>
  <si>
    <t>10.1525/cond.2012.110030</t>
  </si>
  <si>
    <t>Ornithology</t>
  </si>
  <si>
    <t>955TE</t>
  </si>
  <si>
    <t>WOS:000305043000014</t>
  </si>
  <si>
    <t>DeConto, RM; Pollard, D; Kowalewski, D</t>
  </si>
  <si>
    <t>DeConto, Robert M.; Pollard, David; Kowalewski, Douglas</t>
  </si>
  <si>
    <t>Modeling Antarctic ice sheet and climate variations during Marine Isotope Stage 31</t>
  </si>
  <si>
    <t>GLOBAL AND PLANETARY CHANGE</t>
  </si>
  <si>
    <t>Antarctica; MIS-31; global climate model; ice sheet model</t>
  </si>
  <si>
    <t>CARBON-DIOXIDE CONCENTRATION; SEA-LEVEL FLUCTUATIONS; COUPLED CLIMATE; GLOBAL CLIMATE; PLIOCENE; SENSITIVITY; COLLAPSE; GREENHOUSE; SIMULATION; HIGHSTAND</t>
  </si>
  <si>
    <t>Marine Isotope Stage 31 (MIS-31) is one of the major interglacials of the early Pleistocene similar to 1.08 to 1.06 Ma. Data from proximal sediment cores around several sectors of Antarctica indicate strong sea surface warming and ice shelf and sea ice retreat. Benthic deep-sea-core delta O-18 values at this time are some of the lowest of the Pleistocene, indicating both deep sea warming and reduced global ice volume. A coeval alignment of orbital parameters produces one of the strongest high-latitude summer insolation anomalies of the last several million years. Here we use a 3-D ice sheet-shelf model to simulate the evolution of Antarctic ice sheets through the event, and a global climate model to simulate temperatures and sea ice during peak Antarctic warmth. The ice model predicts nearly complete collapse and subsequent recovery of marine ice in West Antarctica, and the ice and climate model results agree well with proximal sediment core data in the Ross Embayment recovered by the ANDRILL and Cape Roberts drilling projects. The dominant forcing is found to be variations in sub-ice-shelf oceanic melting, with insignificant surface melting of terrestrial ice flanks even during peak warmth. Implications are noted in light of other observations and theories of Pliocene-Pleistocene Antarctic ice sheet variability that do involve surface melt. (C) 2012 Elsevier B.V. All rights reserved.</t>
  </si>
  <si>
    <t>[DeConto, Robert M.; Kowalewski, Douglas] Univ Massachusetts, Dept Geosci, Amherst, MA 01002 USA; [Pollard, David] Penn State Univ, Earth &amp; Environm Syst Inst, University Pk, PA 16802 USA</t>
  </si>
  <si>
    <t>University of Massachusetts System; University of Massachusetts Amherst; Pennsylvania Commonwealth System of Higher Education (PCSHE); Pennsylvania State University; Pennsylvania State University - University Park</t>
  </si>
  <si>
    <t>DeConto, RM (corresponding author), Univ Massachusetts, Dept Geosci, Amherst, MA 01002 USA.</t>
  </si>
  <si>
    <t>deconto@geo.umass.edu</t>
  </si>
  <si>
    <t>Kowalewski, Douglas/0000-0002-7847-026X</t>
  </si>
  <si>
    <t>US National Science Foundation [ATM-0513402/0513421, ANT-0424589/034248, ANT-1043712]; Directorate For Geosciences; Div Atmospheric &amp; Geospace Sciences [1203910] Funding Source: National Science Foundation; Directorate For Geosciences; Division Of Polar Programs [1354231] Funding Source: National Science Foundation</t>
  </si>
  <si>
    <t>US National Science Foundation(National Science Foundation (NSF)); Directorate For Geosciences; Div Atmospheric &amp; Geospace Sciences(National Science Foundation (NSF)NSF - Directorate for Geosciences (GEO)); Directorate For Geosciences; Division Of Polar Programs(National Science Foundation (NSF)NSF - Directorate for Geosciences (GEO))</t>
  </si>
  <si>
    <t>This work was funded by the US National Science Foundation under awards ATM-0513402/0513421, ANT-0424589/034248, and ANT-1043712.</t>
  </si>
  <si>
    <t>ELSEVIER</t>
  </si>
  <si>
    <t>RADARWEG 29, 1043 NX AMSTERDAM, NETHERLANDS</t>
  </si>
  <si>
    <t>0921-8181</t>
  </si>
  <si>
    <t>1872-6364</t>
  </si>
  <si>
    <t>GLOBAL PLANET CHANGE</t>
  </si>
  <si>
    <t>Glob. Planet. Change</t>
  </si>
  <si>
    <t>88-89</t>
  </si>
  <si>
    <t>10.1016/j.gloplacha.2012.03.003</t>
  </si>
  <si>
    <t>Geography, Physical; Geosciences, Multidisciplinary</t>
  </si>
  <si>
    <t>Physical Geography; Geology</t>
  </si>
  <si>
    <t>953ED</t>
  </si>
  <si>
    <t>WOS:000304848800005</t>
  </si>
  <si>
    <t>Powell, AM; Xu, JJ</t>
  </si>
  <si>
    <t>Powell, Alfred M., Jr.; Xu, Jianjun</t>
  </si>
  <si>
    <t>Assessment of the relationship between the combined solar cycle/ENSO forcings and the tropopause temperature</t>
  </si>
  <si>
    <t>JOURNAL OF ATMOSPHERIC AND SOLAR-TERRESTRIAL PHYSICS</t>
  </si>
  <si>
    <t>Tropopause temperature; Solar cycle; ENSO</t>
  </si>
  <si>
    <t>ATMOSPHERIC-TEMPERATURE; TROPICAL TROPOPAUSE; VARIABILITY; PACIFIC; OZONE; BEHAVIOR; TRENDS; PEAKS; QBO</t>
  </si>
  <si>
    <t>The tropopause region of the atmosphere shows large variability over time and by region. The complex changes near the tropopause are not fully understood, especially in terms of interdecadal and interannual forcings. The purpose of this paper is to investigate forcings in the tropopause region by using microwave sounder observations and comparing the results to previous analyses. On the basis of the satellite retrieved temperatures from the Microwave Sounding Unit (MSU) Channel 3 (CH3) measurements which began in 1981 and continue to the current time, this analysis will assess the solar forcing and the El Nino Southern Oscillation (ENSO) forcing within the tropopause layer (300-100 hPa). The temperature variability from the combined downward solar forcing and the upward ENSO forcing have been investigated using wavelet, multiple linear regression and lag correlation analyses. The results show that the temperature variability within the tropopause layer was dominated by 3.5-7 and 14-28 year oscillations. The temperature responses to the two forcings apparently depend on the location, season and time scale of the measurements. The temperature response to solar forcing can be found over the Arctic and Antarctic zones in winter. On the interdecadal time scale, the temperature response to solar forcing was markedly amplified with a lag of 1-2 years or 5-7 years and was out of phase between the Arctic, and all other latitudes. Interestingly, the statistically significant response to solar forcing was only identified over the tropical central and western Pacific in summer. The temperature response to the ENSO forcing is much stronger than the solar forcing based on the magnitude of the regression coefficients. A significant positive response occurs over most of the tropical ocean areas in winter and a negative temperature response is confined to the tropical western Pacific in summer. On the interannual time scale, the temperature response is observed within the tropical areas and reaches a positive maximum 4-5 months later, and can be identified up to 10 months later with statistically significant values. After 10 months, the response is negative. (C) 2012 Elsevier Ltd. All rights reserved.</t>
  </si>
  <si>
    <t>[Xu, Jianjun] George Mason Univ, Coll Sci, Environm Sci &amp; Technol, Fairfax, VA 22030 USA; [Powell, Alfred M., Jr.] WWB, NOAA NESDIS Ctr Satellite Applicat &amp; Res STAR, Camp Springs, MD 20746 USA</t>
  </si>
  <si>
    <t>George Mason University; National Oceanic Atmospheric Admin (NOAA) - USA</t>
  </si>
  <si>
    <t>Xu, JJ (corresponding author), George Mason Univ, Coll Sci, Environm Sci &amp; Technol, Fairfax, VA 22030 USA.</t>
  </si>
  <si>
    <t>Al.Powell@noaa.gov; Jianjun.xu@noaa.gov</t>
  </si>
  <si>
    <t>Powell, Alfred/G-4059-2010; Xu, Jianjun/E-7941-2011</t>
  </si>
  <si>
    <t>Powell, Alfred/0000-0002-9289-8369;</t>
  </si>
  <si>
    <t>National Oceanic and Atmospheric Administration (NOAA), National Environmental Satellite, Data and Information Service (NESDIS), Center for Satellite Applications and Research (STAR)</t>
  </si>
  <si>
    <t>This work was supported by the National Oceanic and Atmospheric Administration (NOAA), National Environmental Satellite, Data and Information Service (NESDIS), Center for Satellite Applications and Research (STAR). The views, opinions, and findings contained in this publication are those of the authors and should not be considered an official NOAA or US Government position, policy, or decision.</t>
  </si>
  <si>
    <t>1364-6826</t>
  </si>
  <si>
    <t>1879-1824</t>
  </si>
  <si>
    <t>J ATMOS SOL-TERR PHY</t>
  </si>
  <si>
    <t>J. Atmos. Sol.-Terr. Phys.</t>
  </si>
  <si>
    <t>10.1016/j.jastp.2012.02.023</t>
  </si>
  <si>
    <t>Geochemistry &amp; Geophysics; Meteorology &amp; Atmospheric Sciences</t>
  </si>
  <si>
    <t>953SR</t>
  </si>
  <si>
    <t>WOS:000304894000003</t>
  </si>
  <si>
    <t>Gabis, IP</t>
  </si>
  <si>
    <t>Gabis, I. P.</t>
  </si>
  <si>
    <t>Forecast of development of quasi-biennial oscillation in the equatorial stratospheric wind until April 2014</t>
  </si>
  <si>
    <t>Quasi-biennial oscillation (QBO); QBO-cycle forecast; QBO-cycle period; Seasonal regularity; Stagnation stage</t>
  </si>
  <si>
    <t>SOLAR UV IRRADIANCE; ZONAL WIND; PHASE-SPACE; TOTAL OZONE; QBO; REGULARITIES; MODULATION; FLOW</t>
  </si>
  <si>
    <t>As is well known, the quasi-biennial oscillation (QBO) of wind in the equatorial stratosphere has a significant influence on the processes not only at tropical but also at middle and high latitudes in both stratosphere and troposphere. Consequently, a forecasting the dates of QBO-phase (W or E) transitions is required for the solution of many problems (for instance, for investigation of possible climate changes, for studying of solar activity effects in atmospheric phenomena, for predicting the trends of various atmospheric parameters, etc.). The type of QBO-phase is commonly determined by the zonal wind direction at fixed altitude. The quasi-biennial alternations of wind direction are related with a successive descent of easterly and westerly wind regimes. The paper describes the peculiarities of the wind evolution during QBO-cycle and reveals that the easterly regime propagates downward always with stop at some altitude in the range 20-40 hPa. This time period (no less than three months) of the easterly descent interruption is termed as the stagnation stage. Seasonal regularities of stagnation stage cause the discreteness of QBO-cycle period. If the interval between beginnings of successive stagnation stages is identified as a QBO-cycle length, it appears that no QBO-period other than 24, 30, or 36 months can be realized. The QBO-cycle period is unambiguously related with the stagnation duration that allows making an early forecast of the QBO-phase transition dates. The paper discusses the stagnation stage features occurring during QBO-cycles of different period, and describes the technique of forecasting the QBO-cycle evolution by analyzing the vertical profiles of wind speed. The study is based on experimental observation of zonal wind in the equatorial stratosphere during 1953-2011. It is shown that the previous quasi-biennial cycle has begun in January 2009, lasted for 30 months and completed in June 2011. The current cycle has begun in July 2011, will last for 30 months and will end in December 2013. Subsequent cycle will begin in January 2014. The QBO-phase transition dates for different height levels are determined for all months up to April 2014. (C) 2012 Elsevier Ltd. All rights reserved.</t>
  </si>
  <si>
    <t>Arctic &amp; Antarctic Res Inst, St Petersburg 199397, Russia</t>
  </si>
  <si>
    <t>Arctic &amp; Antarctic Research Institute</t>
  </si>
  <si>
    <t>Gabis, IP (corresponding author), Arctic &amp; Antarctic Res Inst, St Petersburg 199397, Russia.</t>
  </si>
  <si>
    <t>gabis@aari.nw.ru</t>
  </si>
  <si>
    <t>10.1016/j.jastp.2012.03.008</t>
  </si>
  <si>
    <t>WOS:000304894000010</t>
  </si>
  <si>
    <t>Chavanne, CP; Firing, E; Ascani, F</t>
  </si>
  <si>
    <t>Chavanne, Cedric P.; Firing, Eric; Ascani, Francois</t>
  </si>
  <si>
    <t>Inertial Oscillations in Geostrophic Flow: Is the Inertial Frequency Shifted by ζ/2 or by ζ?</t>
  </si>
  <si>
    <t>JOURNAL OF PHYSICAL OCEANOGRAPHY</t>
  </si>
  <si>
    <t>WAVES; LAYER</t>
  </si>
  <si>
    <t>The short answer to the question posed in the title is that it depends on the frame of reference chosen to describe the motions. In the inertial limit, the frequency in a rotating frame of reference corresponds to the rotation rate of the inertial current vectors relative to that frame. When described in a reference frame rotating with a geostrophic flow having a relative vertical vorticity zeta, inertial oscillations have a frequency f + zeta, equal to twice the fluid's rotation rate around the local vertical axis. From a nonrotating frame of reference, one would measure only half this frequency; the other half arises from describing inertial motions in a reference frame rotating with the background flow. However, when described in a reference frame rotating with Earth, hence rotating at -zeta/2 relative to the geostrophic frame, inertial oscillations have a frequency reduced to f + zeta/2.</t>
  </si>
  <si>
    <t>[Chavanne, Cedric P.] Univ Quebec Rimouski, Inst Sci Mer Rimouski, Rimouski, PQ G5L 3A1, Canada; [Firing, Eric; Ascani, Francois] Univ Hawaii Manoa, Sch Ocean &amp; Earth Sci &amp; Technol, Honolulu, HI 96822 USA</t>
  </si>
  <si>
    <t>University of Quebec; Universite du Quebec a Rimouski; University of Hawaii System; University of Hawaii Manoa</t>
  </si>
  <si>
    <t>Chavanne, CP (corresponding author), Univ Quebec Rimouski, Inst Sci Mer Rimouski, 310 Allee Ursulines, Rimouski, PQ G5L 3A1, Canada.</t>
  </si>
  <si>
    <t>cedric.chavanne@ensta.org</t>
  </si>
  <si>
    <t>Chavanne, Cedric P G/D-1310-2011; Chavanne, Cedric/JJE-4096-2023</t>
  </si>
  <si>
    <t>Firing, Eric/0000-0002-7745-6888</t>
  </si>
  <si>
    <t>NSF [OCE-0426112]; NERC [AFI8/17]; ISMER</t>
  </si>
  <si>
    <t>NSF(National Science Foundation (NSF)); NERC(UK Research &amp; Innovation (UKRI)Natural Environment Research Council (NERC)); ISMER</t>
  </si>
  <si>
    <t>The ideas presented here were developed and refined over the course of many years, during which C. C. was supported by NSF Grant OCE-0426112 (P. I. P. Flament), NERC Antarctic Funding Initiative Grant AFI8/17 (P. I. K. Heywood), and a Starting Fund from ISMER. We thank two anonymous reviewers for their positive comments on an earlier version of the manuscript.</t>
  </si>
  <si>
    <t>AMER METEOROLOGICAL SOC</t>
  </si>
  <si>
    <t>BOSTON</t>
  </si>
  <si>
    <t>45 BEACON ST, BOSTON, MA 02108-3693 USA</t>
  </si>
  <si>
    <t>0022-3670</t>
  </si>
  <si>
    <t>J PHYS OCEANOGR</t>
  </si>
  <si>
    <t>J. Phys. Oceanogr.</t>
  </si>
  <si>
    <t>10.1175/JPO-D-12-031.1</t>
  </si>
  <si>
    <t>948ZO</t>
  </si>
  <si>
    <t>WOS:000304544000013</t>
  </si>
  <si>
    <t>Ruprecht, U; Lumbsch, HT; Brunauer, G; Green, TGA; Türk, R</t>
  </si>
  <si>
    <t>Ruprecht, Ulrike; Lumbsch, H. Thorsten; Brunauer, Georg; Green, T. G. Allan; Tuerk, Roman</t>
  </si>
  <si>
    <t>Insights into the Diversity of Lecanoraceae (Lecanorales, Ascomycota) in continental Antarctica (Ross Sea region)</t>
  </si>
  <si>
    <t>NOVA HEDWIGIA</t>
  </si>
  <si>
    <t>cryptic diversity; ITS; lecanoroid lichens; polar regions</t>
  </si>
  <si>
    <t>EPILITHIC LICHENS; TAYLOR VALLEY; VICTORIA LAND; DELIMITATION; DNA</t>
  </si>
  <si>
    <t>Taxonomic evaluation of lecideoid lichens in the family Lecanoraceae (Carbonea, Lecanora, Lecidella,Rhizoplaca) from continental Antarctica showed a higher diversity and different distributions compared to previous reports. Morphological, chemical and molecular (nuclear ITS) investigations were made to classify and restudy the different species. Sampling was carried out in the Ross Sea region (continental Antarctica) along a north - south transect at five different areas (Cape Hallett, Botany Bay Granite Harbour, Mt.Suess, Taylor Valley, Darwin Area and Mt.Kyffin). The phylogeny also included specimens from Arctic and Alpine regions. Seven clades in the family Lecanoraceae were identified as the species Carbonea vorticosa, a previously unnamed clade of uncertain status, referred to as Carbonea sp. (URm 1), Lecanora fuscobrunnea, Lecanora physciella, Lecidella greenii, Lecidella siplei, and Rhizoplaca macleanii. Additionally, one former endemic species (L. siplei) was proved to be bipolar. The actual endemism rate for this lichen group in continental Antarctica is 75%.</t>
  </si>
  <si>
    <t>[Ruprecht, Ulrike; Brunauer, Georg; Tuerk, Roman] Salzburg Univ, Dept Organism Biol, A-5020 Salzburg, Austria; [Lumbsch, H. Thorsten] Field Museum Nat Hist, Dept Bot, Chicago, IL 60605 USA; [Green, T. G. Allan] Univ Waikato, Hamilton, New Zealand; [Green, T. G. Allan] Univ Complutense Madrid, Fac Farm, Dept Biol Vegetal 2, E-28040 Madrid, Spain</t>
  </si>
  <si>
    <t>Salzburg University; Field Museum of Natural History (Chicago); University of Waikato; Complutense University of Madrid</t>
  </si>
  <si>
    <t>Ruprecht, U (corresponding author), Salzburg Univ, Dept Organism Biol, Hellbrunnerstr 34, A-5020 Salzburg, Austria.</t>
  </si>
  <si>
    <t>ulrike.ruprecht@sbg.ac.at</t>
  </si>
  <si>
    <t>Lumbsch, Thorsten/K-3573-2012</t>
  </si>
  <si>
    <t>Lumbsch, Thorsten/0000-0003-1512-835X; Ruprecht, Ulrike/0000-0002-0898-7677</t>
  </si>
  <si>
    <t>NSF [DEB 0949147]; Waikato University; FRST; ICTAR (International Centre for Terrestrial Antarctic research) at Waikato University</t>
  </si>
  <si>
    <t>NSF(National Science Foundation (NSF)); Waikato University; FRST(New Zealand Foundation for Research, Science and Technology); ICTAR (International Centre for Terrestrial Antarctic research) at Waikato University</t>
  </si>
  <si>
    <t>Antarctica New Zealand is thanked for logistic support and Shulamit Gordon for coordinating LGP to which this research contributed. Waikato University is thanked for financial support. TGA Green (Hamilton, NZ) held a Ramon y Cajal award at Universidad Complutense, Madrid, for part of this work. This manuscript is an output of the FRST-funded IPY Research Programme Understanding, valuing and protecting Antarctica's unique terrestrial ecosystems: Predicting biocomplexity in Dry Valley ecosystems located at Biological Sciences and ICTAR (International Centre for Terrestrial Antarctic research) at Waikato University. HTL acknowledges support by a NSF grant (DEB 0949147).</t>
  </si>
  <si>
    <t>GEBRUDER BORNTRAEGER</t>
  </si>
  <si>
    <t>STUTTGART</t>
  </si>
  <si>
    <t>JOHANNESSTR 3A, D-70176 STUTTGART, GERMANY</t>
  </si>
  <si>
    <t>0029-5035</t>
  </si>
  <si>
    <t>2363-7188</t>
  </si>
  <si>
    <t>Nova Hedwigia</t>
  </si>
  <si>
    <t>10.1127/0029-5035/2012/0017</t>
  </si>
  <si>
    <t>947LP</t>
  </si>
  <si>
    <t>WOS:000304431800002</t>
  </si>
  <si>
    <t>Bednarek-Ochyra, H; Ochyra, R</t>
  </si>
  <si>
    <t>Bednarek-Ochyra, Halina; Ochyra, Ryszard</t>
  </si>
  <si>
    <t>Antipodal mosses: XVII. Bucklandiella longtonii (Bryopsida, Grimmiaceae), a new species with caducous leaf apices from subantarctic South Georgia</t>
  </si>
  <si>
    <t>Bryophyta; Bucklandiella; Grimmiaceae; Racomitrium; South America; South Georgia; Subantarctica; taxonomy</t>
  </si>
  <si>
    <t>REGIONAL BRYOPHYTE RECORDS; NEW-ZEALAND</t>
  </si>
  <si>
    <t>Bucklandiella longtonii Bednarek-Ochyra &amp; Ochyra is described as a new species from a single specimen from subantarctic South Georgia. The species is readily distinguished from all congeners by its caducous leaf apices. This is the second case of this type of asexual reproduction in the genus Bucklundiella, the first being B. crumiana from New Zealand. In B. crumiana the caducous leaf apices are fleshy, solid and multistratose, whereas those in B. longtonii are plane and unistratose. The new species is known only in the barren state and it is tentatively placed in Bucklandiella sect. Marginatae on the basis of the areolation of the innermost perichaetial leaves and the shape of basal cells in the vegetative leaves.</t>
  </si>
  <si>
    <t>[Bednarek-Ochyra, Halina; Ochyra, Ryszard] Polish Acad Sci, Lab Bryol, Inst Bot, PL-31512 Krakow, Poland</t>
  </si>
  <si>
    <t>Polish Academy of Sciences</t>
  </si>
  <si>
    <t>Bednarek-Ochyra, H (corresponding author), Polish Acad Sci, Lab Bryol, Inst Bot, Lubicz 46, PL-31512 Krakow, Poland.</t>
  </si>
  <si>
    <t>h.bednarek@botany.pl; r.ochyra@botany.pl</t>
  </si>
  <si>
    <t>Bednarek-Ochyra, Halina/K-7507-2012</t>
  </si>
  <si>
    <t>Ochyra, Ryszard/0000-0002-2541-0722; Bednarek-Ochyra, Halina/0000-0002-6994-8313</t>
  </si>
  <si>
    <t>Polish Ministry of Science and Higher Education [N N 303 796 940, N N 303 469 338]; Institute of Botany of the Polish Academy of Sciences</t>
  </si>
  <si>
    <t>Polish Ministry of Science and Higher Education(Ministry of Science and Higher Education, Poland); Institute of Botany of the Polish Academy of Sciences</t>
  </si>
  <si>
    <t>Thanks are due to Helen, J.Peat, Cambridge for kindly allowing us to study the collections of racomitrialean mosses from the herbarium of the British Antarctic Survey (AAS), to Katarzyna Bilyk, Krakow, for scanning the plates and to Jim Shevock, San Francisco, for improving the English. This work was financially supported by the Polish Ministry of Science and Higher Education through grants Nos. N N 303 796 940 and N N 303 469 338, respectively, for the first and the second author and, in part, through the statutory fund of the Institute of Botany of the Polish Academy of Sciences.</t>
  </si>
  <si>
    <t>10.1127/0029-5035/2012/0020</t>
  </si>
  <si>
    <t>WOS:000304431800008</t>
  </si>
  <si>
    <t>Quaijtaal, W; Brinkhuis, H</t>
  </si>
  <si>
    <t>Quaijtaal, Willemijn; Brinkhuis, Henk</t>
  </si>
  <si>
    <t>Pentadinium alabamensis: A new, unusual dinoflagellate from the early Oligocene of the Gulf Coast, Alabama, USA</t>
  </si>
  <si>
    <t>REVIEW OF PALAEOBOTANY AND PALYNOLOGY</t>
  </si>
  <si>
    <t>organic walled dinoflagellate cysts; Eocene/Oligocene transition; St. Stephens Quarry; Alabama; USA</t>
  </si>
  <si>
    <t>LATE EOCENE; GLOBAL CLIMATE; NORTH-SEA; TRANSITION; CYSTS; BIOSTRATIGRAPHY; STRATIGRAPHY; SEDIMENTS; DINOCYST; LEVEL</t>
  </si>
  <si>
    <t>The Eocene-Oligocene Transition (EOT, similar to 34 Ma) marks the onset of major Antarctic ice sheets. The environmental consequences of the transition included major changes in e.g., sea level, temperature, and ocean circulation, complicating biostratigraphic correlations in this interval. Organic walled dinoflagellate cysts (dinocysts) however do show potential for EOT biostratigraphy, especially for ancient shallow marine settings. At St. Stephens Quarry, Alabama, USA, we found a new, extremely suturocavate dinocyst, Pentadinium alabamensis sp. nov., described herein. The range of the new species spans the critical EOT magnetosubchron C13n, making this taxon a useful biostratigraphic marker for this interval in the Gulf Coast region. The species appears to be associated with shallow marine, euryhaline conditions. (C) 2012 Elsevier B.V. All tights reserved.</t>
  </si>
  <si>
    <t>[Quaijtaal, Willemijn] Univ Ghent, Dept Geol &amp; Soil Sci, Res Unit Palaeontol, B-9000 Ghent, Belgium; [Quaijtaal, Willemijn; Brinkhuis, Henk] Univ Utrecht, Fac Geosci, Dept Earth Sci, Lab Palaeobot &amp; Palynol, NL-3584 CD Utrecht, Netherlands</t>
  </si>
  <si>
    <t>Ghent University; Utrecht University</t>
  </si>
  <si>
    <t>Quaijtaal, W (corresponding author), Univ Ghent, Dept Geol &amp; Soil Sci, Res Unit Palaeontol, Krijgslaan 281,S8-WE13, B-9000 Ghent, Belgium.</t>
  </si>
  <si>
    <t>willemijn.quaijtaal@ugent.be</t>
  </si>
  <si>
    <t>Quaijtaal, Willemijn/HNB-5108-2023; Brinkhuis, Henk/IUO-8165-2023</t>
  </si>
  <si>
    <t>Quaijtaal, Willemijn/0000-0001-6016-0194; Brinkhuis, Henk/0000-0003-0253-6610</t>
  </si>
  <si>
    <t>0034-6667</t>
  </si>
  <si>
    <t>REV PALAEOBOT PALYNO</t>
  </si>
  <si>
    <t>Rev. Palaeobot. Palynology</t>
  </si>
  <si>
    <t>MAY 1</t>
  </si>
  <si>
    <t>10.1016/j.revpalbo.2012.03.002</t>
  </si>
  <si>
    <t>Plant Sciences; Paleontology</t>
  </si>
  <si>
    <t>950ZH</t>
  </si>
  <si>
    <t>WOS:000304689900005</t>
  </si>
  <si>
    <t>Dong, XZ; Chen, ZJ</t>
  </si>
  <si>
    <t>Dong XiuZhu; Chen ZiJuan</t>
  </si>
  <si>
    <t>Psychrotolerant methanogenic archaea: Diversity and cold adaptation mechanisms</t>
  </si>
  <si>
    <t>SCIENCE CHINA-LIFE SCIENCES</t>
  </si>
  <si>
    <t>Review</t>
  </si>
  <si>
    <t>psychrotolerant methanogens; diversity; cold adaptation mechanisms</t>
  </si>
  <si>
    <t>FACTOR 2 PROTEINS; METHANOCOCCOIDES-BURTONII; ANTARCTIC ARCHAEON; SP-NOV.; ZOIGE WETLAND; SKAN-BAY; H-2-USING METHANOGEN; MARINE-SEDIMENTS; ACE LAKE; ALASKA</t>
  </si>
  <si>
    <t>Because of their diversity and abundance in a wide range of environments, particularly in cold regions, cold-adaptive archaea are expected to play a pivotal role in material recycling in cold environments. Methanogenic archaea are ubiquitous on earth and produce a large amount of methane (CH4) as their main carbon metabolite. Methanogens are the most laboratory amendable archaea. The few psychrophilic archaea that have been cultured to date are mainly affiliated with methanogens, thus make them a good model for investigating mechanisms of archaeal cold adaptation. Studies of psychrotolerant methanogens have been ongoing since the 1990s. Using Methanococcoides burtonii, a methanogen isolated from Ace Lake in Antarctica, extensive studies on the genomic characteristics associated with cold adaptation have been carried out by the Cavicchioli laboratory. We recently analyzed the genome of another psychrophilic methanogen and identified the gene repertoire associated with cold adaptation. This review summarizes recent studies of psychroactive methanogens, particularly their diversity, the genomics and proteomics associated with their cold adaptation, and the cellular components and proteins likely involved in their cold protection.</t>
  </si>
  <si>
    <t>[Dong XiuZhu; Chen ZiJuan] Chinese Acad Sci, Inst Microbiol, State Key Lab Microbial Resources, Beijing 100101, Peoples R China</t>
  </si>
  <si>
    <t>Chinese Academy of Sciences; Institute of Microbiology, CAS</t>
  </si>
  <si>
    <t>Dong, XZ (corresponding author), Chinese Acad Sci, Inst Microbiol, State Key Lab Microbial Resources, Beijing 100101, Peoples R China.</t>
  </si>
  <si>
    <t>dongxz@im.ac.cn</t>
  </si>
  <si>
    <t>Dong, Xiuzhu/EBF-2196-2022</t>
  </si>
  <si>
    <t>Dong, Xiuzhu/0000-0002-6926-5459</t>
  </si>
  <si>
    <t>SCIENCE PRESS</t>
  </si>
  <si>
    <t>BEIJING</t>
  </si>
  <si>
    <t>16 DONGHUANGCHENGGEN NORTH ST, BEIJING 100717, PEOPLES R CHINA</t>
  </si>
  <si>
    <t>1674-7305</t>
  </si>
  <si>
    <t>1869-1889</t>
  </si>
  <si>
    <t>SCI CHINA LIFE SCI</t>
  </si>
  <si>
    <t>Sci. China-Life Sci.</t>
  </si>
  <si>
    <t>10.1007/s11427-012-4320-0</t>
  </si>
  <si>
    <t>Biology</t>
  </si>
  <si>
    <t>Life Sciences &amp; Biomedicine - Other Topics</t>
  </si>
  <si>
    <t>950KX</t>
  </si>
  <si>
    <t>hybrid</t>
  </si>
  <si>
    <t>WOS:000304649200005</t>
  </si>
  <si>
    <t>Kirkhus, B; Lamglait, A; Eilertsen, KE; Falch, E; Haider, T; Vik, H; Hoem, N; Hagve, TA; Basu, S; Olsen, E; Seljeflot, I; Nyberg, L; Elind, E; Ulven, SM</t>
  </si>
  <si>
    <t>Kirkhus, Bente; Lamglait, Amandine; Eilertsen, Karl-Erik; Falch, Eva; Haider, Trond; Vik, Hogne; Hoem, Nils; Hagve, Tor-Arne; Basu, Samar; Olsen, Elisabeth; Seljeflot, Ingebjorg; Nyberg, Lena; Elind, Elisabeth; Ulven, Stine M.</t>
  </si>
  <si>
    <t>Effects of similar intakes of marine n-3 fatty acids from enriched food products and fish oil on cardiovascular risk markers in healthy human subjects</t>
  </si>
  <si>
    <t>BRITISH JOURNAL OF NUTRITION</t>
  </si>
  <si>
    <t>Foods; Fish oil; n-3 Fatty acids; Intervention; Serum lipids; Inflammation; Oxidative stress</t>
  </si>
  <si>
    <t>LONG-CHAIN N-3; LOW-DENSITY-LIPOPROTEIN; CORONARY-HEART-DISEASE; INFLAMMATORY MARKERS; OXIDATIVE STRESS; DIETARY SUPPLEMENTATION; MYOCARDIAL-INFARCTION; DOCOSAHEXAENOIC ACID; PLASMA; OMEGA-3-FATTY-ACIDS</t>
  </si>
  <si>
    <t>There is convincing evidence that consumption of fish and fish oil rich in long-chain (LC) n-3 PUFA (n-3 LCPUFA), EPA (20 : 5n-3) and DHA (22 : 6n-3) reduce the risk of CHD. The aim of the present study was to investigate whether n-3 LCPUFA-enriched food products provide similar beneficial effects as fish oil with regard to incorporation into plasma lipids and effects on cardiovascular risk markers. A parallel 7-week intervention trial was performed where 159 healthy men and women were randomised to consume either 34 g fish pate (n 44), 500 ml fruit juice (n 38) or three capsules of concentrated fish oil (n 40), all contributing to a daily intake of approximately 1 g EPA and DHA. A fourth group did not receive any supplementation or food product and served as controls (n 37). Plasma fatty acid composition, serum lipids, and markers of inflammation and oxidative stress were measured. Compared with the control group, plasma n-3 LCPUFA and EPA: arachidonic acid ratio increased equally in all intervention groups. However, no significant changes in blood lipids and markers of inflammation and oxidative stress were observed. In conclusion, enriched fish pate and fruit juice represent suitable delivery systems for n-3 LCPUFA. However, although the dose given is known to reduce the risk of CVD, no significant changes were observed on cardiovascular risk markers in this healthy population.</t>
  </si>
  <si>
    <t>[Kirkhus, Bente] Nofima AS, Norwegian Inst Food Fisheries &amp; Aquaculture Res, N-1430 As, Norway; [Kirkhus, Bente; Lamglait, Amandine; Falch, Eva] Mills DA, Oslo, Norway; [Eilertsen, Karl-Erik] Univ Tromso, Fac Biosci Fishery &amp; Econ, Tromso, Norway; [Haider, Trond] Link Med Res AS, Oslo, Norway; [Vik, Hogne; Hoem, Nils] Aker BioMarine Antarctic AS, Oslo, Norway; [Hagve, Tor-Arne] Univ Oslo, Rikshosp, Oslo Univ Hosp, Dept Med Biochem, N-0027 Oslo, Norway; [Hagve, Tor-Arne] Akershus Univ Hosp, Ctr Lab Med, Lorenskog, Norway; [Basu, Samar] Uppsala Univ, Dept Publ Hlth &amp; Caring Sci, SE-75585 Uppsala, Sweden; [Basu, Samar] Univ Auvergne, Fac Pharm, Lab Biochim Biol Mol &amp; Nutr, F-63001 Clermont Ferrand, France; [Olsen, Elisabeth] Denomega Nutr Oils, Sarpsborg, Norway; [Seljeflot, Ingebjorg] Oslo Univ Hosp, Dept Cardiol, Oslo, Norway; [Nyberg, Lena] Skanemejerier, Malmo, Sweden; [Elind, Elisabeth; Ulven, Stine M.] Akershus Univ Coll, Fac Hlth Nutr &amp; Management, Kjeller, Norway</t>
  </si>
  <si>
    <t>Nofima; UiT The Arctic University of Tromso; University of Oslo; National Hospital Norway; University of Oslo; Uppsala University; Universite Clermont Auvergne (UCA); University of Oslo; Oslo Metropolitan University (OsloMet)</t>
  </si>
  <si>
    <t>Kirkhus, B (corresponding author), Nofima AS, Norwegian Inst Food Fisheries &amp; Aquaculture Res, Osloveien 1, N-1430 As, Norway.</t>
  </si>
  <si>
    <t>bente.kirkhus@nofima.no</t>
  </si>
  <si>
    <t>Ulven, Stine Marie/ABD-7140-2020; Eilertsen, Karl-Erik/A-9063-2010</t>
  </si>
  <si>
    <t>Eilertsen, Karl-Erik/0000-0002-6033-7188; Hoem, Nils/0000-0002-3124-8290; Hagve, Tor-Arne/0000-0002-3325-4379; Kirkhus, Bente/0000-0003-2396-8906</t>
  </si>
  <si>
    <t>Norwegian company Aker BioMarine Antarctic AS, Oslo, Norway; Norwegian company Mills DA; Norwegian company Denomega Nutritional Oils AS; Swedish company Skanemejerier</t>
  </si>
  <si>
    <t>The financial support from the Norwegian companies Aker BioMarine Antarctic AS, Oslo, Norway, Mills DA and Denomega Nutritional Oils AS and the Swedish company Skanemejerier, is highly appreciated. Fish pate was carefully prepared and made available from Mills DA. Fruit juice was produced by Skanemejerier, and made available from Mills DA. Fish oil added to the products was delivered by Denomega Nutritional Oils. The authors also want to thank Ingunn Hagen Westgaard and Minna Nurminiemi, Link Medical Research AS, for their contribution to the interpretation and statistical analyses of the data, Professor Bjarne Osterud, Faculty of Health Sciences, University of Tromso, Tromso, Norway, for his contribution to the interpretation and analyses of plasma inflammatory markers, and Professor Jan I. Pedersen, Department of Nutrition, University of Oslo, Oslo, Norway, for valuable discussions and reading the manuscript. We also want to thank the volunteers who participated in the study.</t>
  </si>
  <si>
    <t>CAMBRIDGE UNIV PRESS</t>
  </si>
  <si>
    <t>CAMBRIDGE</t>
  </si>
  <si>
    <t>EDINBURGH BLDG, SHAFTESBURY RD, CB2 8RU CAMBRIDGE, ENGLAND</t>
  </si>
  <si>
    <t>0007-1145</t>
  </si>
  <si>
    <t>1475-2662</t>
  </si>
  <si>
    <t>BRIT J NUTR</t>
  </si>
  <si>
    <t>Br. J. Nutr.</t>
  </si>
  <si>
    <t>10.1017/S0007114511004508</t>
  </si>
  <si>
    <t>Nutrition &amp; Dietetics</t>
  </si>
  <si>
    <t>944ZT</t>
  </si>
  <si>
    <t>WOS:000304243000011</t>
  </si>
  <si>
    <t>Vovk, VY; Egorova, LV</t>
  </si>
  <si>
    <t>Vovk, V. Ya; Egorova, L. V.</t>
  </si>
  <si>
    <t>Relationship between variations in the characteristics of the high-latitude ionosphere and magnetic PC indices</t>
  </si>
  <si>
    <t>GEOMAGNETISM AND AERONOMY</t>
  </si>
  <si>
    <t>It is shown in a joint analysis of ionospheric vertical sounding data at the arctic Heiss Island and antarctic Vostok stations and the geomagnetic PC index, which characterizes the geoefficient component of the interplanetary magnetic field, that, during a disturbed geomagnetic period when PC &gt; 2 in years of solar activity (SA) maxima in the winter season, positive phases of ionospheric disturbances are predominantly observed. In the nighttime hours, an increase in the critical foF2 frequencies by a factor of 2-3 can occur. In a disturbed geomagnetic period at the PC &gt; 1.5 level in the summer season, negative phases of ionospheric disturbances are mainly observed. In years of maximum and moderate SA, the decrease in foF2, as compared to their median values, happens at night (similar to 30%). In years of low SA, the decrease value is much lower. At a substantial decrease in the PC index level, in the region of the geomagnetic pole at the Vostok station, in some cases, a substantial increase in the electron density level in the F region occurs with a delay of 0.5 h. At the same time, a significant correlation (r = -0.57) is observed between variations in the PC index and foF2.</t>
  </si>
  <si>
    <t>[Vovk, V. Ya; Egorova, L. V.] Arctic &amp; Antarctic Res Inst, St Petersburg 199397, Russia</t>
  </si>
  <si>
    <t>Vovk, VY (corresponding author), Arctic &amp; Antarctic Res Inst, Ul Beringa 38, St Petersburg 199397, Russia.</t>
  </si>
  <si>
    <t>eglar@aari.nw.ru</t>
  </si>
  <si>
    <t>0016-7932</t>
  </si>
  <si>
    <t>GEOMAGN AERONOMY+</t>
  </si>
  <si>
    <t>Geomagn. Aeron.</t>
  </si>
  <si>
    <t>10.1134/S0016793212020156</t>
  </si>
  <si>
    <t>Geochemistry &amp; Geophysics</t>
  </si>
  <si>
    <t>946NW</t>
  </si>
  <si>
    <t>WOS:000304359700007</t>
  </si>
  <si>
    <t>[Anonymous]</t>
  </si>
  <si>
    <t>Genetic survey of endangered Antarctic blue whales shows surprising diversity</t>
  </si>
  <si>
    <t>MARINE POLLUTION BULLETIN</t>
  </si>
  <si>
    <t>0025-326X</t>
  </si>
  <si>
    <t>1879-3363</t>
  </si>
  <si>
    <t>MAR POLLUT BULL</t>
  </si>
  <si>
    <t>Mar. Pollut. Bull.</t>
  </si>
  <si>
    <t>Environmental Sciences; Marine &amp; Freshwater Biology</t>
  </si>
  <si>
    <t>Environmental Sciences &amp; Ecology; Marine &amp; Freshwater Biology</t>
  </si>
  <si>
    <t>946FZ</t>
  </si>
  <si>
    <t>WOS:000304338200012</t>
  </si>
  <si>
    <t>Sinclair, KE; Bertler, NAN; van Ommen, TD</t>
  </si>
  <si>
    <t>Sinclair, Kate E.; Bertler, Nancy A. N.; van Ommen, Tas D.</t>
  </si>
  <si>
    <t>Twentieth-Century Surface Temperature Trends in the Western Ross Sea, Antarctica: Evidence from a High-Resolution Ice Core</t>
  </si>
  <si>
    <t>JOURNAL OF CLIMATE</t>
  </si>
  <si>
    <t>INTERNATIONAL GEOPHYSICAL YEAR; CLIMATE-CHANGE; ATMOSPHERIC CIRCULATION; ISOTOPIC COMPOSITION; ANNULAR MODE; RECORDS; VARIABILITY; PRECIPITATION; SYSTEM; DOME</t>
  </si>
  <si>
    <t>A 125-yr ice core record of climate from the Whitehall Glacier ice divide provides exceptionally high-resolution stable isotope data from the northwest margin of the Ross Sea, Antarctica. This is the only proxy data available to extend the instrumental record of temperature in this region, where little is known about climate variability over the past two centuries. Using ECMWF Interim Re-Analysis (ERA-Interim) data, this study develops a precipitation-weighted delta O-18-temperature transfer function of 0.62 parts per thousand degrees C-1, which is comparable to other proximal ice cores, such as Taylor, Talos, and Law Domes. Reconstructed mean annual temperatures show no significant change between 1882 and 2006. However, a decrease in cold season [April-September (AMJJAS)] temperatures of -1.59 degrees +/- 0.84 degrees C decade(-1) (at 90% confidence) is observed since 1979. This cooling trend is in contrast to a surface temperature record from Ross Island (Scott Base) where significant spring warming is observed. It is also coincident with a positive trend in the southern annular mode, which is linked to stronger southerly winds and increased sea ice extent and duration in the western Ross Sea.</t>
  </si>
  <si>
    <t>[Sinclair, Kate E.] GNS Sci, Natl Isotope Ctr, Joint Antarctic Res Inst, Wellington 5040, New Zealand; [Bertler, Nancy A. N.] Victoria Univ Wellington, Joint Antarctic Res Inst, Wellington, New Zealand; [van Ommen, Tas D.] Univ Tasmania, Australian Antarctic Div, Hobart, Tas, Australia; [van Ommen, Tas D.] Univ Tasmania, Antarctic Climate &amp; Ecosyst CRC, Hobart, Tas, Australia</t>
  </si>
  <si>
    <t>GNS Science - New Zealand; Victoria University Wellington; Australian Antarctic Division; University of Tasmania; University of Tasmania</t>
  </si>
  <si>
    <t>Sinclair, KE (corresponding author), GNS Sci, Natl Isotope Ctr, Joint Antarctic Res Inst, 30 Gracefield Rd,POB 30-386, Wellington 5040, New Zealand.</t>
  </si>
  <si>
    <t>k.sinclair@gns.cri.nz</t>
  </si>
  <si>
    <t>Bertler, Nancy A N/F-3967-2011; van Ommen, Tas/B-5020-2012</t>
  </si>
  <si>
    <t>Bertler, Nancy/0000-0001-6028-4891; van Ommen, Tas/0000-0002-2463-1718</t>
  </si>
  <si>
    <t>Ministry for Science and Innovation [VICX0704, CO5X0202]; N.Z. Foundation for Research, Science, and Technology [CO5X0902]; Australian Government's Cooperative Research Centre through the Antarctic Climate and Ecosystems CRC</t>
  </si>
  <si>
    <t>Ministry for Science and Innovation; N.Z. Foundation for Research, Science, and Technology(New Zealand Foundation for Research, Science and Technology); Australian Government's Cooperative Research Centre through the Antarctic Climate and Ecosystems CRC(Australian GovernmentDepartment of Industry, Innovation and ScienceCooperative Research Centres (CRC) Programme)</t>
  </si>
  <si>
    <t>This project was funded by the New Zealand Foundation of Research Science and Technology (now the Ministry for Science and Innovation) via contracts awarded to Victoria University of Wellington, GNS Science (VICX0704, CO5X0202) and an N.Z. Foundation for Research, Science, and Technology Post-doctoral Fellowship (Contract CO5X0902). We are grateful for logistical support for the ice core extraction (K049) by Antarctica New Zealand, Scott Base, and the U.S. Polar Program. TvO acknowledges support of the Australian Government's Cooperative Research Centres Programme through the Antarctic Climate and Ecosystems CRC. ERA-Interim data were obtained from the ECMRWF online at http://data.ecmwf.int/data. We are also grateful to the Italian Antarctic Program and the University of Wisconsin-Madison (Antarctic Meteorological Research Center) for the use of weather station data.</t>
  </si>
  <si>
    <t>0894-8755</t>
  </si>
  <si>
    <t>1520-0442</t>
  </si>
  <si>
    <t>J CLIMATE</t>
  </si>
  <si>
    <t>J. Clim.</t>
  </si>
  <si>
    <t>10.1175/JCLI-D-11-00496.1</t>
  </si>
  <si>
    <t>942IL</t>
  </si>
  <si>
    <t>Green Submitted, Green Accepted, Bronze</t>
  </si>
  <si>
    <t>WOS:000304037400012</t>
  </si>
  <si>
    <t>Núñez-Pons, L; Carbone, M; Paris, D; Melck, D; Ríos, P; Cristobo, J; Castelluccio, F; Gavagnin, M; Avila, C</t>
  </si>
  <si>
    <t>Nunez-Pons, Laura; Carbone, Marianna; Paris, Debora; Melck, Dominique; Rios, Pilar; Cristobo, Javier; Castelluccio, Francesco; Gavagnin, Margherita; Avila, Conxita</t>
  </si>
  <si>
    <t>Chemo-ecological studies on hexactinellid sponges from the Southern Ocean</t>
  </si>
  <si>
    <t>NATURWISSENSCHAFTEN</t>
  </si>
  <si>
    <t>Antarctic hexactinellid sponges; Chemical defense; Chemotaxonomy; Glycoceramide; Keto-steroid</t>
  </si>
  <si>
    <t>PREY NUTRITIONAL QUALITY; CHEMICAL DEFENSES; STEROL COMPOSITION; CARIBBEAN SPONGES; MARINE SPONGES; AQUATIC ORGANISMS; MCMURDO-SOUND; WEDDELL SEA; TRADE-OFF; CLASSIFICATION</t>
  </si>
  <si>
    <t>Hexactinellids (glass sponges) are an understudied class with syncytial organization and poor procariotic associations, thought to lack defensive secondary metabolites. Poriferans, though, are outstanding sources of bioactive compounds; nonetheless, a growing suspicion suggests that many of these chemicals could be symbiont-derived. In Polar latitudes, sponges are readily invaded by diatoms, which could provide natural products. Hexactinellids are typical of deep waters; but in Antarctica, they dominate the upper shelf providing shelter and food supply to many opportunistic mesograzers and macroinvertebrates, which exert strong ecological pressures on them. Aiming to examine the incidence of defensive activities of hexactinellids against consumption, feeding experiments were conducted using their lipophilic fractions. Antarctic hexactinellid and demosponge extracts were tested against the asteroid and the amphipod as putative sympatric, omnivorous consumers. Hexactinellids yielded greater unpalatable activities towards the amphipod, while no apparent allocation of lipophilic defenses was noted. After chemical analyses on the lipophilic fractions from these Antarctic glass sponges, quite similar profiles were revealed, and no peculiar secondary metabolites, comparable to those characterizing other poriferans, were found. Instead, the lipidic compounds 5 alpha(H)-cholestan-3-one and two glycoceramides were isolated for their particular outspread presence in our samples. The isolated compounds were further assessed in asteroid feeding assays, and their occurrence was evaluated for chemotaxonomical purposes in all the Antarctic samples as well as in glass sponges from other latitudes by NMR and MS. Characteristic sphingolipids are proposed as chemical markers in Hexactinellida, with possible contributions to the classification of this unsettled class.</t>
  </si>
  <si>
    <t>[Nunez-Pons, Laura; Avila, Conxita] Univ Barcelona, Fac Biol, Dept Biol Anim Invertebrats, E-08028 Barcelona, Catalunya, Spain; [Carbone, Marianna; Paris, Debora; Melck, Dominique; Castelluccio, Francesco; Gavagnin, Margherita] CNR, Ist Chim Biomol, I-80078 Naples, Italy; [Rios, Pilar; Cristobo, Javier] Inst Espanol Oceanog, Ctr Oceanog Gijon, Gijon 33212, Asturias, Spain</t>
  </si>
  <si>
    <t>University of Barcelona; Consiglio Nazionale delle Ricerche (CNR); Istituto di Chimica Biomolecolare (ICB-CNR); Spanish Institute of Oceanography</t>
  </si>
  <si>
    <t>Núñez-Pons, L (corresponding author), Univ Barcelona, Fac Biol, Dept Biol Anim Invertebrats, Av Diagonal 643, E-08028 Barcelona, Catalunya, Spain.</t>
  </si>
  <si>
    <t>lauguau@gmail.com</t>
  </si>
  <si>
    <t>Avila, Conxita/B-9466-2008; Gavagnin, Margherita/B-4584-2012; Cristobo, Javier/M-1949-2014; Paris, Debora/ABI-2224-2020; Paris, Debora/P-1624-2018; Rios, Pilar/L-1293-2014</t>
  </si>
  <si>
    <t>Avila, Conxita/0000-0002-5489-8376; Paris, Debora/0000-0003-4526-8353; Paris, Debora/0000-0003-4526-8353; Rios, Pilar/0000-0001-9710-9114; CARBONE, MARIANNA/0000-0003-3729-5714</t>
  </si>
  <si>
    <t>Ministry of Science and Innovation of Spain [CGL2004-03356/ANT, CGL2007-65453/ANT, CGL2010-17415/ANT]; REDES [CGL2009/06185-E]</t>
  </si>
  <si>
    <t>Ministry of Science and Innovation of Spain(Spanish Government); REDES</t>
  </si>
  <si>
    <t>We thank J. Vazquez, S. Taboada, B. Figuerola, M. Paone and E. Manzo for their precious help in the lab. Thanks are due to D. Janussen, S. Leys, T. Perez and M. Bergmann (AWI) for kindly supplying hexactinellid samples from Northern latitudes. Also, we are grateful to W. Arntz and the crew of R/V Polarstern. UTM (CSIC), R/V Las Palmas and BAE Gabriel de Castilla crews provided logistic support. The Centres Cientifics i Tecnologics of the UB also provided technical support. Funding was provided by the Ministry of Science and Innovation of Spain (CGL2004-03356/ANT, CGL2007-65453/ANT and CGL2010-17415/ANT) and REDES Project (CGL2009/06185-E).</t>
  </si>
  <si>
    <t>0028-1042</t>
  </si>
  <si>
    <t>1432-1904</t>
  </si>
  <si>
    <t>Naturwissenschaften</t>
  </si>
  <si>
    <t>10.1007/s00114-012-0907-3</t>
  </si>
  <si>
    <t>944BW</t>
  </si>
  <si>
    <t>WOS:000304174400002</t>
  </si>
  <si>
    <t>Palacios, MJ; Valera, F; Barbosa, A</t>
  </si>
  <si>
    <t>Palacios, M. J.; Valera, F.; Barbosa, A.</t>
  </si>
  <si>
    <t>Experimental assessment of the effects of gastrointestinal parasites on offspring quality in chinstrap penguins (Pygoscelis antarctica)</t>
  </si>
  <si>
    <t>PARASITOLOGY</t>
  </si>
  <si>
    <t>anthelminthics; Antarctica; chinstrap penguin; helminths; levamisole; parasite effects; praziquantel</t>
  </si>
  <si>
    <t>IMMUNE-RESPONSE; RED GROUSE; JUVENILE SURVIVAL; NESTLING WEIGHT; TRADE-OFFS; HOST; CONSEQUENCES; POPULATION; COSTS; SIZE</t>
  </si>
  <si>
    <t>Parasites reduce host fitness and consequently impose strong selection pressures on their hosts. It has been hypothesized that parasites are scarcer and their overall effect on hosts is weaker at higher latitudes. Although Antarctic birds have relatively low numbers of parasites, their effect on host fitness has rarely been investigated. The effect of helminth parasitism on growth rate was experimentally studied in chinstrap penguin (Pygoscelis antarctica) nestlings. In a total of 22 two-nestling broods, 1 nestling was treated with anthelminthics (for cestodes and nematodes) while its sibling was left as a control. Increased growth rate was predicted in de-wormed nestlings compared to their siblings. As expected, 15 days after treatment, the experimental nestlings had increased body mass more than their siblings. These results show a non-negligible negative effect of helminth parasites on nestling body condition that would presumably affect future survival and thus fitness, and it has been suggested there is a strong relationship between body mass and mortality in chinstrap penguins.</t>
  </si>
  <si>
    <t>[Barbosa, A.] CSIC, Museo Nacl Ciencias Nat, Dept Ecol Evolut, E-28006 Madrid, Spain; [Palacios, M. J.; Valera, F.; Barbosa, A.] CSIC, Estn Expt Zonas Aridas, Dept Ecol Func &amp; Evolut, La Canada De San Urbano 04120, Almeria, Spain</t>
  </si>
  <si>
    <t>Consejo Superior de Investigaciones Cientificas (CSIC); CSIC - Museo Nacional de Ciencias Naturales (MNCN); Consejo Superior de Investigaciones Cientificas (CSIC); CSIC - Estacion Experimental de Zonas Aridas (EEZA)</t>
  </si>
  <si>
    <t>Barbosa, A (corresponding author), CSIC, Museo Nacl Ciencias Nat, Dept Ecol Evolut, C Jose Gutierrez Abascal 2, E-28006 Madrid, Spain.</t>
  </si>
  <si>
    <t>barbosa@mncn.csic.es</t>
  </si>
  <si>
    <t>Valera, Francisco/R-3437-2019; Barbosa, Andrés/C-3208-2008</t>
  </si>
  <si>
    <t>Valera, Francisco/0000-0003-2266-8899; Barbosa, Andrés/0000-0001-8434-3649</t>
  </si>
  <si>
    <t>Spanish Ministry of Science and Innovation [BES-2005-8465]; European Regional Development Fund [CGL2004-01348, POL2006-05175, CGL2007-60369]</t>
  </si>
  <si>
    <t>Spanish Ministry of Science and Innovation(Spanish Government); European Regional Development Fund(European Union (EU))</t>
  </si>
  <si>
    <t>M.J.P. was supported by a Ph.D. grant from the Spanish Ministry of Science and Innovation (BES-2005-8465). This study was funded by the Spanish Ministry of Science and Innovation and European Regional Development Fund (grants CGL2004-01348, POL2006-05175, CGL2007-60369).</t>
  </si>
  <si>
    <t>32 AVENUE OF THE AMERICAS, NEW YORK, NY 10013-2473 USA</t>
  </si>
  <si>
    <t>0031-1820</t>
  </si>
  <si>
    <t>1469-8161</t>
  </si>
  <si>
    <t>Parasitology</t>
  </si>
  <si>
    <t>10.1017/S0031182011002381</t>
  </si>
  <si>
    <t>941ZI</t>
  </si>
  <si>
    <t>WOS:000304008100016</t>
  </si>
  <si>
    <t>Gao, Y; Wang, HJ</t>
  </si>
  <si>
    <t>Gao Ya; Wang HuiJun</t>
  </si>
  <si>
    <t>Pan-Asian monsoon and its definition, principal modes of precipitation, and variability features</t>
  </si>
  <si>
    <t>SCIENCE CHINA-EARTH SCIENCES</t>
  </si>
  <si>
    <t>Pan-Asian monsoon precipitation; ENSO; teleconnections</t>
  </si>
  <si>
    <t>SPRING ANTARCTIC OSCILLATION; INTERANNUAL VARIABILITY; SUMMER MONSOON; NORTH CHINA; ATMOSPHERE; FREQUENCY; OCEAN; CIRCULATION; CONTRASTS; LINKAGE</t>
  </si>
  <si>
    <t>Here we propose a new concept, the Pan-Asian monsoon, and use empirical orthogonal function (EOF) analysis and linear regression approach to define it and to analyze the monsoon-related rainfall variability. The Pan-Asian monsoon is referred to as the monsoon occurred over the great region (60A degrees E-140A degrees E, 10A degrees S-35A degrees N), consisting of the Indian monsoon, Southeast Asian monsoon, East Asian monsoon, and Western North Pacific monsoon. The Pan-Asian monsoon region is the principal region of the summer rainfall over the Asian-Pacific monsoon region and is also water vapor channel connecting several Asian-Pacific sub-monsoon systems. The first EOF mode of the Pan-Asian monsoon precipitation (PAMP_F) shows a meridional tripole pattern with more (less) rainfall zonal belt over the Bay of Bengal (BOB), the Indo-China Peninsula, South China, the South China Sea (SCS), Philippines and the Philippine Sea, and less (more) rainfall on both sides. The first rainfall mode is associated with the weakened Somali cross-equatorial flows, enhanced southerly over the eastern coast of Australia, and strengthened westerly over the tropical Pacific. The first EOF rainfall mode shows a close relationship with the simultaneous El Nio-Southern Oscillation (ENSO) and Pacific South America (PSA). The preceding spring and simultaneous summer Antarctic Oscillation (AAO) in the western Hemisphere (AAO in Pacific) has a connection with the first summer rainfall mode of the Pan-Asian monsoon. Because the main influence factors are over the Pacific, the first rainfall mode is named as the Pacific mode. The second mode of the Pan-Asian monsoon precipitation (PAMP_S) shows a dipole pattern from northeast to southwest, which is associated with the weakened Somali cross-equatorial flows, enhanced easterlies over the Maritime Continent, and weak easterly over the tropical Pacific. The second rainfall model has a close relationship with the atmospheric convection activity and the sea surface temperature variability over the Maritime Continent and South Indian Ocean. Because the influence factors are mainly over the eastern Hemisphere, the second rainfall mode of the Pan-Asian monsoon is named as the Indian Ocean mode.</t>
  </si>
  <si>
    <t>[Gao Ya; Wang HuiJun] Chinese Acad Sci, Inst Atmospher Phys, Nansen Zhu Int Res Ctr, Beijing 100029, Peoples R China; [Gao Ya] Chinese Acad Sci, Grad Univ, Beijing 100049, Peoples R China; [Gao Ya; Wang HuiJun] Chinese Acad Sci, Climate Change Res Ctr, Beijing 100029, Peoples R China</t>
  </si>
  <si>
    <t>Chinese Academy of Sciences; Institute of Atmospheric Physics, CAS; Chinese Academy of Sciences; University of Chinese Academy of Sciences, CAS; Chinese Academy of Sciences</t>
  </si>
  <si>
    <t>Gao, Y (corresponding author), Chinese Acad Sci, Inst Atmospher Phys, Nansen Zhu Int Res Ctr, Beijing 100029, Peoples R China.</t>
  </si>
  <si>
    <t>gaoy@mail.iap.ac.cn; wanghj@mail.iap.ac.cn</t>
  </si>
  <si>
    <t>National Basic Research Program of China [2009CB421406]; National Natural Science Foundation of China [40905041]; Chinese Academy of Sciences [KZCX2-YW-QN202]; National Key Scientific Research Project of Global Changes Research of China [2010CB950304]</t>
  </si>
  <si>
    <t>National Basic Research Program of China(National Basic Research Program of China); National Natural Science Foundation of China(National Natural Science Foundation of China (NSFC)); Chinese Academy of Sciences(Chinese Academy of Sciences); National Key Scientific Research Project of Global Changes Research of China</t>
  </si>
  <si>
    <t>This work was supported by National Basic Research Program of China (Grant No. 2009CB421406), National Natural Science Foundation of China (Grant No. 40905041), Knowledge Innovation Program of Chinese Academy of Sciences (Grant No. KZCX2-YW-QN202), and National Key Scientific Research Project of Global Changes Research of China (Grant No. 2010CB950304).</t>
  </si>
  <si>
    <t>1674-7313</t>
  </si>
  <si>
    <t>1869-1897</t>
  </si>
  <si>
    <t>SCI CHINA EARTH SCI</t>
  </si>
  <si>
    <t>Sci. China-Earth Sci.</t>
  </si>
  <si>
    <t>10.1007/s11430-012-4382-7</t>
  </si>
  <si>
    <t>940AN</t>
  </si>
  <si>
    <t>WOS:000303862500010</t>
  </si>
  <si>
    <t>Townsend, AT; Seen, AJ</t>
  </si>
  <si>
    <t>Townsend, Ashley T.; Seen, Andrew J.</t>
  </si>
  <si>
    <t>Historical lead isotope record of a sediment core from the Derwent River (Tasmania, Australia): A multiple source environment</t>
  </si>
  <si>
    <t>SCIENCE OF THE TOTAL ENVIRONMENT</t>
  </si>
  <si>
    <t>Derwent River; Sediment core; Zinc refinery; Metals; Pb isotope ratios; Pb-210 dating</t>
  </si>
  <si>
    <t>NEW-SOUTH-WALES; HEAVY-METALS; POLLUTION HISTORY; MARINE-SEDIMENTS; LAKE-SEDIMENTS; PB POLLUTION; BAY; PB-210; RATIOS; IDENTIFICATION</t>
  </si>
  <si>
    <t>A 105 cm sediment core from the Derwent River (Tasmania, Australia) was collected in 2004 and was characterised considering both physical (loss on ignition at 550 degrees C and grain size) and chemical (Fe, Cu, Zn, Cd and Pb concentrations, Pb isotope ratios and Pb-210 dating) properties. The core was analysed to (i) investigate the historical profiles of some important elements associated with the Risdon zinc refinery adjacent to the Derwent River, (ii) determine Pb isotopic signatures of sediment samples, and (iii) assess the veracity of Pb isotope ratios as indicators of contaminant Pb input. Extractable metal concentrations were (all values as mg kg(-1), non-normalised for grain size) Fe: 20,000-35.000, Zn: 42-4500, Pb: 5-1090, Cu: 13-141, and Cd: 1-31; with a close correlation between Cu, Zn, Cd and Pb. Metal enrichment factors (normalised to Al) were Pb: 0.9-144, Zn: 0.8-93, Cd: 0.8-30, Cu: 0.8-8.9 and Fe: 0.9-1.3, confirming anthropogenic contributions of Cu, Zn, Pb and Cd to the sediments. The onset of metal contamination above background levels occurred at a depth between 43 and 49 cm, with maximum concentrations noted near 20 cm for Cu, Zn, Cd and Pb. Lead isotope ratios were determined in sediments using sector field ICP-MS, and were found to be 36.5-38.8, 16.5-18.7 and 1.07-1.20 for Pb-208/Pb-204. Pb-206/Pb-204 and Pb-206/Pb-207 Pb ratios, respectively. Major Australian ores processed at the refinery over the previous similar to 90 years include those from Broken Hill, Rosebery, Mt Isa, Elura. Hellyer and Century deposits. Anthropogenic impact by Pb with Broken Hill type isotopic ratio was initially evident in the core at 43-49 cm. The introduction of Rosebery and Elura ores to the refinery was also clearly noted. Pb isotope ratios further highlight that the Derwent River has been exposed to a greater impact by anthropogenic Pb in comparison to other major Tasmanian rivers, namely the Huon and Tamar. (c) 2012 Elsevier B.V. All rights reserved.</t>
  </si>
  <si>
    <t>[Townsend, Ashley T.] Univ Tasmania, Cent Sci Lab, Hobart, Tas 7001, Australia; [Seen, Andrew J.] Univ Tasmania, Sch Chem, Launceston, Tas 7250, Australia</t>
  </si>
  <si>
    <t>University of Tasmania; University of Tasmania</t>
  </si>
  <si>
    <t>Townsend, AT (corresponding author), Univ Tasmania, Cent Sci Lab, Private Bag 74, Hobart, Tas 7001, Australia.</t>
  </si>
  <si>
    <t>Ashley.Townsend@utas.edu.au</t>
  </si>
  <si>
    <t>Townsend, Ashley/J-7445-2014</t>
  </si>
  <si>
    <t>Townsend, Ashley/0000-0002-2972-2678; Seen, Andrew/0000-0001-7788-579X</t>
  </si>
  <si>
    <t>AINSE [AINGRA05147]</t>
  </si>
  <si>
    <t>AINSE</t>
  </si>
  <si>
    <t>We thank two anonymous referees for their detailed and constructive comments on the manuscript. Staff from the Derwent Estuary Program and the Institute of Marine and Antarctic Studies (IMAS) are thanked for their assistance with the collection of the Derwent River core, in particular Ruth Eriksen, Jason Whitehead, and Christine Coughanowr. Analytical Services Tasmania (through the Derwent Estuary Program) is acknowledged for the metals determination of the Derwent River core samples. The work of Jennifer Harrison in undertaking the 210Pb dating and the support of an AINSE Grant (AINGRA05147) are gratefully acknowledged. Dan Gregory and Sebastian Meffre (CODES, UTAS) are thanked for their assistance with background Derwent geology. The manuscript was greatly improved following careful assessment by Edward Butler. Risdon refinery past and present employees, namely Todd Milne, David Palmer, Curzon Haigh, Brian Smith and Kevin Jacobson are thanked for contributing valuable information and comment on various aspects of plant operations, process and history.</t>
  </si>
  <si>
    <t>0048-9697</t>
  </si>
  <si>
    <t>1879-1026</t>
  </si>
  <si>
    <t>SCI TOTAL ENVIRON</t>
  </si>
  <si>
    <t>Sci. Total Environ.</t>
  </si>
  <si>
    <t>10.1016/j.scitotenv.2012.02.011</t>
  </si>
  <si>
    <t>Environmental Sciences</t>
  </si>
  <si>
    <t>Environmental Sciences &amp; Ecology</t>
  </si>
  <si>
    <t>941IM</t>
  </si>
  <si>
    <t>WOS:000303956900017</t>
  </si>
  <si>
    <t>Neale, PJ; Sobrino, C; Gargett, AE</t>
  </si>
  <si>
    <t>Neale, Patrick J.; Sobrino, Cristina; Gargett, Ann E.</t>
  </si>
  <si>
    <t>Vertical mixing and the effects of solar radiation on photosystem II electron transport by phytoplankton in the Ross Sea Polynya</t>
  </si>
  <si>
    <t>DEEP-SEA RESEARCH PART I-OCEANOGRAPHIC RESEARCH PAPERS</t>
  </si>
  <si>
    <t>Photosynthesis; Phytoplankton; Turbulence; Mixing processes; Southern Ocean; Acoustic backscatter; Fast repetition rate fluorometry</t>
  </si>
  <si>
    <t>PHAEOCYSTIS-ANTARCTICA; PRIMARY PRODUCTIVITY; LANGMUIR TURBULENCE; PHOTOSYNTHESIS; RATES; WATER; FLUORESCENCE; PHOTOPHYSIOLOGY; INHIBITION; ADVECTION</t>
  </si>
  <si>
    <t>Detailed studies were made in the springtime Ross Sea Polynya of the interaction between near-surface mixing processes, inferred from Thorpe scales and acoustic backscatter, and the quantum efficiency and rate of PSII electron transport of phytoplankton photosynthesis measured at fine depth and time scales by active fluorometry. The phytoplankton assemblage was dominated by Phaeocystis antarctica. Surface conditions alternated between windy episodes producing Langmuir circulation (LC) or calm periods favoring internal waves, in both cases there was significant vertical transport of phytoplankton. During LC episodes, strong near-surface ( &lt; 10 m) vertical gradients in quantum efficiency and inhibition of electron transport were observed despite evidence of vigorous vertical exchange. Under sunny mid-day conditions, profiles of PSII electron transport had sub-surface peaks and electron transport at PAR irradiances &gt; 40 mu mol photons m(-2) s(-1) was generally lower compared to early morning profiles on the same day. In time-series deployments, intrinsic quantum efficiency (F-v'/F-m') was relatively constant under calm conditions at 12 m, but highly variable at 6 m under LC conditions. Simultaneously measured time-series of acoustic backscatter and F-v'/F-m' during LC conditions were negatively correlated, i.e. high backscatter arising from the downward advection of surface originating micro-bubbles coincided with low intrinsic efficiency. Transport also occurred in connection with finer-scale features, possibly arising from breaking surface waves. These results show that LC in the Ross Sea Polynya, in combination with changes in quenching driven by near surface UVR and PAR exposure, reduce photosynthetic electron transport over much of the upper mixed layer. Further observations and modeling will be needed to establish the extent to which this decreases water column productivity. Published by Elsevier Ltd.</t>
  </si>
  <si>
    <t>[Neale, Patrick J.; Sobrino, Cristina] Smithsonian Environm Res Ctr, Edgewater, MD 21037 USA; [Gargett, Ann E.] Old Dominion Univ, Ctr Coastal Phys Oceanog, Norfolk, VA 23508 USA</t>
  </si>
  <si>
    <t>Smithsonian Institution; Smithsonian Environmental Research Center; Old Dominion University</t>
  </si>
  <si>
    <t>Neale, PJ (corresponding author), Smithsonian Environm Res Ctr, POB 28, Edgewater, MD 21037 USA.</t>
  </si>
  <si>
    <t>nealep@si.edu</t>
  </si>
  <si>
    <t>Neale, Patrick/A-3683-2012; Sobrino, Cristina/J-3534-2012</t>
  </si>
  <si>
    <t>Sobrino, Cristina/0000-0003-0431-1220; Gargett, Ann/0000-0002-7324-0668; Neale, Patrick/0000-0002-4047-8098</t>
  </si>
  <si>
    <t>National Science Foundation [OPP-0127037, OPP-0127022, OPP-0125818]; Scientific Committee for Antarctic Research; Spanish Ministry of Education and Science; RVIB Nathaniel B. Palmer; Office of Polar Programs (OPP); Directorate For Geosciences [0839011] Funding Source: National Science Foundation</t>
  </si>
  <si>
    <t>National Science Foundation(National Science Foundation (NSF)); Scientific Committee for Antarctic Research; Spanish Ministry of Education and Science(Spanish Government); RVIB Nathaniel B. Palmer; Office of Polar Programs (OPP); Directorate For Geosciences(National Science Foundation (NSF)NSF - Directorate for Geosciences (GEO))</t>
  </si>
  <si>
    <t>The National Science Foundation is acknowledged for support to the MIXURS project (OPP-0127037 to P.J. Neale, OPP-0127022 to W. Jeffrey and OPP-0125818 to A.E. Gargett). C. Sobrino was supported by an Asturias Fellowship from the Scientific Committee for Antarctic Research and by the Spanish Ministry of Education and Science. The authors gratefully acknowledge the support of the officers and crew of the RVIB Nathaniel B. Palmer, the technical support staff from Raytheon Polar Services, and scientists aboard the October-December, 2005, Ross Sea cruise (NBP0508). Teresa Garner is thanked for programming support. John Marra and the Lamont-Doherty Earth Observatory are gratefully acknowledged for the loan of a FASTracka I instrument.</t>
  </si>
  <si>
    <t>0967-0637</t>
  </si>
  <si>
    <t>1879-0119</t>
  </si>
  <si>
    <t>DEEP-SEA RES PT I</t>
  </si>
  <si>
    <t>Deep-Sea Res. Part I-Oceanogr. Res. Pap.</t>
  </si>
  <si>
    <t>10.1016/j.dsr.2012.01.011</t>
  </si>
  <si>
    <t>936VV</t>
  </si>
  <si>
    <t>WOS:000303619000009</t>
  </si>
  <si>
    <t>Liu, CL; Wu, GT; Huang, XH; Liu, SH; Cong, BL</t>
  </si>
  <si>
    <t>Liu, Chenlin; Wu, Guangting; Huang, Xiaohang; Liu, Shenghao; Cong, Bailin</t>
  </si>
  <si>
    <t>Validation of housekeeping genes for gene expression studies in an ice alga Chlamydomonas during freezing acclimation</t>
  </si>
  <si>
    <t>EXTREMOPHILES</t>
  </si>
  <si>
    <t>Chlamydomonas sp ICE-L; Freezing acclimation; Reference genes; Real-time RT-PCR; Normalization; FAD3</t>
  </si>
  <si>
    <t>TIME RT-PCR; INTERNAL CONTROL GENES; NORMALIZATION; SELECTION; IDENTIFICATION; ADAPTATION</t>
  </si>
  <si>
    <t>Antarctic ice alga sp. ICE-L can endure extreme low temperature and high salinity stress under freezing conditions. To elucidate the molecular acclimation mechanisms using gene expression analysis, the expression stabilities of ten housekeeping genes of sp. ICE-L during freezing stress were analyzed. Some discrepancies were detected in the ranking of the candidate reference genes between geNorm and NormFinder programs, but there was substantial agreement between the groups of genes with the most and the least stable expression. RPL19 was ranked as the best candidate reference genes. Pairwise variation () analysis indicated the combination of two reference genes was sufficient for qRT-PCR data normalization under the experimental conditions. Considering the co-regulation between RPL19 and RPL32 (the most stable gene pairs given by geNorm program), we propose that the mean data rendered by RPL19 and GAPDH (the most stable gene pairs given by NormFinder program) be used to normalize gene expression values in sp. ICE-L more accurately. The example of FAD3 gene expression calculation demonstrated the importance of selecting an appropriate category and number of reference genes to achieve an accurate and reliable normalization of gene expression during freeze acclimation in sp. ICE-L.</t>
  </si>
  <si>
    <t>[Liu, Chenlin; Wu, Guangting; Huang, Xiaohang; Liu, Shenghao; Cong, Bailin] State Ocean Adm, Inst Oceanog 1, Marine Ecol Ctr, Qingdao 266061, Peoples R China</t>
  </si>
  <si>
    <t>First Institute of Oceanography, Ministry of Natural Resources</t>
  </si>
  <si>
    <t>Liu, CL (corresponding author), State Ocean Adm, Inst Oceanog 1, Marine Ecol Ctr, Qingdao 266061, Peoples R China.</t>
  </si>
  <si>
    <t>ch.lliu@163.com</t>
  </si>
  <si>
    <t>Liu, Shenghao/ISU-3076-2023; liu, chen/ISV-2093-2023</t>
  </si>
  <si>
    <t>Liu, Shenghao/0000-0002-1449-3526;</t>
  </si>
  <si>
    <t>National Natural Science Foundation [40876106]</t>
  </si>
  <si>
    <t>National Natural Science Foundation(National Natural Science Foundation of China (NSFC))</t>
  </si>
  <si>
    <t>This work was financially supported by a grant of National Natural Science Foundation (40876106) for Chenlin Liu.</t>
  </si>
  <si>
    <t>SPRINGER JAPAN KK</t>
  </si>
  <si>
    <t>SHIROYAMA TRUST TOWER 5F, 4-3-1 TORANOMON, MINATO-KU, TOKYO, 105-6005, JAPAN</t>
  </si>
  <si>
    <t>1431-0651</t>
  </si>
  <si>
    <t>1433-4909</t>
  </si>
  <si>
    <t>Extremophiles</t>
  </si>
  <si>
    <t>10.1007/s00792-012-0441-4</t>
  </si>
  <si>
    <t>Biochemistry &amp; Molecular Biology; Microbiology</t>
  </si>
  <si>
    <t>940DN</t>
  </si>
  <si>
    <t>WOS:000303870300007</t>
  </si>
  <si>
    <t>Jehlicka, J; Oren, A; Vítek, P</t>
  </si>
  <si>
    <t>Jehlicka, Jan; Oren, Aharon; Vitek, Petr</t>
  </si>
  <si>
    <t>Use of Raman spectroscopy for identification of compatible solutes in halophilic bacteria</t>
  </si>
  <si>
    <t>Compatible solutes; Raman spectroscopy; Glycine betaine; Ectoine; Halomonas; Ectothiorhodospira</t>
  </si>
  <si>
    <t>PURPLE SULFUR BACTERIUM; ECTOTHIORHODOSPIRA-MARISMORTUI; ANTARCTIC HABITATS; BETAINE; SPECTRA; CAROTENOIDS; GENUS; SALT</t>
  </si>
  <si>
    <t>We explored the use of Raman spectroscopy to detect organic osmotic solutes as biomarkers in the moderately halophilic heterotrophic bacterium grown in complex medium (accumulation of glycine betaine) and in defined medium with glucose as carbon source (biosynthesis of ectoine), and in the anoxygenic phototrophic known to synthesize glycine betaine in combination with minor amounts of trehalose and -alpha-carbamoyl glutamineamide. We tested different methods of preparation of the material: lyophilization, two-phase extraction of water-soluble molecules, and perchlorate extraction. Raman signals of glycine betaine and ectoine were detected; perchlorate extraction followed by desalting the extract on an ion retardation column gave the best results. Lyophilized cells of showed strong signals of carotenoid pigments, and glycine betaine could be detected only after perchlorate extraction and desalting. The data presented show that Raman spectroscopy is a suitable tool to assess the mode of osmotic adaptation used by halophilic microorganisms.</t>
  </si>
  <si>
    <t>[Oren, Aharon] Hebrew Univ Jerusalem, Dept Plant &amp; Environm Microbiol, Inst Life Sci, Jerusalem, Israel; [Jehlicka, Jan; Vitek, Petr] Charles Univ Prague, Inst Geochem Mineral &amp; Mineral Resources, Prague, Czech Republic</t>
  </si>
  <si>
    <t>Hebrew University of Jerusalem; Charles University Prague</t>
  </si>
  <si>
    <t>Oren, A (corresponding author), Hebrew Univ Jerusalem, Dept Plant &amp; Environm Microbiol, Inst Life Sci, Jerusalem, Israel.</t>
  </si>
  <si>
    <t>orena@cc.huji.ac.il</t>
  </si>
  <si>
    <t>Vitek, Petr/R-8022-2016; Oren, Aharon/JOZ-0901-2023; Jehlicka, Jan/H-9357-2016</t>
  </si>
  <si>
    <t>Oren, Aharon/0000-0002-5828-0995; Jehlicka, Jan/0000-0002-4294-876X</t>
  </si>
  <si>
    <t>Grant Agency of the Czech Republic [P210/10/0467]; Ministry of Education of the Czech Republic [MSM0021620855]; Israel Science Foundation [1103/10]</t>
  </si>
  <si>
    <t>Grant Agency of the Czech Republic(Grant Agency of the Czech RepublicNorwegian Agency for Development Cooperation - NORAD); Ministry of Education of the Czech Republic(Ministry of Education, Youth &amp; Sports - Czech Republic); Israel Science Foundation(Israel Science Foundation)</t>
  </si>
  <si>
    <t>This work was supported by grant no. P210/10/0467 from the Grant Agency of the Czech Republic and by institutional support MSM0021620855 from the Ministry of Education of the Czech Republic (to JJ) and by grant no. 1103/10 from the Israel Science Foundation (to AO).</t>
  </si>
  <si>
    <t>10.1007/s00792-012-0450-3</t>
  </si>
  <si>
    <t>WOS:000303870300016</t>
  </si>
  <si>
    <t>Falasca, P; Evangelista, G; Cotugno, R; Marco, S; Masullo, M; De Vendittis, E; Raimo, G</t>
  </si>
  <si>
    <t>Falasca, Patrizia; Evangelista, Giovanna; Cotugno, Roberta; Marco, Salvatore; Masullo, Mariorosario; De Vendittis, Emmanuele; Raimo, Gennaro</t>
  </si>
  <si>
    <t>Properties of the endogenous components of the thioredoxin system in the psychrophilic eubacterium Pseudoalteromonas haloplanktis TAC 125</t>
  </si>
  <si>
    <t>Thioredoxin system; Psychrophile; Pseudoalteromonas haloplanktis; Temperature adaptation; S-glutathionylation; Energetic parameters</t>
  </si>
  <si>
    <t>ESCHERICHIA-COLI THIOREDOXIN; ARCHAEON SULFOLOBUS-SOLFATARICUS; BIOCHEMICAL-CHARACTERIZATION; SUPEROXIDE-DISMUTASE; DISULFIDE OXIDOREDUCTASE; GLUTATHIONE-REDUCTASE; ENCODING GENE; CLONING; EXPRESSION; MECHANISM</t>
  </si>
  <si>
    <t>The endogenous components of the thioredoxin system in the Antarctic eubacterium have been purified and characterised. The temperature dependence of the activities sustained by thioredoxin (Trx) and thioredoxin reductase (TrxR) pointed to their adaptation in the cold growth environment. TrxR was purified as a flavoenzyme and its activity was significantly enhanced in the presence of molar concentration of monovalent cations. The energetics of the partial reactions leading to the whole electron transfer from NADPH to the target protein substrate in the reconstituted thioredoxin system was also investigated. While the initial electron transfer from NADPH to TrxR was energetically favoured, the final passage to the heterologous protein substrate enhanced the energetic barrier of the whole process. The energy of activation of the heat inactivation process essentially reflected the psychrophilic origin of TrxR. Vice versa, Trx possessed an exceptional heat resistance (half-life, 4.4 h at 95 A degrees C), ranking this protein among the most thermostable enzymes reported so far in psychrophiles. TrxR was covalently modified by glutathione, mainly by its oxidised or nitrosylated forms. A mutagenic analysis realised on three non catalytic cysteines of the flavoenzyme allowed the identification of C-303 as the target for the S-glutathionylation reaction.</t>
  </si>
  <si>
    <t>[Falasca, Patrizia; Evangelista, Giovanna; Raimo, Gennaro] Univ Molise, Dipartimento Sci &amp; Tecnol Ambiente &amp; Terr, I-86090 Pesche, IS, Italy; [Cotugno, Roberta; Marco, Salvatore; Masullo, Mariorosario; De Vendittis, Emmanuele] Univ Naples Federico II, Dipartimento Biochim &amp; Biotecnol Med, I-80131 Naples, Italy; [Masullo, Mariorosario] Univ Napoli Parthenope, Dipartimento Studi Ist &amp; Sistemi Terr, I-80133 Naples, Italy</t>
  </si>
  <si>
    <t>University of Molise; University of Naples Federico II; Parthenope University Naples</t>
  </si>
  <si>
    <t>Raimo, G (corresponding author), Univ Molise, Dipartimento Sci &amp; Tecnol Ambiente &amp; Terr, I-86090 Pesche, IS, Italy.</t>
  </si>
  <si>
    <t>devendittis@dbbm.unina.it; raimo@unimol.it</t>
  </si>
  <si>
    <t>Raimo, Gennaro/F-4651-2012; Masullo, Mariorosario/H-4884-2016</t>
  </si>
  <si>
    <t>Masullo, Mariorosario/0000-0003-4485-7383; Raimo, Gennaro/0000-0003-0365-7430</t>
  </si>
  <si>
    <t>MIUR, PRIN (Rome)</t>
  </si>
  <si>
    <t>MIUR, PRIN (Rome)(Ministry of Education, Universities and Research (MIUR))</t>
  </si>
  <si>
    <t>This work was supported by grants from MIUR, PRIN 2009 (Rome) awarded to MM, EDV, GR.</t>
  </si>
  <si>
    <t>CHIYODA FIRST BLDG EAST, 3-8-1 NISHI-KANDA, CHIYODA-KU, TOKYO, 101-0065, JAPAN</t>
  </si>
  <si>
    <t>10.1007/s00792-012-0453-0</t>
  </si>
  <si>
    <t>WOS:000303870300019</t>
  </si>
  <si>
    <t>Purich, A; Son, SW</t>
  </si>
  <si>
    <t>Purich, Ariaan; Son, Seok-Woo</t>
  </si>
  <si>
    <t>Impact of Antarctic Ozone Depletion and Recovery on Southern Hemisphere Precipitation, Evaporation, and Extreme Changes</t>
  </si>
  <si>
    <t>ANNULAR MODE; CLIMATE</t>
  </si>
  <si>
    <t>The possible impact of Antarctic ozone depletion and recovery on Southern Hemisphere (SH) mean and extreme precipitation and evaporation is examined using multimodel output from the Climate Model Intercomparison Project 3 (CMIP3). By grouping models into four sets, those with and without ozone depletion in twentieth-century climate simulations and those with and without ozone recovery in twenty-first-century climate simulations, and comparing their multimodel-mean trends, it is shown that Antarctic ozone forcings significantly modulate extratropical precipitation changes in austral summer. The impact on evaporation trends is however minimal, especially in twentieth-century climate simulations. In general, ozone depletion has increased (decreased) precipitation in high latitudes (midlatitudes), in agreement with the poleward displacement of the westerly jet and associated storm tracks by Antarctic ozone depletion. Although weaker, the opposite is also true for ozone recovery. These precipitation changes are primarily associated with changes in light precipitation (1-10 mm day(-1)). Contributions by very light precipitation (0.1-1 mm day(-1)) and moderate-to-heavy precipitation (&gt;10 mm day(-1)) are minor. Likewise, no systematic changes are found in extreme precipitation events, although extreme surface wind events are highly sensitive to ozone forcings. This result indicates that, while extratropical mean precipitation trends are significantly modulated by ozone-induced large-scale circulation changes, extreme precipitation changes are likely more sensitive to thermodynamic processes near the surface than to dynamical processes in the free atmosphere.</t>
  </si>
  <si>
    <t>[Purich, Ariaan; Son, Seok-Woo] McGill Univ, Dept Atmospher &amp; Ocean Sci, Montreal, PQ H3A 2K6, Canada</t>
  </si>
  <si>
    <t>McGill University</t>
  </si>
  <si>
    <t>Son, SW (corresponding author), McGill Univ, Dept Atmospher &amp; Ocean Sci, 805 Sherbrooke W, Montreal, PQ H3A 2K6, Canada.</t>
  </si>
  <si>
    <t>seok-woo.son@mcgill.ca</t>
  </si>
  <si>
    <t>Son, Seok-Woo/A-8797-2013</t>
  </si>
  <si>
    <t>Purich, Ariaan/0000-0003-2248-5937</t>
  </si>
  <si>
    <t>Office of Sciences, U.S. Department of Energy; Korea Polar Research Institute (KOPRI) [PE 11010]; Global Environmental and Climate Change Centre, Montreal, Quebec, Canada; McGill University</t>
  </si>
  <si>
    <t>Office of Sciences, U.S. Department of Energy(United States Department of Energy (DOE)); Korea Polar Research Institute (KOPRI)(Korea Polar Research Institute of Marine Research Placement (KOPRI)); Global Environmental and Climate Change Centre, Montreal, Quebec, Canada; McGill University</t>
  </si>
  <si>
    <t>We thank Jacques Derome for helpful discussion in the course of this research and the anonymous reviewers for helpful comments that improved this manuscript. We also thank the Program for Climate Model Diagnosis and Intercomparison (PCMDI) for collecting and archiving the IPCC/AR4 model data, the JSC/CLIVAR Working Groups on Coupled Modeling (WGCM) and their Coupled Model Intercomparison Project (CMIP) and Climate Simulation Panel for organizing the model data analysis activity, and the IPCC WG1 TSU for technical support. The IPCC Data Archive at Lawrence Livermore National Laboratory is supported by the Office of Sciences, U.S. Department of Energy. This study is funded by the Korea Polar Research Institute (KOPRI) grant under Project PE 11010. The work by A. P. is in part supported by the Global Environmental and Climate Change Centre, Montreal, Quebec, Canada. A. P. is also grateful of the support of the Stephen and Anastasia Mysak Graduate Fellowship in Atmospheric and Oceanic Sciences, McGill University, during the course of this research.</t>
  </si>
  <si>
    <t>45 BEACON ST, BOSTON, MA 02108-3693, UNITED STATES</t>
  </si>
  <si>
    <t>10.1175/JCLI-D-11-00383.1</t>
  </si>
  <si>
    <t>939OV</t>
  </si>
  <si>
    <t>WOS:000303822700005</t>
  </si>
  <si>
    <t>Pohl, B; Fauchereau, N</t>
  </si>
  <si>
    <t>Pohl, Benjamin; Fauchereau, Nicolas</t>
  </si>
  <si>
    <t>The Southern Annular Mode Seen through Weather Regimes</t>
  </si>
  <si>
    <t>SEA-LEVEL PRESSURE; ANTARCTIC OSCILLATION; CIRCULATION REGIMES; JULIAN OSCILLATION; CLUSTER-ANALYSIS; AMERICAN MODES; NORTH-ATLANTIC; VARIABILITY; REANALYSIS; TRENDS</t>
  </si>
  <si>
    <t>This article investigates the prominent features of the Southern Hemisphere (south of 20 degrees S) atmospheric circulation when extracted using EOF analysis and a k-means clustering algorithm. The focus is on the southern annular mode (SAM), the nature of its recent trend, and the zonal symmetry of associated spatial patterns. The study uses the NCEP-Department of Energy Atmospheric Model Intercomparison Project II Reanalysis (NCEP-2) (period 1979-2009) to obtain robust patterns over the recent years and the Twentieth Century Reanalysis Project (period 1871-2008) to document decadal changes. Also presented is a comparison of these signals against a station-based reconstruction of the SAM index and a gridded interpolated dataset [Hadley Centre Sea Level Pressure dataset version 2 (HadSLP2)]. Over their common period, both reanalyses are in fair agreement, both in terms of spatial patterns and temporal variability. In particular, both datasets show weather regimes that can be interpreted as the opposite phases of the SAM. At the decadal time scale, the study shows that the trend toward the positive SAM phase (as inferred from the usual EOF-based index) is related more to an increase in the frequency of clusters corresponding to the positive phase, with little changes in the frequency of the negative SAM events. Similarly, the long-term tropospheric warming trend already discussed in the literature is shown to be related more to a decrease in the number of abnormally cold days, with little changes in the number of abnormally warm days. The cluster analysis therefore allows for complement descriptions based on simple indexes or EOF decompositions, highlighting the nonlinear nature of the decadal changes in the Southern Hemisphere atmospheric circulation and temperature.</t>
  </si>
  <si>
    <t>[Pohl, Benjamin] Univ Bourgogne, Ctr Rech Climatol, Biogeosci UMR6282, CNRS, F-21000 Dijon, France; [Fauchereau, Nicolas] Univ Cape Town, Dept Oceanog, ZA-7925 Cape Town, South Africa; [Fauchereau, Nicolas] CSIR, Stellenbosh, South Africa</t>
  </si>
  <si>
    <t>Universite de Bourgogne; Centre National de la Recherche Scientifique (CNRS); CNRS - Institute of Ecology &amp; Environment (INEE); University of Cape Town</t>
  </si>
  <si>
    <t>Pohl, B (corresponding author), Univ Bourgogne, Ctr Rech Climatol, Biogeosci UMR6282, CNRS, 6 Blvd Gabriel, F-21000 Dijon, France.</t>
  </si>
  <si>
    <t>benjamin.pohl@u-bourgogne.fr</t>
  </si>
  <si>
    <t>Pohl, Benjamin/AAW-8018-2020; Pohl, Benjamin/L-7696-2017</t>
  </si>
  <si>
    <t>Pohl, Benjamin/0000-0002-9339-797X</t>
  </si>
  <si>
    <t>SRP [TA 2010 035 (EEOC005)]; CSIR YREF [EEOC003]; CSIR-UCT [EEOC009]</t>
  </si>
  <si>
    <t>SRP; CSIR YREF; CSIR-UCT</t>
  </si>
  <si>
    <t>Nicolas Fauchereau was funded by the SRP Project TA 2010 035 (EEOC005), CSIR YREF Project EEOC003, and CSIR-UCT Cooperation Project EEOC009. 20CR data were downloaded (from http://dss.ucar.edu/datasets/ds131.1/). NCEP-2 reanalysis were downloaded (from http://www.esrl.noaa.gov/psd/data/gridded/data.ncep.reanalysis2.html). Calculations were performed using HPC resources from DSI-CCUB (Universite de Bourgogne). Constructive comments and suggestions from three anonymous reviewers greatly helped improve the manuscript. The authors would also like to thank Gil Compo, Julie Jones, Gareth Marshall, and James Renwick for their helpful discussions and comments.</t>
  </si>
  <si>
    <t>10.1175/JCLI-D-11-00160.1</t>
  </si>
  <si>
    <t>WOS:000303822700017</t>
  </si>
  <si>
    <t>Parker, RWR; Tyedmers, PH</t>
  </si>
  <si>
    <t>Parker, Robert W. R.; Tyedmers, Peter H.</t>
  </si>
  <si>
    <t>Life Cycle Environmental Impacts of Three Products Derived from Wild-Caught Antarctic Krill (Euphausia superba)</t>
  </si>
  <si>
    <t>ENVIRONMENTAL SCIENCE &amp; TECHNOLOGY</t>
  </si>
  <si>
    <t>FISH-MEAL; AQUACULTURE; FEED; SUSTAINABILITY; ASSESSMENTS; SYSTEMS; FILLETS; TRENDS; SALMON; DIETS</t>
  </si>
  <si>
    <t>Concern has been voiced in recent years regarding the environmental implications of the Antarctic krill fishery. Attention has focused primarily on ecological concerns, whereas other environmental aspects, including potentially globally problematic emissions and material and energy demands, have not been examined in detail. Here we apply life cycle assessment to measure the contributions of krill meal, oil, and omega-3 capsules to global warming, ozone depletion, acidification, eutrophication, energy use, and biotic resource use. Supply chains of one krill fishing and processing company, Aker BioMarine of Norway, were assessed. Impacts of krill products were found to be driven primarily by the combustion of fossil fuels onboard the fishing vessel and a transport/resupply vessel. Approximately 190 L of fuel are burned per tonne of raw krill landed, markedly higher than fuel inputs to reduction fisheries targeting other species. In contrast, the biotic resource use associated with extracting krill is relatively low compared to that of other reduction fisheries. Results of this study provide insight into the broader environmental implications of the krill fishery, comparisons between products derived from krill and other species targeted for reduction, opportunities for improving the fishery's performance, and a baseline against which to measure future performance.</t>
  </si>
  <si>
    <t>[Parker, Robert W. R.; Tyedmers, Peter H.] Dalhousie Univ, Sch Resource &amp; Environm Studies, Halifax, NS B3H 4R2, Canada</t>
  </si>
  <si>
    <t>Dalhousie University</t>
  </si>
  <si>
    <t>Parker, RWR (corresponding author), Dalhousie Univ, Sch Resource &amp; Environm Studies, 6100 Univ Ave, Halifax, NS B3H 4R2, Canada.</t>
  </si>
  <si>
    <t>rob.parker@dal.ca</t>
  </si>
  <si>
    <t>Tyedmers, Peter/N-1334-2019; Parker, Robert/J-4476-2012</t>
  </si>
  <si>
    <t>Tyedmers, Peter/0000-0002-5150-0756; Parker, Robert/0000-0003-1910-8081</t>
  </si>
  <si>
    <t>Aker BioMarine; Natural Sciences and Engineering Research Council of Canada (NSERC)</t>
  </si>
  <si>
    <t>Aker BioMarine; Natural Sciences and Engineering Research Council of Canada (NSERC)(Natural Sciences and Engineering Research Council of Canada (NSERC))</t>
  </si>
  <si>
    <t>We acknowledge the support of Aker BioMarine and the Natural Sciences and Engineering Research Council of Canada (NSERC). We thank in particular Mr. Sigve Nordrum at Aker BioMarine and all other individuals and companies that assisted by providing data.</t>
  </si>
  <si>
    <t>AMER CHEMICAL SOC</t>
  </si>
  <si>
    <t>1155 16TH ST, NW, WASHINGTON, DC 20036 USA</t>
  </si>
  <si>
    <t>0013-936X</t>
  </si>
  <si>
    <t>1520-5851</t>
  </si>
  <si>
    <t>ENVIRON SCI TECHNOL</t>
  </si>
  <si>
    <t>Environ. Sci. Technol.</t>
  </si>
  <si>
    <t>10.1021/es2040703</t>
  </si>
  <si>
    <t>Engineering, Environmental; Environmental Sciences</t>
  </si>
  <si>
    <t>Engineering; Environmental Sciences &amp; Ecology</t>
  </si>
  <si>
    <t>933GO</t>
  </si>
  <si>
    <t>WOS:000303348800040</t>
  </si>
  <si>
    <t>Miller, KG; Wright, JD; Browning, JV; Kulpecz, A; Kominz, M; Naish, TR; Cramer, BS; Rosenthal, Y; Peltier, WR; Sosdian, S</t>
  </si>
  <si>
    <t>Miller, Kenneth G.; Wright, James D.; Browning, James V.; Kulpecz, Andrew; Kominz, Michelle; Naish, Tim R.; Cramer, Benjamin S.; Rosenthal, Yair; Peltier, W. Richard; Sosdian, Sindia</t>
  </si>
  <si>
    <t>High tide of the warm Pliocene: Implications of global sea level for Antarctic deglaciation</t>
  </si>
  <si>
    <t>GEOLOGY</t>
  </si>
  <si>
    <t>ICE; RECORD; FLUCTUATIONS; CONSTRAINTS; TEMPERATURE; AMPLITUDE; DYNAMICS</t>
  </si>
  <si>
    <t>We obtained global sea-level (eustatic) estimates with a peak of similar to 22 m higher than present for the Pliocene interval 2.7-3.2 Ma from backstripping in Virginia (United States), New Zealand, and Enewetak Atoll (north Pacific Ocean), benthic foraminiferal delta O-18 values, and Mg/Ca-delta O-18 estimates. Statistical analysis indicates that it is likely (68% confidence interval) that peak sea level was 22 +/- 5 m higher than modern, and extremely likely (95%) that it was 22 +/- 10 m higher than modern. Benthic foraminiferal delta O-18 values appear to require that the peak was &lt;20-21 m. Our estimates imply loss of the equivalent of the Greenland and West Antarctic ice sheets, and some volume loss from the East Antarctic Ice Sheet, and address the long-standing controversy concerning the Pliocene stability of the East Antarctic Ice Sheet.</t>
  </si>
  <si>
    <t>[Miller, Kenneth G.; Wright, James D.; Browning, James V.; Kulpecz, Andrew] Rutgers State Univ, Dept Earth &amp; Planetary Sci, Piscataway, NJ 08854 USA; [Kominz, Michelle] Western Michigan Univ, Dept Geosci, Kalamazoo, MI 49008 USA; [Naish, Tim R.] Victoria Univ Wellington, Antarctic Res Ctr, Wellington 6140, New Zealand; [Cramer, Benjamin S.] Theiss Res, Eugene, OR 97402 USA; [Rosenthal, Yair; Sosdian, Sindia] Rutgers State Univ, Inst Marine &amp; Coastal Sci, New Brunswick, NJ 08903 USA; [Peltier, W. Richard] Univ Toronto, Dept Phys, Toronto, ON M5S 1A7, Canada</t>
  </si>
  <si>
    <t>Rutgers University System; Rutgers University New Brunswick; Western Michigan University; Victoria University Wellington; Rutgers University System; Rutgers University New Brunswick; University of Toronto</t>
  </si>
  <si>
    <t>Miller, KG (corresponding author), Rutgers State Univ, Dept Earth &amp; Planetary Sci, Piscataway, NJ 08854 USA.</t>
  </si>
  <si>
    <t>Cramer, Benjamin S/A-5303-2008; Wright, James/AAF-7180-2019; Peltier, William R./A-1102-2008</t>
  </si>
  <si>
    <t>Naish, Tim/0000-0002-1185-9932; kominz, michelle/0000-0002-8640-2742; Wright, James/0000-0001-5212-9146</t>
  </si>
  <si>
    <t>National Science Foundation [EAR-070778, EAR-1052257]; Directorate For Geosciences; Division Of Earth Sciences [1052257] Funding Source: National Science Foundation; Division Of Ocean Sciences; Directorate For Geosciences [0751757] Funding Source: National Science Foundation</t>
  </si>
  <si>
    <t>National Science Foundation(National Science Foundation (NSF)); Directorate For Geosciences; Division Of Earth Sciences(National Science Foundation (NSF)NSF - Directorate for Geosciences (GEO)); Division Of Ocean Sciences; Directorate For Geosciences(National Science Foundation (NSF)NSF - Directorate for Geosciences (GEO))</t>
  </si>
  <si>
    <t>We thank M. Siddall, J-B. Clavaud (Chevron), and an anonymous reviewer for comments and the U.S. Geological Survey Eastern Region Mapping Team drillers for collecting the Virginia cores. Funded by National Science Foundation grants EAR-070778 and EAR-1052257.</t>
  </si>
  <si>
    <t>GEOLOGICAL SOC AMER, INC</t>
  </si>
  <si>
    <t>PO BOX 9140, BOULDER, CO 80301-9140 USA</t>
  </si>
  <si>
    <t>0091-7613</t>
  </si>
  <si>
    <t>1943-2682</t>
  </si>
  <si>
    <t>10.1130/G32869.1</t>
  </si>
  <si>
    <t>933YZ</t>
  </si>
  <si>
    <t>WOS:000303404700009</t>
  </si>
  <si>
    <t>Lee, LH; Cheah, YK; Sidik, SM; Ab Mutalib, NS; Tang, YL; Lin, HP; Hong, K</t>
  </si>
  <si>
    <t>Lee, Learn-Han; Cheah, Yoke-Kqueen; Sidik, Shiran Mohd; Ab Mutalib, Nurul-Syakima; Tang, Yi-Li; Lin, Hai-Peng; Hong, Kui</t>
  </si>
  <si>
    <t>Molecular characterization of Antarctic actinobacteria and screening for antimicrobial metabolite production</t>
  </si>
  <si>
    <t>WORLD JOURNAL OF MICROBIOLOGY &amp; BIOTECHNOLOGY</t>
  </si>
  <si>
    <t>Diversity; Actinobacteria; High-throughput screening; 16S rRNA; ERIC-PCR; RAPD</t>
  </si>
  <si>
    <t>SELECTIVE ISOLATION; NATURAL-PRODUCTS; DIVERSITY; SOIL; STREPTOMYCES; ANTIBIOTICS; BACTERIA; ORIGINS; REGION; GENES</t>
  </si>
  <si>
    <t>The present study aimed to isolate actinobacteria from soil samples and characterized them using molecular tools and screened their secondary metabolites for antimicrobial activities. Thirty-nine strains from four different location of Barrientos Island, Antarctica using 12 types of isolation media was isolated. The isolates were preceded to screening of secondary metabolites for antimicrobial and antifungal activities. Using high-throughput screening methods, 38% (15/39) of isolates produced bioactive metabolites. Approximately 18% (7/39), 18% (7/39), 10% (4/39) and 2.5% (1/39) of isolates inhibited growth of Candida albicans ATCC 10231(T), Staphylococcus aurues ATCC 51650(T), methicillin-resistant Staphylococcus aurues (MRSA) ATCC BAA-44(T) and Pseudomonas aeruginosa ATCC 10145(T), respectively. Molecular characterization techniques like 16S rRNA analysis, Enterobacterial repetitive intergenic consensus-polymerase chain reaction (ERIC-PCR), Random amplified polymorphic DNA (RAPD) and composite analyses were used to characterize the actinobacteria strains. Analysis of 16S rRNA sequences is still one of the most powerful methods to determine higher taxonomic relationships of Actinobacteria. Both RAPD and ERIC-PCR fingerprinting have shown good discriminatory capability but RAPD proved to be better in discriminatory power than ERIC-PCR. Our results demonstrated that composite analysis of both fingerprinting generally increased the discrimination ability and generated best clustering for actinobacteria strains in this study.</t>
  </si>
  <si>
    <t>[Lee, Learn-Han; Cheah, Yoke-Kqueen; Ab Mutalib, Nurul-Syakima] Univ Putra Malaysia, Fac Med &amp; Hlth Sci, Dept Biomed Sci, Upm Serdang 43400, Selangor Darul, Malaysia; [Sidik, Shiran Mohd] Univ Putra Malaysia, Fac Med &amp; Hlth Sci, Dept Pathol, Upm Serdang 43400, Selangor Darul, Malaysia; [Tang, Yi-Li; Lin, Hai-Peng; Hong, Kui] Chinese Acad Trop Agr Sci, Inst Trop Biosci &amp; Biotechnol, Key Lab Trop Microbial Resources, Haikou 571101, Peoples R China; [Hong, Kui] Wuhan Univ, Sch Pharmaceut Sci, Minist Educ, Key Lab Combinatorial Biosynth &amp; Drug Discovery, Wuhan 430071, Peoples R China</t>
  </si>
  <si>
    <t>Universiti Putra Malaysia; Universiti Putra Malaysia; Chinese Academy of Tropical Agricultural Sciences; Wuhan University</t>
  </si>
  <si>
    <t>Cheah, YK (corresponding author), Univ Putra Malaysia, Fac Med &amp; Hlth Sci, Dept Biomed Sci, Upm Serdang 43400, Selangor Darul, Malaysia.</t>
  </si>
  <si>
    <t>ykcheah@medic.upm.edu.my</t>
  </si>
  <si>
    <t>Mutalib, Nurul Syakima Ab/C-2461-2014; lee, lee/KHW-4323-2024; Lee, Learn-Han/I-5331-2015</t>
  </si>
  <si>
    <t>Lee, Learn-Han/0000-0002-8589-7456; Cheah, Yoke Kqueen/0000-0001-9258-3749; Ab Mutalib, Nurul Syakima/0000-0001-6914-2224</t>
  </si>
  <si>
    <t>Academy of Sciences Malaysia; Universiti Putra Malaysia [05-01-11-1219RU]</t>
  </si>
  <si>
    <t>Academy of Sciences Malaysia; Universiti Putra Malaysia</t>
  </si>
  <si>
    <t>The authors are grateful to Instituto Antartico Ecuatoriano (INAE) for their support during the XI Ecuadorian Antarctic Expedition to Pedro Vicente Maldonado Research Station, Greenwich Island, South Shetlands Islands. The authors are thankful to Gao Zhu-Fen and Li Xiao-Hui for laboratory assistance. This work was supported under the Malaysia Antarctic Research Program, Academy of Sciences Malaysia and Universiti Putra Malaysia Research Universiti Grant Scheme (05-01-11-1219RU).</t>
  </si>
  <si>
    <t>DORDRECHT</t>
  </si>
  <si>
    <t>VAN GODEWIJCKSTRAAT 30, 3311 GZ DORDRECHT, NETHERLANDS</t>
  </si>
  <si>
    <t>0959-3993</t>
  </si>
  <si>
    <t>1573-0972</t>
  </si>
  <si>
    <t>WORLD J MICROB BIOT</t>
  </si>
  <si>
    <t>World J. Microbiol. Biotechnol.</t>
  </si>
  <si>
    <t>10.1007/s11274-012-1018-1</t>
  </si>
  <si>
    <t>933TP</t>
  </si>
  <si>
    <t>WOS:000303385900029</t>
  </si>
  <si>
    <t>Bian, LG; Lin, X</t>
  </si>
  <si>
    <t>Bian Lingen; Lin Xiang</t>
  </si>
  <si>
    <t>Interdecadal change in the Antarctic Circumpolar Wave during 1951-2010</t>
  </si>
  <si>
    <t>ADVANCES IN ATMOSPHERIC SCIENCES</t>
  </si>
  <si>
    <t>Antarctic circumploar wave; variability; interdecadal change; subperiods</t>
  </si>
  <si>
    <t>CIRCULATION</t>
  </si>
  <si>
    <t>In this study, we defined an index of the Antarctic Circumploar Wave (ACW) and analyzed its variability for the period 1951-2010. A regime shift of the circumpolar westerly in the Southern Ocean and an interdecadal change of the ACW, which occurred around the mid-1970s, were identified. Associated with these changes, the variations of the ACW show three distinct sub-periods: 1951-1973, 1974-1980, and 1981-2010. They are characterized by different speeds, amplitudes, and wave structures. We briefly investigated possible mechanisms responsible for the different behaviors of the ACW during the three periods.</t>
  </si>
  <si>
    <t>[Bian Lingen; Lin Xiang] Chinese Acad Meteorol Sci, State Key Lab Weather Disaster, Beijing 100081, Peoples R China</t>
  </si>
  <si>
    <t>China Meteorological Administration; Chinese Academy of Meteorological Sciences (CAMS)</t>
  </si>
  <si>
    <t>Bian, LG (corresponding author), Chinese Acad Meteorol Sci, State Key Lab Weather Disaster, Beijing 100081, Peoples R China.</t>
  </si>
  <si>
    <t>blg@cams.cma.gov.cn</t>
  </si>
  <si>
    <t>Project of the Antarctic Environment Investigation and Assessment of China, SOA [JDZX2011-2015]</t>
  </si>
  <si>
    <t>Project of the Antarctic Environment Investigation and Assessment of China, SOA</t>
  </si>
  <si>
    <t>This research was supported by Project of the Antarctic Environment Investigation and Assessment of China, SOA (Grant No. JDZX2011-2015). Special thanks to Dr. LIU Jiping on suggestions and help of the paper modification.</t>
  </si>
  <si>
    <t>0256-1530</t>
  </si>
  <si>
    <t>1861-9533</t>
  </si>
  <si>
    <t>ADV ATMOS SCI</t>
  </si>
  <si>
    <t>Adv. Atmos. Sci.</t>
  </si>
  <si>
    <t>10.1007/s00376-011-1143-z</t>
  </si>
  <si>
    <t>929JX</t>
  </si>
  <si>
    <t>WOS:000303058800004</t>
  </si>
  <si>
    <t>Feng, JQ; Hu, DX; Yu, LJ</t>
  </si>
  <si>
    <t>Feng Junqiao; Hu Dunxin; Yu Lejiang</t>
  </si>
  <si>
    <t>Low-frequency coupled atmosphere-ocean variability in the southern Indian Ocean</t>
  </si>
  <si>
    <t>southern Indian Ocean; SST; SLP; Antarctic Oscillation</t>
  </si>
  <si>
    <t>SEA-SURFACE TEMPERATURE; SINGULAR-VALUE DECOMPOSITION; DATA ASSIMILATION ANALYSIS; AFRICAN SUMMER RAINFALL; SST DIPOLE EVENTS; INTERANNUAL VARIABILITY; NORTHERN-HEMISPHERE; CLIMATE VARIABILITY; ATLANTIC-OCEAN; PART II</t>
  </si>
  <si>
    <t>The low-frequency atmosphere-ocean coupled variability of the southern Indian Ocean (SIO) was investigated using observation data over 1958-2010. These data were obtained from ECMWF for sea level pressure (SLP) and wind, from NCEP/NCAR for heat fluxes, and from the Hadley Center for SST. To obtain the coupled air-sea variability, we performed SVD analyses on SST and SLP. The primary coupled mode represents 43% of the total square covariance and is featured by weak westerly winds along 45A degrees-30A degrees S. This weakened subtropical anticyclone forces fluctuations in a well-known subtropical dipole structure in the SST via wind-induced processes. The SST changes in response to atmosphere forcing and is predictable with a lead-time of 1-2 months. Atmosphere-ocean coupling of this mode is strongest during the austral summer. Its principle component is characterized by mixed interannual and interdecadal fluctuations. There is a strong relationship between the first mode and Antarctic Oscillation (AAO). The AAO can influence the coupled processes in the SIO by modulating the subtropical high. The second mode, accounting for 30% of the total square covariance, represents a 25-year period interdecadal oscillation in the strength of the subtropical anticyclone that is accompanied by fluctuations of a monopole structure in the SST along the 35A degrees-25A degrees S band. It is caused by subsidence of the atmosphere. The present study also shows that physical processes of both local thermodynamic and ocean circulation in the SIO have a crucial role in the formation of the atmosphere-ocean covariability.</t>
  </si>
  <si>
    <t>[Feng Junqiao; Hu Dunxin] Chinese Acad Sci, Inst Oceanol, Qingdao 266071, Peoples R China; [Feng Junqiao; Hu Dunxin] Chinese Acad Sci, Key Lab Ocean Circulat &amp; Waves, Qingdao 266071, Peoples R China; [Yu Lejiang] Nanjing Univ Informat Sci &amp; Technol, Appl Hydrometeorol Res Inst, Nanjing 210044, Jiangsu, Peoples R China</t>
  </si>
  <si>
    <t>Chinese Academy of Sciences; Institute of Oceanology, CAS; Chinese Academy of Sciences; Nanjing University of Information Science &amp; Technology</t>
  </si>
  <si>
    <t>Feng, JQ (corresponding author), Chinese Acad Sci, Inst Oceanol, Qingdao 266071, Peoples R China.</t>
  </si>
  <si>
    <t>fengjunqiao@qdio.ac.cn</t>
  </si>
  <si>
    <t>National Natural Science Foundation of China [40890151, 41106016]</t>
  </si>
  <si>
    <t>National Natural Science Foundation of China(National Natural Science Foundation of China (NSFC))</t>
  </si>
  <si>
    <t>This study was supported by the Major Project of the National Natural Science Foundation of China (Grant No. 40890151) and the National Natural Science Foundation of China (Grant No. 41106016).</t>
  </si>
  <si>
    <t>10.1007/s00376-011-1096-2</t>
  </si>
  <si>
    <t>WOS:000303058800012</t>
  </si>
  <si>
    <t>Li, YM; Geng, DW; Hu, YB; Wang, P; Zhang, QH; Jiang, GB</t>
  </si>
  <si>
    <t>Li YingMing; Geng DaWei; Hu YongBiao; Wang Pu; Zhang QingHua; Jiang GuiBin</t>
  </si>
  <si>
    <t>Levels and distribution of polychlorinated biphenyls in the atmosphere close to Chinese Great Wall Station, Antarctica: Results from XAD-resin passive air sampling</t>
  </si>
  <si>
    <t>CHINESE SCIENCE BULLETIN</t>
  </si>
  <si>
    <t>Antarctica; atmosphere; XAD-resin passive air sampling; PCBs; PCB-11</t>
  </si>
  <si>
    <t>PERSISTENT ORGANIC POLLUTANTS; LONG-RANGE TRANSPORT; KING GEORGE ISLAND; ORGANOCHLORINE PESTICIDES; AMBIENT AIR; PCBS; SAMPLERS; CONGENERS; AROCLOR; PBDES</t>
  </si>
  <si>
    <t>Antarctica is an important research region for assessing persistence and long-range atmospheric transport (LRAT) of persistent organic pollutants (POPs). In this study, XAD-resin passive air sampling was conducted near the Chinese Great Wall Station, Antarctica, during a one-year sampling period in 2009-2010. The air concentrations of polychlorinated biphenyls (PCBs) were at a very low level, with total PCBs in the range of 26.74-45.08 pg m(-3). PCB profiles were dominated by tetra-PCBs, tri-PCBs and di-PCBs, indicating LRAT was responsible for the pollutants in the Antarctic atmosphere. The sampling site near the Chinese Great Wall Station did not show higher PCB levels than the other sites, suggesting that PCB sources associated with the Great Wall Station were negligible. PCB-11 is a non-Aroclor congener, which has specific sources compared to other Aroclor PCB congeners. PCB-11 was observed in all air samples, with an average concentration of 1.22 pg m(-3). To our knowledge, this study is the first investigation of PCB levels and distribution in the atmosphere around the Chinese Great Wall Station, Antarctica.</t>
  </si>
  <si>
    <t>[Li YingMing; Geng DaWei; Hu YongBiao; Wang Pu; Zhang QingHua; Jiang GuiBin] Chinese Acad Sci, State Key Lab Environm Chem &amp; Ecotoxicol, Ecoenvironm Sci Res Ctr, Beijing 100085, Peoples R China; [Geng DaWei] China Univ Geosci Beijing, Sch Energy Resources, Beijing 100083, Peoples R China; [Hu YongBiao] Huazhong Agr Univ, Coll Resources &amp; Environm, Wuhan 430070, Peoples R China</t>
  </si>
  <si>
    <t>Chinese Academy of Sciences; Research Center for Eco-Environmental Sciences (RCEES); China University of Geosciences; Huazhong Agricultural University</t>
  </si>
  <si>
    <t>Zhang, QH (corresponding author), Chinese Acad Sci, State Key Lab Environm Chem &amp; Ecotoxicol, Ecoenvironm Sci Res Ctr, Beijing 100085, Peoples R China.</t>
  </si>
  <si>
    <t>qhzhang@rcees.ac.cn</t>
  </si>
  <si>
    <t>zhang, qinghua/HMP-3611-2023; Geng, Dawei/I-8319-2016</t>
  </si>
  <si>
    <t>zhang, qinghua/0000-0002-9707-4051; Geng, Dawei/0000-0002-8553-8824</t>
  </si>
  <si>
    <t>State Oceanic Administration, P.R. China [09/10GW08, 10/11GW02]; National Natural Science Foundation of China [20897011, 20907059]; National Basic Research Program of China [2009CB421600]</t>
  </si>
  <si>
    <t>State Oceanic Administration, P.R. China; National Natural Science Foundation of China(National Natural Science Foundation of China (NSFC)); National Basic Research Program of China(National Basic Research Program of China)</t>
  </si>
  <si>
    <t>This work was supported by the State Oceanic Administration, P.R. China (09/10GW08 and 10/11GW02), National Natural Science Foundation of China (20897011 and 20907059), and National Basic Research Program of China (2009CB421600). We also thank Chinese Arctic and Antarctic Administration for arrangements during the XXVI and XXVII Chinese Antarctic Expeditions.</t>
  </si>
  <si>
    <t>1001-6538</t>
  </si>
  <si>
    <t>1861-9541</t>
  </si>
  <si>
    <t>CHINESE SCI BULL</t>
  </si>
  <si>
    <t>Chin. Sci. Bull.</t>
  </si>
  <si>
    <t>10.1007/s11434-012-5048-8</t>
  </si>
  <si>
    <t>933UH</t>
  </si>
  <si>
    <t>WOS:000303388200006</t>
  </si>
  <si>
    <t>Palmeri, R; Sandroni, S; Godard, G; Ricci, CA</t>
  </si>
  <si>
    <t>Palmeri, R.; Sandroni, S.; Godard, G.; Ricci, C. A.</t>
  </si>
  <si>
    <t>Boninite-derived amphibolites from the Lanterman-Mariner suture (northern Victoria Land, Antarctica): New geochemical and petrological data</t>
  </si>
  <si>
    <t>LITHOS</t>
  </si>
  <si>
    <t>Ross Orogen; Antarctica; Boninite-type melts; Amphibolite fades; Tschermak talc; Gedrite plus hornblende plus Mg-staurolite assemblage</t>
  </si>
  <si>
    <t>HIGH-PRESSURE METAMORPHISM; POST POND VOLCANICS; RARE-EARTH-ELEMENTS; TECTONIC EVOLUTION; CALCIC AMPHIBOLES; REFRACTORY MANTLE; ULTRAMAFIC ROCKS; RANGE ANTARCTICA; SERIES VOLCANICS; PHASE-RELATIONS</t>
  </si>
  <si>
    <t>In northern Victoria Land (Antarctica) the Lanterman-Mariner suture separates the inboard Wilson Terrane from the outboard Bowers and Robertson Bay terranes. This boundary is characterized by the presence of discontinuous bodies of mafic to ultramafic rocks with a metamorphic grade ranging from medium-P amphibolite facies (Mountaineer Range) to ultrahigh-P eclogite facies (Lanterman Range). The Dessent Ridge is a narrow tectonic slice occurring along the Lanterman-Mariner suture in the Mountaineer Range. The slice mainly consists of amphibolites and amphibole-rich schists with very peculiar mineral assemblages comprising talc + clinoamphibole + orthoamphibole +/- staurolite +/- garnet. Talc shows very unusual compositions with significant Al and Na contents linked to the Si-1 square-1Al+1Na+1 and Si-1Mg-1Al+2 substitutions (i.e. tschermak talc). Bulk-rock major, trace-element and REE compositions range from MORB/arc tholeiite to boninite. Along the Lanterman-Mariner suture the presence of metamorphic rocks whose protoliths have a boninitic affinity is here reported for the first time. They attest to the past existence of a subduction zone with an arc-backarc system between the Wilson and the Bowers terranes. Mineral assemblages and the mineral chemistry allow us to document a retrograde P-T-path from a regional medium-P amphibolite (T approximate to 690 degrees C; P approximate to 0.9 GPa) to greenschist facies, with a typical cooling-unloading path. Amphibolite-facies metamorphism was followed by structural reworking and partial recrystallization under strike-slip shear deformation. The rocks most affected by shearing document that this deformation developed under the transition amphibolite-greenschist facies, although local higher temperature conditions can be ascribed to shear heating. Comparison with other mafic-ultramafic rocks from the Lanterman-Mariner suture suggests that, from the regional amphibolite-facies metamorphism onwards, the area extending from the Lanterman Range to the Mountaineer Range, including the Dessent Ridge, underwent a nearly synchronous tectono-metamorphic evolution. The Lanterman-Mariner suture resulted from the accretion of an arc/backarc system to the palaeo-Pacific continental margin of Gondwana during the Ross Orogen (Cambro-Ordovician), a typical subduction-accretion orogen. (C) 2012 Elsevier B.V. All rights reserved.</t>
  </si>
  <si>
    <t>[Palmeri, R.; Sandroni, S.; Ricci, C. A.] Univ Siena, Museo Nazl Antartide, I-53100 Siena, Italy; [Godard, G.] Univ Paris Diderot, Inst Phys Globe, UMR 7154, CNRS, F-75252 Paris, France; [Ricci, C. A.] Univ Siena, Dipartimento Sci Terra, I-53100 Siena, Italy</t>
  </si>
  <si>
    <t>University of Siena; Universite Paris Cite; Centre National de la Recherche Scientifique (CNRS); CNRS - National Institute for Earth Sciences &amp; Astronomy (INSU); University of Siena</t>
  </si>
  <si>
    <t>Palmeri, R (corresponding author), Univ Siena, Museo Nazl Antartide, Via Laterina 8, I-53100 Siena, Italy.</t>
  </si>
  <si>
    <t>rosaria.palmeri@unisi.it; sandroni@unisi.it; godard@ipgp.fr; riccica@unisi.it</t>
  </si>
  <si>
    <t>Sandroni, Sonia/C-7188-2008</t>
  </si>
  <si>
    <t>Sandroni, Sonia/0000-0002-7941-7145</t>
  </si>
  <si>
    <t>Italian Programma Nazionale di Ricerche in Antartide; Siena University [PAR 2005]</t>
  </si>
  <si>
    <t>Italian Programma Nazionale di Ricerche in Antartide(Ministry of Education, Universities and Research (MIUR)); Siena University</t>
  </si>
  <si>
    <t>Research benefited from the support of the Italian Programma Nazionale di Ricerche in Antartide from the 1988-1989 to the 2003-2004 Antarctic campaigns. This study was also supported by the Siena University (PAR 2005 R. Palmeri). A. Palladino is thanked for the revision of the English. The manuscript benefited from the suggestions of two anonymous reviewer, and by the editorial handling of Marco Scambelluri.</t>
  </si>
  <si>
    <t>0024-4937</t>
  </si>
  <si>
    <t>1872-6143</t>
  </si>
  <si>
    <t>Lithos</t>
  </si>
  <si>
    <t>10.1016/j.lithos.2012.02.001</t>
  </si>
  <si>
    <t>Geochemistry &amp; Geophysics; Mineralogy</t>
  </si>
  <si>
    <t>929WC</t>
  </si>
  <si>
    <t>WOS:000303095400014</t>
  </si>
  <si>
    <t>Santovito, G; Piccinni, E; Boldrin, F; Irato, P</t>
  </si>
  <si>
    <t>Santovito, Gianfranco; Piccinni, Ester; Boldrin, Francesco; Irato, Paola</t>
  </si>
  <si>
    <t>Comparative study on metal homeostasis and detoxification in two Antarctic teleosts</t>
  </si>
  <si>
    <t>COMPARATIVE BIOCHEMISTRY AND PHYSIOLOGY C-TOXICOLOGY &amp; PHARMACOLOGY</t>
  </si>
  <si>
    <t>Antioxidant enzymes; Antarctic fish; Glutathione; Metallothionein; Metals</t>
  </si>
  <si>
    <t>TERRA-NOVA BAY; TRACE-METALS; TREMATOMUS-BERNACCHII; SUPEROXIDE-DISMUTASE; FISH; ZINC; CADMIUM; COPPER; GLUTATHIONE; METABOLISM</t>
  </si>
  <si>
    <t>The main characteristic of Antarctic seawater is its low constant temperature and its high concentration of O-2, which can increase the formation rate of reactive oxygen species (ROS), together with a natural occurrence of elevated cadmium and copper levels. In the present paper, we studied the presence of cadmium, copper and zinc, metallothioneins (MTs) and glutathione (GSH), and antioxidant enzyme activities in the Antarctic teleosts Trematomus bernacchii and Trematomus newnesi, in order to determine the influence of the peculiar physico-chemical features of the Antarctic marine environment on these physiological defence systems in two species of teleosts. In both of them, cadmium and copper accumulation occurs mostly in the liver. T. bernacchii accumulates zinc mostly in the hepatic tissue, whereas T. newnesi does not show a preferential accumulation site. In addition to the intra-specific analysis, we decided to compare the two species of the Trematomus genus in order to verify if the different feeding habits and motility of these fish affects metal accumulation. Our results show that the liver of T. bernacchii accumulates cadmium and zinc at a higher extent with respect to T. newnesi. Glutathione (GSH) and metallothioneins (MTs) are present in great quantity in the liver of both species. Moreover liver is the tissue which generally showed the highest antioxidant enzyme levels. The results provide further insights in the physiological mechanisms evolved by animals living in this extreme environment. (C) 2012 Elsevier Inc. All rights reserved.</t>
  </si>
  <si>
    <t>[Santovito, Gianfranco; Piccinni, Ester; Boldrin, Francesco; Irato, Paola] Univ Padua, Dept Biol, I-35131 Padua, Italy</t>
  </si>
  <si>
    <t>University of Padua</t>
  </si>
  <si>
    <t>Irato, P (corresponding author), Univ Padua, Dept Biol, Via U Bassi 58-B, I-35131 Padua, Italy.</t>
  </si>
  <si>
    <t>gianfranco.santovito@unipd.it; ester.piccinni@unipd.it; francesco.boldrin@unipd.it; paola.irato@unipd.it</t>
  </si>
  <si>
    <t>Santovito, Gianfranco/ABB-9484-2021</t>
  </si>
  <si>
    <t>Santovito, Gianfranco/0000-0001-8260-7006; IRATO, PAOLA/0000-0002-8066-0775</t>
  </si>
  <si>
    <t>Italian National Program for Antarctic Research (PNRA)</t>
  </si>
  <si>
    <t>This work was supported by a grant from the Italian National Program for Antarctic Research (PNRA). We thank Dr. Laura Perin for her interest, support and proofreading the English version of the manuscript.</t>
  </si>
  <si>
    <t>ELSEVIER SCIENCE INC</t>
  </si>
  <si>
    <t>STE 800, 230 PARK AVE, NEW YORK, NY 10169 USA</t>
  </si>
  <si>
    <t>1532-0456</t>
  </si>
  <si>
    <t>1878-1659</t>
  </si>
  <si>
    <t>COMP BIOCHEM PHYS C</t>
  </si>
  <si>
    <t>Comp. Biochem. Physiol. C-Toxicol. Pharmacol.</t>
  </si>
  <si>
    <t>10.1016/j.cbpc.2012.01.008</t>
  </si>
  <si>
    <t>Biochemistry &amp; Molecular Biology; Endocrinology &amp; Metabolism; Toxicology; Zoology</t>
  </si>
  <si>
    <t>926QF</t>
  </si>
  <si>
    <t>WOS:000302845300006</t>
  </si>
  <si>
    <t>Shortlidge, EE; Rosenstiel, TN; Eppley, SM</t>
  </si>
  <si>
    <t>Shortlidge, Erin E.; Rosenstiel, Todd N.; Eppley, Sarah M.</t>
  </si>
  <si>
    <t>Tolerance to environmental desiccation in moss sperm</t>
  </si>
  <si>
    <t>NEW PHYTOLOGIST</t>
  </si>
  <si>
    <t>bryophyte; Ceratodon purpureus; sexual reproduction; sperm; stress tolerance</t>
  </si>
  <si>
    <t>DIMORPHIC SPERM; TORTULA-RURALIS; SEXUAL REPRODUCTION; CAMPYLOPUS-INTROFLEXUS; VEGETATIVE DESICCATION; SPOROPHYTE ABORTION; POLLEN GERMINATION; PLANT DESICCATION; STRESS TOLERANCE; ANTARCTIC MOSS</t>
  </si>
  <si>
    <t>Sexual reproduction in mosses requires that sperm be released freely into the environment before finding and fertilizing a receptive female. After release from the male plant, moss sperm may experience a range of abiotic stresses; however, few data are available examining stress tolerance of moss sperm and whether there is genetic variation for stress tolerance in this important life stage. Here, we investigated the effects of environmental desiccation and recovery on the sperm cells of three moss species (Bryum argenteum, Campylopus introflexus, and Ceratodon purpureus). We found that a fraction of sperm cells were tolerant to environmental desiccation for extended periods (d) and that tolerance did not vary among species. We found that this tolerance occurs irrespective of ambient dehydration conditions, and that the addition of sucrose during dry-down improved cell recovery. Although we observed no interspecific variation, significant variation among individuals within species in sperm cell tolerance to environmental desiccation was observed, suggesting selection could potentially act on this basic reproductive trait. The observation of desiccation-tolerant sperm in multiple moss species has important implications for understanding bryophyte reproduction, suggesting the presence of a significant, uncharacterized complexity in the ecology of moss mating systems.</t>
  </si>
  <si>
    <t>[Shortlidge, Erin E.] Portland State Univ, Dept Biol, Portland, OR 97207 USA; Portland State Univ, Ctr Life Extreme Environm, Portland, OR 97207 USA</t>
  </si>
  <si>
    <t>Portland State University; Portland State University</t>
  </si>
  <si>
    <t>Shortlidge, EE (corresponding author), Portland State Univ, Dept Biol, POB 751, Portland, OR 97207 USA.</t>
  </si>
  <si>
    <t>eshort@pdx.edu</t>
  </si>
  <si>
    <t>Shortlidge, Erin/ABA-9548-2021</t>
  </si>
  <si>
    <t>US National Science Foundation [DEB 0743461, IOS 0719570]; 3M Corporation; Division Of Environmental Biology; Direct For Biological Sciences [0743461] Funding Source: National Science Foundation</t>
  </si>
  <si>
    <t>US National Science Foundation(National Science Foundation (NSF)); 3M Corporation(3M); Division Of Environmental Biology; Direct For Biological Sciences(National Science Foundation (NSF)NSF - Directorate for Biological Sciences (BIO))</t>
  </si>
  <si>
    <t>We thank A. Dittmer, T. Hinkley, and M. Slate for help in the glasshouse, and H. Le, C. Rupert, and J. Storey for laboratory support. Research was supported by the US National Science Foundation (DEB 0743461 to S.M.E. and IOS 0719570 to T.N.R.) and 3M Corporation.</t>
  </si>
  <si>
    <t>0028-646X</t>
  </si>
  <si>
    <t>1469-8137</t>
  </si>
  <si>
    <t>NEW PHYTOL</t>
  </si>
  <si>
    <t>New Phytol.</t>
  </si>
  <si>
    <t>10.1111/j.1469-8137.2012.04106.x</t>
  </si>
  <si>
    <t>923KS</t>
  </si>
  <si>
    <t>WOS:000302618800016</t>
  </si>
  <si>
    <t>Barthélemy, A; Goosse, H; Mathiot, P; Fichefet, T</t>
  </si>
  <si>
    <t>Barthelemy, Antoine; Goosse, Hugues; Mathiot, Pierre; Fichefet, Thierry</t>
  </si>
  <si>
    <t>Inclusion of a katabatic wind correction in a coarse-resolution global coupled climate model</t>
  </si>
  <si>
    <t>OCEAN MODELLING</t>
  </si>
  <si>
    <t>Katabatic winds; Sea ice; Antarctic; Southern Ocean; Deep water; Climate model</t>
  </si>
  <si>
    <t>GENERAL-CIRCULATION MODELS; BOTTOM WATER PRODUCTION; TERRA-NOVA BAY; SOUTHERN-OCEAN; SEA-ICE; ANTARCTICA; PARAMETERIZATION; INTERMEDIATE; POLYNYAS; EDDIES</t>
  </si>
  <si>
    <t>A correction for katabatic winds and polar easterlies is developed to deal with their dramatic underestimation by the atmospheric component of a coarse-resolution global coupled climate model. This correction relies on a comparison of the atmospheric surface circulation simulated by the model with the one provided by a regional atmospheric model, and consists of wind stress modifications in the vicinity of the Antarctic coast. Corrections are spatially varying and different for both wind components. The impacts of the correction on the modelled Antarctic sea ice and World Ocean's properties on long timescales are assessed, showing that katabatic winds thin sea ice and strongly enhance its production along the continent. Consequently, the formation rate, salinity and temperature of the Antarctic Bottom Water are increased. This leads to model results in better agreement with observations, especially in the deep ocean where the mean errors in temperature and salinity decrease by 9% and 37%, respectively. Hence, correcting katabatic winds seems to be an appropriate way to improve the representation of sea ice-related surface processes around Antarctica. (C) 2012 Elsevier Ltd. All rights reserved.</t>
  </si>
  <si>
    <t>[Barthelemy, Antoine; Goosse, Hugues; Mathiot, Pierre; Fichefet, Thierry] Catholic Univ Louvain, Georges Lemaitre Ctr Earth &amp; Climate Res, Earth &amp; Life Inst, B-1348 Louvain, Belgium</t>
  </si>
  <si>
    <t>Universite Catholique Louvain</t>
  </si>
  <si>
    <t>Barthélemy, A (corresponding author), Catholic Univ Louvain, Georges Lemaitre Ctr Earth &amp; Climate Res, Earth &amp; Life Inst, Chemin Cyclotron 2,Box L7-01-11, B-1348 Louvain, Belgium.</t>
  </si>
  <si>
    <t>antoine.barthelemy@uclouvain.be; goosse@uclouvain.be; pierre.mathiot@uclouvain.be; thierry.fichefet@uclouvain.be</t>
  </si>
  <si>
    <t>Mathiot, Pierre/0000-0002-2001-0762</t>
  </si>
  <si>
    <t>Belgian Federal Science Policy Office</t>
  </si>
  <si>
    <t>Belgian Federal Science Policy Office(Belgian Federal Science Policy Office)</t>
  </si>
  <si>
    <t>A. Barthelemy and H. Goosse are Research Assistant and Senior Research Associate with the Fonds National de la Recherche Scientifique (F.R.S. - FNRS - Belgium), respectively. This work is supported by the Belgian Federal Science Policy Office (Research Program on Science for a Sustainable Development). H. Gallee kindly provided the MAR results used in our analyses. The simulations were performed on the supercomputers of the Institut de calcul intensif et de stockage de masse (CISM) of the Universite catholique de Louvain (UCL). We thank two anonymous reviewers for their valuable comments on the original manuscript.</t>
  </si>
  <si>
    <t>ELSEVIER SCI LTD</t>
  </si>
  <si>
    <t>THE BOULEVARD, LANGFORD LANE, KIDLINGTON, OXFORD OX5 1GB, OXON, ENGLAND</t>
  </si>
  <si>
    <t>1463-5003</t>
  </si>
  <si>
    <t>OCEAN MODEL</t>
  </si>
  <si>
    <t>Ocean Model.</t>
  </si>
  <si>
    <t>10.1016/j.ocemod.2012.03.002</t>
  </si>
  <si>
    <t>Meteorology &amp; Atmospheric Sciences; Oceanography</t>
  </si>
  <si>
    <t>927TF</t>
  </si>
  <si>
    <t>WOS:000302932300004</t>
  </si>
  <si>
    <t>Horwath, M; Legrésy, B; Rémy, F; Blarel, F; Lemoine, JM</t>
  </si>
  <si>
    <t>Horwath, Martin; Legresy, Benoit; Remy, Frederique; Blarel, Fabien; Lemoine, Jean-Michel</t>
  </si>
  <si>
    <t>Consistent patterns of Antarctic ice sheet interannual variations from ENVISAT radar altimetry and GRACE satellite gravimetry</t>
  </si>
  <si>
    <t>GEOPHYSICAL JOURNAL INTERNATIONAL</t>
  </si>
  <si>
    <t>Satellite geodesy; Sea level change; Time variable gravity; Global change from geodesy; Glaciology; Antarctica</t>
  </si>
  <si>
    <t>GLACIAL-ISOSTATIC-ADJUSTMENT; MASS-BALANCE; GRAVITY-FIELD; VARIABILITY; GREENLAND; ELEVATION</t>
  </si>
  <si>
    <t>Interannual variations of the Antarctic ice sheet due to surface mass balance (SMB) fluctuations are important for mass balance estimates and interpretations. To date, these variations are primarily assessed by global or regional atmospheric modelling. Satellite altimetry and satellite gravimetry over the ice sheet provide complementary observations of the related volume and mass effects, respectively. Yet, so far the interannual signal contents of these observations have not been extensively studied. We compare and jointly interpret ENVISAT radar altimetry (RA) and GRACE satellite gravimetry results, relying on RA products from the along-track repeat satellite RA approach and on the GRACE 10-d solutions by CNES/GRGS. RA results and GRACE results are expressed in terms of variations of ice sheet thickness, ?z(t), and ice-equivalent thickness, ?zice(t), respectively. In view of the different errors and limitations of both techniques and of differences between ?z(t) and ?zice(t) expected due to firn-related processes, our principal approach is a comparison of qualitative patterns in space and time. To adjust the spatial resolution of both data sets, we describe the spatial filtering inherent to the regularization of the CNES/GRGS GRACE solutions and apply this filtering to the ENVISAT RA height changes in a consistent fashion. After correction for glacial isostatic adjustment, the spatial patterns of linear trends seen by ENVISAT RA and GRACE over the period 2002 October to 2009 August agree well, not only for the extreme ice losses in the West Antarctic Amundsen Sea Sector but also for an alternating sequence of gains and losses along the East Antarctic coast. Our main focus is on interannual signals, which we represent by the low-pass filtered non-linear, non-seasonal components of the ?z(t) and ?zice(t) time-series. These components should reflect interannual SMB variations, apart from effects of changes in ice flow. We find an agreement between the interannual variation patterns from ENVISAT RA and GRACE with temporal correlation coefficients typically in the order of 0.8. This qualitative agreement, prevailing even in the theoretical absence of a simple proportionality between ?z(t) and ?zice(t), indicates that both observational signals primarily originate in common geophysical variations. Combining both geodetic data sets aids their interpretation and promises to be valuable for the reduction of SMB uncertainties. In a case study based on the analysis of both GRACE and ENVISAT RA, we identify a prominent interannual feature in West Antarctica in 2005 September/October as an event of excess snow accumulation with a mass effect of 82 +/- 31 Gt.</t>
  </si>
  <si>
    <t>[Horwath, Martin; Legresy, Benoit; Remy, Frederique; Blarel, Fabien] LEGOS, F-31401 Toulouse 9, France; [Horwath, Martin; Lemoine, Jean-Michel] CNES GRGS, F-31401 Toulouse 9, France</t>
  </si>
  <si>
    <t>Universite de Toulouse; Universite Toulouse III - Paul Sabatier; Centre National de la Recherche Scientifique (CNRS); Institut de Recherche pour le Developpement (IRD); Laboratoire d'Etudes en Geophysique et oceanographie spatiales</t>
  </si>
  <si>
    <t>Horwath, M (corresponding author), Tech Univ Munich, Inst Astron &amp; Phys Geodasie, Arcisstr 21, D-80333 Munich, Germany.</t>
  </si>
  <si>
    <t>martin.horwath@legos.obs-mip.fr</t>
  </si>
  <si>
    <t>Horwath, Martin/ABH-4320-2020; Horwath, Martin/F-9239-2011; legresy, benoit/K-6673-2018</t>
  </si>
  <si>
    <t>Horwath, Martin/0000-0001-5797-244X; legresy, benoit/0000-0002-1909-1630; Blarel, Fabien/0000-0002-4744-0471</t>
  </si>
  <si>
    <t>Deutsche Forschungsgemeinschaft (DFG) [Ho 4232/1-1]; Agence Nationale de la Recherche (ANR)</t>
  </si>
  <si>
    <t>Deutsche Forschungsgemeinschaft (DFG)(German Research Foundation (DFG)); Agence Nationale de la Recherche (ANR)(Agence Nationale de la Recherche (ANR))</t>
  </si>
  <si>
    <t>MH was funded by a research fellowship of the Deutsche Forschungsgemeinschaft (DFG), grant number Ho 4232/1-1. Support to this study was also granted by the Agence Nationale de la Recherche (ANR) in the framework of the VANISH project. The ENVISAT data were acquired through the LEGOS CTOH Altimetry database at GDR level and processed within the OSCAR project. The GRACE solutions were acquired through the CNES/GRGS database. Atmospheric delay tests were made using ECMWF ERA-INTERIM data. The Global Ionosphere model TEC Maps used to compute the ionospheric delay were downloaded from the corresponding JPL website. We acknowledge the comments by three anonymous reviewers and the editor I. Velicogna, which helped to improve the manuscript.</t>
  </si>
  <si>
    <t>OXFORD UNIV PRESS</t>
  </si>
  <si>
    <t>GREAT CLARENDON ST, OXFORD OX2 6DP, ENGLAND</t>
  </si>
  <si>
    <t>0956-540X</t>
  </si>
  <si>
    <t>1365-246X</t>
  </si>
  <si>
    <t>GEOPHYS J INT</t>
  </si>
  <si>
    <t>Geophys. J. Int.</t>
  </si>
  <si>
    <t>10.1111/j.1365-246X.2012.05401.x</t>
  </si>
  <si>
    <t>923MO</t>
  </si>
  <si>
    <t>WOS:000302623600012</t>
  </si>
  <si>
    <t>McDonald, BI; Goebel, ME; Crocker, DE; Costa, DP</t>
  </si>
  <si>
    <t>McDonald, Birgitte I.; Goebel, Michael E.; Crocker, Daniel E.; Costa, Daniel P.</t>
  </si>
  <si>
    <t>Dynamic Influence of Maternal and Pup Traits on Maternal Care during Lactation in an Income Breeder, the Antarctic Fur Seal</t>
  </si>
  <si>
    <t>PHYSIOLOGICAL AND BIOCHEMICAL ZOOLOGY</t>
  </si>
  <si>
    <t>ARCTOCEPHALUS-GAZELLA; REPRODUCTIVE SUCCESS; MILK INTAKE; GROWTH; MASS; INVESTMENT; SIZE; WEIGHT; COSTS; RATES</t>
  </si>
  <si>
    <t>Life-history theory predicts that selection will favor optimal levels of parental effort that balance benefits of current reproduction with costs to survival and future reproduction. The optimal level of effort depends on parental traits, offspring traits, and provisioning strategy. Additionally, how these factors influence effort may differ depending on the stage of reproduction. The relative importance of maternal and offspring traits on energy allocation to offspring was investigated in known-age Antarctic fur seals Arctocephalus gazella across four stages of reproduction, using birth mass and milk-consumption measurements. Maternal traits were important during three of the four stages investigated, with larger females giving birth to larger pups and investing more in pups during perinatal and molt stages. Pup mass influenced maternal effort during the premolt stage, and provisioning strategy influenced postnatal maternal effort at all stages. Energy provided to the offspring during an attendance visit was positively related to the duration of the foraging-trip/visit cycle; however, when investment was controlled for trip/visit cycle duration, the overall rate of energy transfer was similar across trip durations. In addition to strong effects of maternal mass, pup traits affected energy allocation, suggesting that pup demand is important in determining maternal care. These findings emphasize the importance of considering state variables in life-history studies and suggest that timing of measurements of effort in species with long provisioning periods may influence conclusions and our ability to make comparisons of reproductive effort among species.</t>
  </si>
  <si>
    <t>[McDonald, Birgitte I.; Costa, Daniel P.] Univ Calif Santa Cruz, Dept Ecol &amp; Evolutionary Biol, Long Marine Lab, Santa Cruz, CA 95060 USA; [Goebel, Michael E.] Natl Marine Fisheries Serv, Antarct Ecosyst Res Div, Natl Ocean &amp; Atmospher Adm, SW Fisheries Sci Ctr, La Jolla, CA 92038 USA; [Crocker, Daniel E.] Sonoma State Univ, Dept Biol, Rohnert Pk, CA 94928 USA</t>
  </si>
  <si>
    <t>University of California System; University of California Santa Cruz; National Oceanic Atmospheric Admin (NOAA) - USA; California State University System; Sonoma State University</t>
  </si>
  <si>
    <t>McDonald, BI (corresponding author), Scripps Inst Oceanog, Ctr Marine Biotechnol &amp; Biomed, La Jolla, CA 92093 USA.</t>
  </si>
  <si>
    <t>gitte.mcdonald@gmail.com</t>
  </si>
  <si>
    <t>McDonald, Birgitte I/I-3602-2019; Carlos, Universidade Federal de São/W-8832-2019; Costa, Daniel Paul/E-2616-2013</t>
  </si>
  <si>
    <t>McDonald, Birgitte I/0000-0001-5028-066X; Carlos, Universidade Federal de São/0000-0002-0334-3899; Costa, Daniel Paul/0000-0002-0233-5782</t>
  </si>
  <si>
    <t>U.S. AMLR; NSF Office of Polar Programs [0440687]; U.S. Environmental Protection Agency (EPA); NSF; Directorate For Geosciences; Office of Polar Programs (OPP) [0440687] Funding Source: National Science Foundation</t>
  </si>
  <si>
    <t>U.S. AMLR; NSF Office of Polar Programs(National Science Foundation (NSF)); U.S. Environmental Protection Agency (EPA)(United States Environmental Protection Agency); NSF(National Science Foundation (NSF)); Directorate For Geosciences; Office of Polar Programs (OPP)(National Science Foundation (NSF)NSF - Directorate for Geosciences (GEO))</t>
  </si>
  <si>
    <t>We thank all those who assisted with the collection of the data, in particular C. Champagne, R. Haner, and S. Seganti. Logistical support was provided by the U. S. Antarctic Marine Living Resources (AMLR) Program, the National Science Foundation (NSF) U.S. Antarctic Program, and Raytheon Polar Services. This article was improved by comments from two anonymous reviewers. Research was funded by the U.S. AMLR Program and NSF Office of Polar Programs grant 0440687 to D. P. C, D. E. C., and M. E. G. B. I. M. was supported by the U.S. Environmental Protection Agency (EPA) under the Science to Achieve Results Graduate Fellowship Program and an NSF graduate fellowship. The EPA has not officially endorsed this publication, and the views expressed herein may not reflect the views of the EPA.</t>
  </si>
  <si>
    <t>UNIV CHICAGO PRESS</t>
  </si>
  <si>
    <t>CHICAGO</t>
  </si>
  <si>
    <t>1427 E 60TH ST, CHICAGO, IL 60637-2954 USA</t>
  </si>
  <si>
    <t>1522-2152</t>
  </si>
  <si>
    <t>1537-5293</t>
  </si>
  <si>
    <t>PHYSIOL BIOCHEM ZOOL</t>
  </si>
  <si>
    <t>Physiol. Biochem. Zool.</t>
  </si>
  <si>
    <t>MAY-JUN</t>
  </si>
  <si>
    <t>10.1086/665407</t>
  </si>
  <si>
    <t>Physiology; Zoology</t>
  </si>
  <si>
    <t>925UQ</t>
  </si>
  <si>
    <t>WOS:000302787600004</t>
  </si>
  <si>
    <t>Wittmann, AC; Pörtner, HO; Sartoris, FJ</t>
  </si>
  <si>
    <t>Wittmann, Astrid C.; Poertner, Hans O.; Sartoris, Franz J.</t>
  </si>
  <si>
    <t>A Role for Oxygen Delivery and Extracellular Magnesium in Limiting Cold Tolerance of the Sub-Antarctic Stone Crab Paralomis granulosa?</t>
  </si>
  <si>
    <t>THERMAL TOLERANCE; DECAPOD CRUSTACEANS; ARENICOLA-MARINA; HEMOLYMPH-FLOW; MUSCLE-FIBERS; LITHODID CRAB; BLUE-CRAB; SNOW CRAB; TEMPERATURE; DIFFUSION</t>
  </si>
  <si>
    <t>A low capacity for regulation of extracellular Mg2+ has been proposed to exclude reptant marine decapod crustaceans from temperatures below 0 degrees C and thus to exclude them from the high Antarctic. To test this hypothesis and to elaborate the underlying mechanisms in the most cold-tolerant reptant decapod family of the sub-Antarctic, the Lithodidae, thermal tolerance was determined in the crab Paralomis granulosa (Decapoda, Anomura, Lithodidae) using an acute stepwise temperature protocol (-1 degrees, 1 degrees, 4 degrees, 7 degrees, 10 degrees, and 13 degrees C). Arterial and venous oxygen partial pressures (Po-2) in hemolymph, heartbeat and ventilation beat frequencies, and hemolymph cation composition were measured at rest and after a forced activity (righting) trial. Scopes for heartbeat and ventilation beat frequencies and intermittent heartbeat and scaphognathite beat rates at rest were evaluated. Hemolymph [Mg2+] was experimentally reduced from 30 mmol L-1 to a level naturally observed in Antarctic caridean shrimps (12 mmol L-1) to investigate whether the animals remain more active and tolerant to cold (-1 degrees, 1 degrees, and 4 degrees C). In natural seawater, righting speed was significantly slower at -1 degrees and 13 degrees C, compared with acclimation temperature (4 degrees C). Arterial and venous hemolymph Po-2 increased in response to cooling even though heartbeat and ventilation beat frequencies as well as scopes decreased. At rest, ionic composition of the hemolymph was not affected by temperature. Activity induced a significant increase in hemolymph [K+] at -1 degrees and 1 degrees C. Reduction of hemolymph [Mg2+] did not result in an increase in activity, an increase in heartbeat and ventilation beat frequencies, or a shift in thermal tolerance to lower temperatures. In conclusion, oxygen delivery in this cold-water crustacean was not acutely limiting cold tolerance, and animals may have been constrained more by their functional capacity and motility. In contrast to earlier findings in temperate and subpolar brachyuran crabs, these constraints remained insensitive to changing Mg2+ levels.</t>
  </si>
  <si>
    <t>[Wittmann, Astrid C.; Poertner, Hans O.; Sartoris, Franz J.] Alfred Wegener Inst Polar &amp; Marine Res, D-27570 Bremerhaven, Germany</t>
  </si>
  <si>
    <t>Wittmann, AC (corresponding author), Alfred Wegener Inst Polar &amp; Marine Res, Handelshafen 12, D-27570 Bremerhaven, Germany.</t>
  </si>
  <si>
    <t>astrid.wittmann@awi.de</t>
  </si>
  <si>
    <t>Pörtner, Hans-O./ISU-9397-2023; Pörtner, Hans-O./K-9429-2016</t>
  </si>
  <si>
    <t>Pörtner, Hans-O./0000-0001-6535-6575; Wittmann, Astrid/0000-0002-4839-5633; Sartoris, Franz-Josef/0000-0001-7228-3220</t>
  </si>
  <si>
    <t>Deutsche Forschungsgemeinschaft [SA 1713/1-1, 1-2]</t>
  </si>
  <si>
    <t>Deutsche Forschungsgemeinschaft(German Research Foundation (DFG))</t>
  </si>
  <si>
    <t>We thank Daniela Storch and Fredy Veliz Moraleda for invaluable support in the acquisition of experimental animals. We greatly appreciate the help of the crew of RV Polarstern during the transport of the animals. The experiments comply with the current laws of the country in which they were performed. This study was supported by Deutsche Forschungsgemeinschaft grants SA 1713/1-1 and 1-2. We declare that we have no conflict of interest.</t>
  </si>
  <si>
    <t>10.1086/665328</t>
  </si>
  <si>
    <t>WOS:000302787600008</t>
  </si>
  <si>
    <t>Nakamura-Messenger, K; Clemett, SJ; Rubin, AE; Choi, BG; Zhang, SL; Rahman, Z; Oikawa, K; Keller, LP</t>
  </si>
  <si>
    <t>Nakamura-Messenger, Keiko; Clemett, Simon J.; Rubin, Alan E.; Choi, Byeon-Gak; Zhang, Shouliang; Rahman, Zia; Oikawa, Katsunari; Keller, Lindsay P.</t>
  </si>
  <si>
    <t>Wassonite: A new titanium monosulfide mineral in the Yamato 691 enstatite chondrite</t>
  </si>
  <si>
    <t>AMERICAN MINERALOGIST</t>
  </si>
  <si>
    <t>New mineral; wassonite; TiS; Antarctic meteorite; TEM; electron diffraction</t>
  </si>
  <si>
    <t>ISOTOPE HETEROGENEITY; CONSTRAINTS</t>
  </si>
  <si>
    <t>Wassonite, ideally stoichiometric TiS, is a titanium monosulfide not previously observed in nature, that was discovered within the Yamato 691 EH3 enstatite chondrite. Twelve Ti-S phase grains were identified in a rare barred olivine (BO) chondrule; three of the grains were extracted by the focused ion beam technique. Because of the submicrometer size of the wassonite grains, it was not possible to determine conventional macroscopic properties. However, the chemical composition and crystal structure were well constrained by extensive quantitative energy-dispersive X-ray analysis and electron diffraction using transmission electron microscopy (TEM). The crystal system for wassonite is rhombohedral (a = 3.42 +/- 0.07, c = 26.50 +/- 0.53 angstrom) with space group: R (3) over barm, cell volume: 268.4 +/- 0.53 angstrom(3), Z = 9, density (calculated): 4.452 g/cm(3), empirical formula: (Ti-0.93,Fe-0.06,Cr-0.01)S. The wassonite grains crystallized from the chondrule melt that was itself formed in the solar nebula, not on the parent asteroid. The other crystalline phases in the BO chondrule include forsterite, enstatite, troilite, metallic Fe-Ni, and osbornite (as well as the new Ti-S-bearing minerals and schollhornite) are highly reduced and indicate formation at low-oxygen fugacities.</t>
  </si>
  <si>
    <t>[Nakamura-Messenger, Keiko; Rahman, Zia] Jacobs Technol, ESCG, Houston, TX 77058 USA; [Nakamura-Messenger, Keiko; Clemett, Simon J.; Zhang, Shouliang; Rahman, Zia; Keller, Lindsay P.] NASA, Lyndon B Johnson Space Ctr, Astromat Res &amp; Explorat Sci Directorate, Robert M Walker Lab Space Sci, Houston, TX 77058 USA; [Clemett, Simon J.] ERC Inc, ESCG, Houston, TX 77058 USA; [Rubin, Alan E.] Univ Calif Los Angeles, Inst Geophys &amp; Planetary Phys, Los Angeles, CA 90095 USA; [Choi, Byeon-Gak] Seoul Natl Univ, Seoul 151748, South Korea; [Zhang, Shouliang] Lunar &amp; Planetary Inst, Houston, TX 77058 USA; [Zhang, Shouliang] Univ Texas Austin, Texas Mat Inst, Austin, TX 78712 USA; [Oikawa, Katsunari] Tohoku Univ, Grad Sch Engn, Dept Met, Sendai, Miyagi 9808579, Japan</t>
  </si>
  <si>
    <t>National Aeronautics &amp; Space Administration (NASA); NASA Johnson Space Center; ERC Inc; University of California System; University of California Los Angeles; Seoul National University (SNU); University of Texas System; University of Texas Austin; Tohoku University</t>
  </si>
  <si>
    <t>Nakamura-Messenger, K (corresponding author), Jacobs Technol, ESCG, Houston, TX 77058 USA.</t>
  </si>
  <si>
    <t>keiko.nakamura-1@nasa.gov</t>
  </si>
  <si>
    <t>Oikawa, Katsunari/C-6660-2009</t>
  </si>
  <si>
    <t>NASA; NASA Cosmochemistry [NNG06GF95G, NNH10ZDA001N]; Korean NRFMEST [2011-0027574]</t>
  </si>
  <si>
    <t>NASA(National Aeronautics &amp; Space Administration (NASA)); NASA Cosmochemistry(National Aeronautics &amp; Space Administration (NASA)); Korean NRFMEST</t>
  </si>
  <si>
    <t>This paper benefitted from helpful comments by Chi Ma, Klaus Keil, an anonymous reviewer, and associate editor Rhian Jones. We thank the JARE-10 team for their life-risking expedition to collect Antarctic meteorites including Yamato 691. We thank NIPR for preparing and loaning the specimen. We are grateful to John Wasson for allowing us to use his name for this new mineral. The JEOL 2500 SE field-emission STEM was obtained through a grant from the NASA SRLIDAP program. This work was supported by NASA Cosmochemistry grants NNG06GF95G (A.E.R.), NNH10ZDA001N (K.N.-M., L.P.K.), and Korean NRFMEST grant 2011-0027574 (B.-G.C.).</t>
  </si>
  <si>
    <t>MINERALOGICAL SOC AMER</t>
  </si>
  <si>
    <t>CHANTILLY</t>
  </si>
  <si>
    <t>3635 CONCORDE PKWY STE 500, CHANTILLY, VA 20151-1125 USA</t>
  </si>
  <si>
    <t>0003-004X</t>
  </si>
  <si>
    <t>1945-3027</t>
  </si>
  <si>
    <t>AM MINERAL</t>
  </si>
  <si>
    <t>Am. Miner.</t>
  </si>
  <si>
    <t>5-6</t>
  </si>
  <si>
    <t>10.2138/am.2012.3946</t>
  </si>
  <si>
    <t>944OE</t>
  </si>
  <si>
    <t>WOS:000304212900005</t>
  </si>
  <si>
    <t>Sadro, S; Melack, JM</t>
  </si>
  <si>
    <t>Sadro, Steven; Melack, John M.</t>
  </si>
  <si>
    <t>The Effect of an Extreme Rain Event on the Biogeochemistry and Ecosystem Metabolism of an Oligotrophic High-Elevation Lake</t>
  </si>
  <si>
    <t>DISSOLVED ORGANIC-CARBON; CLIMATE-CHANGE; SIERRA-NEVADA; COMMUNITY RESPIRATION; NUTRIENT LIMITATION; NET HETEROTROPHY; EMERALD LAKE; MATTER; WATER; BACTERIOPLANKTON</t>
  </si>
  <si>
    <t>We characterized the effect of an extreme rain event on the biogeochemistry and ecosystem metabolism of an oligotrophic Sierra Nevada (California) lake. During a 10 hour period of an autumn season rainfall event, lake discharge increased from &lt;1.0 L s(-1) to over 3000 L s(-1), reaching a rate one order of magnitude higher than found during peak snowmelt. Large quantities of terrestrial particulate and dissolved organic matter were washed into the lake. An entire season of autochthonous dissolved organic carbon (DOC) was flushed and replaced by allochthonous DOC as light attenuation increased by &gt;300%. The resulting truncation of the photic zone, reduction of water column chlorophyll-a, and increase in particulate and dissolved organic matter available to microbes resulted in a 47% reduction in whole lake gross primary production and 30% increase in respiration relative to average autumn values. As a consequence, the lake went from being slightly autotrophic to strongly heterotrophic. If rain events increase in frequency, as many climate change models predict, increased terrestrial inputs to Sierran lakes may result in more frequent periods of reduced primary production, increased periods of hypoxia and anoxia, and an ecosystem shift toward net heterotrophy during the ice-free season.</t>
  </si>
  <si>
    <t>[Sadro, Steven; Melack, John M.] Univ Calif Santa Barbara, Dept Ecol Evolut &amp; Marine Biol, Santa Barbara, CA 93106 USA</t>
  </si>
  <si>
    <t>University of California System; University of California Santa Barbara</t>
  </si>
  <si>
    <t>Sadro, S (corresponding author), Univ Calif Santa Barbara, Dept Ecol Evolut &amp; Marine Biol, Santa Barbara, CA 93106 USA.</t>
  </si>
  <si>
    <t>steven.sadro@lifesci.ucsb.edu</t>
  </si>
  <si>
    <t>Sadro, Steven/AGC-7944-2022</t>
  </si>
  <si>
    <t>National Science Foundation (NSF) [DMR05-20415]; Division of Environmental Biology [0614207, 0924187, 0640953]; Direct For Biological Sciences; Division Of Environmental Biology [0640953] Funding Source: National Science Foundation; Division Of Environmental Biology; Direct For Biological Sciences [0614207] Funding Source: National Science Foundation</t>
  </si>
  <si>
    <t>National Science Foundation (NSF)(National Science Foundation (NSF)); Division of Environmental Biology(National Science Foundation (NSF)NSF - Directorate for Biological Sciences (BIO)); Direct For Biological Sciences; Division Of Environmental Biology(National Science Foundation (NSF)NSF - Directorate for Biological Sciences (BIO)); Division Of Environmental Biology; Direct For Biological Sciences(National Science Foundation (NSF)NSF - Directorate for Biological Sciences (BIO))</t>
  </si>
  <si>
    <t>We thank Kevin Skeen and Ellen George for field assistance and Pete Kirchner for providing rainfall amounts associated with the flood. Sequoia-Kings Canyon National Park provided administrative support for this research. Financial support was provided by the National Science Foundation (NSF) through the Graduate Research Fellowship Program (to Sadro) and through Division of Environmental Biology awards 0614207 and 0924187 (to Melack) and 0640953 to Sally MacIntyre. Fluorimetry analysis was done in the University of California-Santa Barbara Materials Research Laboratory supported by the NSF Materials Research Science and Engineering Centers Program award DMR05-20415.</t>
  </si>
  <si>
    <t>10.1657/1938-4246-44.2.222</t>
  </si>
  <si>
    <t>WOS:000304723500007</t>
  </si>
  <si>
    <t>Onofri, S; de la Torre, R; de Vera, JP; Ott, S; Zucconi, L; Selbmann, L; Scalzi, G; Venkateswaran, KJ; Rabbow, E; Iñigo, FJS; Horneck, G</t>
  </si>
  <si>
    <t>Onofri, Silvano; de la Torre, Rosa; de Vera, Jean-Pierre; Ott, Sieglinde; Zucconi, Laura; Selbmann, Laura; Scalzi, Giuliano; Venkateswaran, Kasthuri J.; Rabbow, Elke; Sanchez Inigo, Francisco J.; Horneck, Gerda</t>
  </si>
  <si>
    <t>Survival of Rock-Colonizing Organisms After 1.5 Years in Outer Space</t>
  </si>
  <si>
    <t>ASTROBIOLOGY</t>
  </si>
  <si>
    <t>Astrobiology; Lithopanspermia; Radiation resistance; Survival; Vacuum</t>
  </si>
  <si>
    <t>IMPACT EJECTION; EXPOSE-E; MARS; LICHENS</t>
  </si>
  <si>
    <t>Cryptoendolithic microbial communities and epilithic lichens have been considered as appropriate candidates for the scenario of lithopanspermia, which proposes a natural interplanetary exchange of organisms by means of rocks that have been impact ejected from their planet of origin. So far, the hardiness of these terrestrial organisms in the severe and hostile conditions of space has not been tested over extended periods of time. A first long-term (1.5 years) exposure experiment in space was performed with a variety of rock-colonizing eukaryotic organisms at the International Space Station on board the European EXPOSE-E facility. Organisms were selected that are especially adapted to cope with the environmental extremes of their natural habitats. It was found that some-but not all-of those most robust microbial communities from extremely hostile regions on Earth are also partially resistant to the even more hostile environment of outer space, including high vacuum, temperature fluctuation, the full spectrum of extraterrestrial solar electromagnetic radiation, and cosmic ionizing radiation. Although the reported experimental period of 1.5 years in space is not comparable with the time spans of thousands or millions of years believed to be required for lithopanspermia, our data provide first evidence of the differential hardiness of cryptoendolithic communities in space.</t>
  </si>
  <si>
    <t>[Onofri, Silvano; Zucconi, Laura; Selbmann, Laura; Scalzi, Giuliano] Univ Tuscia, Dept Ecol &amp; Biol Sci, Viterbo, Italy; [de la Torre, Rosa; Sanchez Inigo, Francisco J.] Spanish Aerosp Res Estab INTA, Dept Earth Observat, Madrid, Spain; [de Vera, Jean-Pierre] German Aerosp Ctr DLR, Inst Planetary Res, Berlin, Germany; [Ott, Sieglinde] Univ Dusseldorf, Inst Bot, Dusseldorf, Germany; [Scalzi, Giuliano; Venkateswaran, Kasthuri J.] CALTECH, Jet Prop Lab, Pasadena, CA USA; [Rabbow, Elke; Horneck, Gerda] German Aerosp Ctr DLR, Inst Aerosp Med, Cologne, Germany</t>
  </si>
  <si>
    <t>Tuscia University; Helmholtz Association; German Aerospace Centre (DLR); Heinrich Heine University Dusseldorf; National Aeronautics &amp; Space Administration (NASA); NASA Jet Propulsion Laboratory (JPL); California Institute of Technology; Helmholtz Association; German Aerospace Centre (DLR)</t>
  </si>
  <si>
    <t>Onofri, S (corresponding author), Largo Univ Snc, Dept Ecol &amp; Biol Sci DEB, I-01100 Viterbo, Italy.</t>
  </si>
  <si>
    <t>onofri@unitus.it</t>
  </si>
  <si>
    <t>Zucconi, L./U-9781-2018; Íñigo, Francisco Javier Sánchez/H-9691-2013; de la Torre Noetzel, Rosa/AAA-2920-2019; Selbmann, Laura/L-3056-2013</t>
  </si>
  <si>
    <t>Zucconi, L./0000-0001-9793-2303; Selbmann, Laura/0000-0002-8967-3329; de la Torre Noetzel, Maria Rosa/0000-0003-2394-0268; ONOFRI, Silvano/0000-0001-8872-1440; Sanchez Inigo, Francisco Javier/0000-0002-6822-5180</t>
  </si>
  <si>
    <t>Antarctic Research and National Antarctic Museum; European Coordination Action for Research Activities on life in Extreme Environments (CAREX); Spanish Ministry of Science and Education [ESP2005-25292-E]; INTA</t>
  </si>
  <si>
    <t>Antarctic Research and National Antarctic Museum; European Coordination Action for Research Activities on life in Extreme Environments (CAREX); Spanish Ministry of Science and Education(Spanish Government); INTA</t>
  </si>
  <si>
    <t>We thank the staff at the European Space Agency for the provision and operations of the EXPOSE-E facility and Thomas Berger for the cosmic ray dosimetry data. We also thank the Italian National Program of Antarctic Research and National Antarctic Museum for funding the collection of Antarctic samples, strains, and sample analyses, as well as the European Coordination Action for Research Activities on life in Extreme Environments (CAREX) for one ToK Grant to G. S. Collection and preparation of samples, and CLSM and photosynthetic activity analyses of X. elegans have been supported partly by the Helmholtz Association through the research alliance Planetary Evolution and Life and the BMWi, 50WB0614; the selection and preparation of the Rhizocarpon geographicum samples have been financed by the Space Program of the Spanish Ministry of Science and Education (ESP2005-25292-E) and INTA. We thank Philipp Holzwig, Isabella Halezki, Eva-Maria Posthoff, and the Institute of Genetics at the Heinrich-Heine-Universitat Dusseldorf for skillful technical assistance. Special thanks also go to Prof. Giovanni Bignami for his scientific advice.</t>
  </si>
  <si>
    <t>MARY ANN LIEBERT, INC</t>
  </si>
  <si>
    <t>NEW ROCHELLE</t>
  </si>
  <si>
    <t>140 HUGUENOT STREET, 3RD FL, NEW ROCHELLE, NY 10801 USA</t>
  </si>
  <si>
    <t>1531-1074</t>
  </si>
  <si>
    <t>1557-8070</t>
  </si>
  <si>
    <t>Astrobiology</t>
  </si>
  <si>
    <t>+</t>
  </si>
  <si>
    <t>10.1089/ast.2011.0736</t>
  </si>
  <si>
    <t>Astronomy &amp; Astrophysics; Biology; Geosciences, Multidisciplinary</t>
  </si>
  <si>
    <t>Astronomy &amp; Astrophysics; Life Sciences &amp; Biomedicine - Other Topics; Geology</t>
  </si>
  <si>
    <t>957PQ</t>
  </si>
  <si>
    <t>WOS:000305175400014</t>
  </si>
  <si>
    <t>Li, YM; Geng, DW; Liu, FB; Wang, T; Wang, P; Zhang, QH; Jiang, GB</t>
  </si>
  <si>
    <t>Li, Yingming; Geng, Dawei; Liu, Fubin; Wang, Thanh; Wang, Pu; Zhang, Qinghua; Jiang, Guibin</t>
  </si>
  <si>
    <t>Study of PCBs and PBDEs in King George Island, Antarctica, using PUF passive air sampling</t>
  </si>
  <si>
    <t>ATMOSPHERIC ENVIRONMENT</t>
  </si>
  <si>
    <t>Antarctica; PUF-disk passive air sampling; PCBs; PBDEs; PCB-11</t>
  </si>
  <si>
    <t>PERSISTENT ORGANIC POLLUTANTS; POLYBROMINATED DIPHENYL ETHERS; POLYCHLORINATED BIPHENYL CONGENERS; LONG-RANGE TRANSPORT; ORGANOCHLORINE PESTICIDES; AMBIENT AIR; SAMPLERS; AROCLOR; SOILS; AREA</t>
  </si>
  <si>
    <t>Polyurethane foam (PUF)-disk based passive air samplers were deployed in King George Island, Antarctica, during the austral summer of 2009-2010, to investigate levels, distributions and potential sources of polychlorinated biphenyls (PCBs) and polybrominated diphenyl ethers (PBDEs) in Antarctic air. The atmospheric levels of Sigma indicator PCBs and Sigma(14) PBDEs ranged from 1.66 to 6.50 pg m(-3) and from 0.67 to 2.98 pg m(-3), respectively. PCBs homologue profiles were dominated by di-PCBs, tri-PCBs and tetra-PCBs, whereas BDE-17 and BDE-28 were the predominant congeners of PBDEs, which could be explained by long-range atmospheric transport processes. However, the sampling sites close to the Antarctic research stations showed higher atmospheric concentrations of PCBs and PBDEs than the other sites, reflecting potential local sources from the Antarctic research stations. The non-Aroclor congener PCB-11 was found in all the air samples, with air concentrations of 3.60-31.4 pg m(-3) (average 15.2 pg m(-3)). Comparison between the results derived from PUF-disk passive air sampling and high-volume air sampling validates the feasibility of using the passive air samplers in Antarctic air. To our knowledge, this study is the first employment of PUF-disk based passive air samplers in Antarctic atmosphere. (C) 2012 Elsevier Ltd. All rights reserved.</t>
  </si>
  <si>
    <t>[Li, Yingming; Geng, Dawei; Wang, Thanh; Wang, Pu; Zhang, Qinghua; Jiang, Guibin] Chinese Acad Sci, Res Ctr Ecoenvironm Sci, State Key Lab Environm Chem &amp; Ecotoxicol, Beijing 100085, Peoples R China; [Geng, Dawei] China Univ Geosci, Sch Energy Resources, Beijing 100083, Peoples R China; [Liu, Fubin] Natl Marine Environm Forecasting Ctr, Beijing 100081, Peoples R China</t>
  </si>
  <si>
    <t>Chinese Academy of Sciences; Research Center for Eco-Environmental Sciences (RCEES); China University of Geosciences; National Marine Environmental Forecasting Center</t>
  </si>
  <si>
    <t>Zhang, QH (corresponding author), Chinese Acad Sci, Res Ctr Ecoenvironm Sci, State Key Lab Environm Chem &amp; Ecotoxicol, Beijing 100085, Peoples R China.</t>
  </si>
  <si>
    <t>zhang, qinghua/HMP-3611-2023; Wang, Thanh/D-1934-2011; Wang, Thanh/AAI-4603-2020; Geng, Dawei/I-8319-2016</t>
  </si>
  <si>
    <t>zhang, qinghua/0000-0002-9707-4051; Wang, Thanh/0000-0002-5729-1908; Geng, Dawei/0000-0002-8553-8824</t>
  </si>
  <si>
    <t>This study was funded by the State Oceanic Administration, P.R. China (09/10GW08 and 10/11GW02), National Natural Science Foundation of China (20897011 and 20907059), and National Basic Research Program of China (2009CB421600). We also thank Chinese Arctic and Antarctic Ministration for the arrangements during the XXVI Chinese Antarctic Expedition.</t>
  </si>
  <si>
    <t>1352-2310</t>
  </si>
  <si>
    <t>1873-2844</t>
  </si>
  <si>
    <t>ATMOS ENVIRON</t>
  </si>
  <si>
    <t>Atmos. Environ.</t>
  </si>
  <si>
    <t>10.1016/j.atmosenv.2012.01.034</t>
  </si>
  <si>
    <t>Environmental Sciences; Meteorology &amp; Atmospheric Sciences</t>
  </si>
  <si>
    <t>Environmental Sciences &amp; Ecology; Meteorology &amp; Atmospheric Sciences</t>
  </si>
  <si>
    <t>921WK</t>
  </si>
  <si>
    <t>WOS:000302508600017</t>
  </si>
  <si>
    <t>Forcada, J; Trathan, PN; Boveng, PL; Boyd, IL; Burns, JM; Costa, DP; Fedak, M; Rogers, TL; Southwell, CJ</t>
  </si>
  <si>
    <t>Forcada, Jaume; Trathan, Philip N.; Boveng, Peter L.; Boyd, Ian L.; Burns, Jennifer M.; Costa, Daniel P.; Fedak, Michael; Rogers, Tracey L.; Southwell, Colin J.</t>
  </si>
  <si>
    <t>Responses of Antarctic pack-ice seals to environmental change and increasing krill fishing</t>
  </si>
  <si>
    <t>BIOLOGICAL CONSERVATION</t>
  </si>
  <si>
    <t>Antarctic pack-ice seals; Climate change; Fisheries management; Habitat change; Krill; Uncertainty</t>
  </si>
  <si>
    <t>CRAB-EATER SEALS; SOUTHERN-OCEAN; CLIMATE-CHANGE; POPULATION-CHANGES; HABITAT SELECTION; EUPHAUSIA-SUPERBA; FORAGING BEHAVIOR; LEOPARD SEALS; ECOSYSTEM; MANAGEMENT</t>
  </si>
  <si>
    <t>The compound effects of changing habitats, ecosystem interactions, and fishing practices have implications for the management of Antarctic krill and conservation of its predators. For Antarctic pack-ice seals, an important group of krill predators, we estimate the density and krill consumption in the West Antarctic Peninsula (WAP)-Western Weddell Sea area, the main fishery region; and we consider long-term changes in suitable pack-ice habitat, increased fishing pressure and potential krill declines based upon predictions from declines in sea ice cover. More than 3 million crabeater seals consumed over 12 million tonnes of krill each year. This was approximately 17% of the krill standing stock. The highest densities of pack ice seals where found in the WAP, including in its small-scale fishery management areas, where apparently suitable seal habitat has declined by 21-28% over a 30 year period, where krill density is likely to have declined, and fishing has increased. The highest seal density was found in the Marguerite Bay area which is a source of krill for the Antarctic Peninsula and elsewhere. Significant sea-ice loss since 1979 has already occurred, leading to open water and possible expansion for the fishery in the future. These factors may combine to potentially reduce food for pack ice seals. Therefore, high uncertainty in krill and seal stock trends and in their environmental drivers call for a precautionary management of the krill fishery, in the absence of survey data to support management based on specific conservation objectives for pack-ice seals. (c) 2012 Elsevier Ltd. All rights reserved.</t>
  </si>
  <si>
    <t>[Forcada, Jaume; Trathan, Philip N.] British Antarctic Survey, Nat Environm Res Council, Cambridge CB3 0ET, England; [Boveng, Peter L.] NOAA, Natl Marine Mammal Lab, Alaska Fisheries Sci Ctr, Natl Marine Fisheries Serv, Seattle, WA 98115 USA; [Boyd, Ian L.; Fedak, Michael] Univ St Andrews, Sea Mammal Res Unit, Scottish Oceans Inst, St Andrews KY16 8LB, Fife, Scotland; [Burns, Jennifer M.] Univ Alaska Anchorage, Dept Biol Sci, Anchorage, AK 99508 USA; [Costa, Daniel P.] Univ Calif Santa Cruz, Long Marine Lab, Santa Cruz, CA 95060 USA; [Rogers, Tracey L.] Univ New S Wales, Evolut &amp; Ecol Res Ctr, Sch BEES, Sydney, NSW 2052, Australia; [Southwell, Colin J.] Australian Antarctic Div, Dept Environm Water Heritage &amp; Arts, Kingston, Tas 7050, Australia</t>
  </si>
  <si>
    <t>UK Research &amp; Innovation (UKRI); Natural Environment Research Council (NERC); NERC British Antarctic Survey; National Oceanic Atmospheric Admin (NOAA) - USA; University of St Andrews; University of Alaska System; University of Alaska Anchorage; University of California System; University of California Santa Cruz; University of New South Wales Sydney; Australian Antarctic Division</t>
  </si>
  <si>
    <t>Forcada, J (corresponding author), British Antarctic Survey, Nat Environm Res Council, Madingley Rd, Cambridge CB3 0ET, England.</t>
  </si>
  <si>
    <t>jfor@bas.ac.uk</t>
  </si>
  <si>
    <t>Rogers, Tracey L/C-3419-2008; Carlos, Universidade Federal de São/W-8832-2019; Burns, Jennifer/AAC-8243-2019; Forcada, Jaume/GYU-0677-2022; Burns, Jennifer M/C-4159-2013; Fedak, Michael/B-3987-2009; Costa, Daniel Paul/E-2616-2013</t>
  </si>
  <si>
    <t>Carlos, Universidade Federal de São/0000-0002-0334-3899; Burns, Jennifer/0000-0001-9652-2943; Fedak, Michael/0000-0002-9569-1128; Costa, Daniel Paul/0000-0002-0233-5782; Rogers, Tracey/0000-0002-7141-4177</t>
  </si>
  <si>
    <t>Natural Environment Research Council; BAS core science programme; US National Science Foundation [OPP-9815961]; National Science Foundation [ANT-0440687, ANT-0840375, ANT-0838937]; Natural Environment Research Council [bas0100025, smru10001] Funding Source: researchfish; NERC [bas0100025] Funding Source: UKRI</t>
  </si>
  <si>
    <t>Natural Environment Research Council(UK Research &amp; Innovation (UKRI)Natural Environment Research Council (NERC)); BAS core science programme; US National Science Foundation(National Science Foundation (NSF)); National Science Foundation(National Science Foundation (NSF)); Natural Environment Research Council(UK Research &amp; Innovation (UKRI)Natural Environment Research Council (NERC)); NERC(UK Research &amp; Innovation (UKRI)Natural Environment Research Council (NERC))</t>
  </si>
  <si>
    <t>We thank a large number of people who participated or assisted in the preparation and development of the survey and data collation. We thank Dr. Lesley Thompson and the pilots of the British Antarctic Survey (BAS) air unit for their work. The Natural Environment Research Council funded the survey, and this analysis was funded as part of the BAS core science programme. Crabeater seal instrumentation was carried out under permits of the Commonwealth of Australia Antarctic Seals Conservation Regulations and was approved by the Antarctic Animal Ethics Committee. Leopard seal handling was authorized and endorsed by the Australian Antarctic Science Animal Care and Ethics Committee No. 1144. This work was partly supported by the US National Science Foundation under Grant OPP-9815961, and additional work in the Antarctic Peninsula was supported by the National Science Foundation under Grants ANT-0440687, ANT-0840375, ANT-0838937, and ANT-0440687. This manuscript is contribution No. 716 to the US GLOBEC programme.</t>
  </si>
  <si>
    <t>0006-3207</t>
  </si>
  <si>
    <t>1873-2917</t>
  </si>
  <si>
    <t>BIOL CONSERV</t>
  </si>
  <si>
    <t>Biol. Conserv.</t>
  </si>
  <si>
    <t>10.1016/j.biocon.2012.02.002</t>
  </si>
  <si>
    <t>Biodiversity Conservation; Ecology; Environmental Sciences</t>
  </si>
  <si>
    <t>Biodiversity &amp; Conservation; Environmental Sciences &amp; Ecology</t>
  </si>
  <si>
    <t>964UY</t>
  </si>
  <si>
    <t>WOS:000305723400006</t>
  </si>
  <si>
    <t>Cai, MH; Xie, ZY; Möller, A; Yin, ZG; Huang, P; Cai, MG; Yang, HZ; Sturm, R; He, JF; Ebinghaus, R</t>
  </si>
  <si>
    <t>Cai, Minghong; Xie, Zhiyong; Moeller, Axel; Yin, Zhigao; Huang, Peng; Cai, Minggang; Yang, Haizhen; Sturm, Renate; He, Jianfeng; Ebinghaus, Ralf</t>
  </si>
  <si>
    <t>Polyfluorinated compounds in the atmosphere along a cruise pathway from the Japan Sea to the Arctic Ocean</t>
  </si>
  <si>
    <t>CHEMOSPHERE</t>
  </si>
  <si>
    <t>Polyfluoroalkyl compounds; FTOHs; FTAs; FASE/FASAs; Arctic</t>
  </si>
  <si>
    <t>FLUORINATED ORGANIC-COMPOUNDS; ATOM INITIATED OXIDATION; AIR CONCENTRATIONS; ALKYL SUBSTANCES; PERFLUOROALKYL CONTAMINANTS; FLUOROTELOMER ALCOHOLS; PERFLUORINATED ACIDS; TELOMER ALCOHOLS; OUTDOOR AIR; CHEMISTRY</t>
  </si>
  <si>
    <t>Neutral polyfluorinated alkyl substances (PFASs) were measured in high-volume air samples collected on board the research vessel Snow Dragon during the 4th Chinese National Arctic Expedition from the Japan Sea to the Arctic Ocean in 2010. Four volatile and semi-volatile PFASs (fluorotelomer alcohols (FTOHs), fluorotelomer acids (FTAs), perfluoroalkyl sulfonamides (FASAs), and sulfonamidoethanols (FASEs)) were analyzed respectively in the gas and particle phases. FTOHs were the dominant PFASs in the gas phase (61-358 pg m(-3)), followed by FTAs (5.2-47.9 pg m(-3)), FASEs (1.9-15.0 pg m(-3)), and FASAs (0.5-2.1 pg m(-3)). In the particle phase, the dominant PFAS class was FTOHs (1.0-9.9 pg m(-3)). The particle-associated fraction followed the general trend of FASEs &gt; FASAs &gt; FTOHs. Compared with other atmospheric PFAS measurements, the ranges of concentrations of Sigma FTOH in this study were similar to those reported from Toronto, north America (urban), the northeast Atlantic Ocean, and northern Germany. Significant correlations between FASEs in the gas phase and ambient air temperature indicate that cold surfaces such as sea-ice, snowpack, and surface seawater influence atmospheric FASEs. (C) 2011 Elsevier Ltd. All rights reserved.</t>
  </si>
  <si>
    <t>[Cai, Minghong; He, Jianfeng] Polar Res Inst China, SOA Key Lab Polar Sci, Shanghai 200136, Peoples R China; [Cai, Minghong; Yin, Zhigao; Yang, Haizhen] Tongji Univ, Coll Environm Sci &amp; Engn, Shanghai 200092, Peoples R China; [Xie, Zhiyong; Moeller, Axel; Sturm, Renate; Ebinghaus, Ralf] Ctr Mat &amp; Coastal Res GmbH, Helmholtz Zentrum Geesthacht, Inst Coastal Res, D-21502 Geesthacht, Germany; [Huang, Peng; Cai, Minggang] Xiamen Univ, Coll Oceanog &amp; Environm Sci, Xiamen 361005, Peoples R China</t>
  </si>
  <si>
    <t>Polar Research Institute of China; Tongji University; Helmholtz Association; Helmholtz-Zentrum Hereon; Xiamen University</t>
  </si>
  <si>
    <t>Cai, MH (corresponding author), Polar Res Inst China, SOA Key Lab Polar Sci, Shanghai 200136, Peoples R China.</t>
  </si>
  <si>
    <t>caiminghong@pric.gov.cn; zhiyong.xie@hzg.de</t>
  </si>
  <si>
    <t>Xie, Zhiyong/E-8436-2014; HUANG, Shuiying/C-3117-2014; cai, minggang/G-3979-2010; Huang, Peng/E-8571-2017</t>
  </si>
  <si>
    <t>cai, minggang/0000-0003-2828-0529; Huang, Peng/0000-0001-7038-3869</t>
  </si>
  <si>
    <t>National Natural Science Foundation of China [40776003]; State Oceanic Administration of the People's Republic of China [200805095]</t>
  </si>
  <si>
    <t>National Natural Science Foundation of China(National Natural Science Foundation of China (NSFC)); State Oceanic Administration of the People's Republic of China</t>
  </si>
  <si>
    <t>We wish to express our sincere gratitude to all members of the 4th Chinese National Arctic Research Expedition. This research was supported by the National Natural Science Foundation of China (No. 40776003) and the Ocean Public Welfare Scientific Research Project, State Oceanic Administration of the People's Republic of China (No. 200805095). We acknowledge Volker Matthias (HZG) for help in plotting the BTs, and the Chinese National Arctic and Antarctic Data Center for providing meteorological data (http://www.chinare.org.cn).</t>
  </si>
  <si>
    <t>0045-6535</t>
  </si>
  <si>
    <t>1879-1298</t>
  </si>
  <si>
    <t>Chemosphere</t>
  </si>
  <si>
    <t>10.1016/j.chemosphere.2011.11.010</t>
  </si>
  <si>
    <t>932LN</t>
  </si>
  <si>
    <t>WOS:000303292700001</t>
  </si>
  <si>
    <t>Morley, SA; Hirse, T; Thorne, MAS; Pörtner, HO; Peck, LS</t>
  </si>
  <si>
    <t>Morley, Simon A.; Hirse, Timo; Thorne, Michael A. S.; Poertner, Hans O.; Peck, Lloyd S.</t>
  </si>
  <si>
    <t>Physiological plasticity, long term resistance or acclimation to temperature, in the Antarctic bivalve, Laternula elliptica</t>
  </si>
  <si>
    <t>COMPARATIVE BIOCHEMISTRY AND PHYSIOLOGY A-MOLECULAR &amp; INTEGRATIVE PHYSIOLOGY</t>
  </si>
  <si>
    <t>Beneficial acclimation; Aerobic metabolism; Anaerobic metabolism; Tissue energy status; Oxygen limitation</t>
  </si>
  <si>
    <t>THERMAL TOLERANCE; SOUTHERN-OCEAN; CAPACITY; VULNERABILITY; GROWTH; LIMPET; OXYGEN; ADAPTATION; TEMPOS; FISH</t>
  </si>
  <si>
    <t>To further investigate the previously reported limited acclimation capacities of Antarctic marine stenotherms, the Antarctic mud clam, Laternula elliptica (King and Broderip, 1830-1831), was incubated at 3.0 degrees C for 89 days. The thermal windows of a suite of biochemical and physiological metrics that characterise tissue aerobic status, were then measured in response to acute temperature elevation (2-2.5 degrees C increase per week). To test if acclimation had occurred at the higher temperature, results were compared with published data, from the preceding year, for L elliptica which had been incubated at ambient temperature (0.0 degrees C) and then subjected to the same acute temperature treatments. Incubation to 3.0 degrees C led to a temperature induced increase of tissue aerobic status (reduced intracellular cCO(2) with increased O-2 consumption, PLA (phospho-L-arginine) and ATP). At the highest acute temperature (7.5 degrees C) the increase in anaerobic pathways (summed acetate/succinate and propionate) was less after 3.0 degrees C than 0.0 degrees C incubation. No other metric shifted its reaction norm in response to acute temperature elevation and so whole animal acclimation had not occurred, even after 3 months at 3.0 degrees C. Combined with the constant mortality throughout the 3.0 degrees C incubation period, these data suggest that the recorded physiological changes were either the early stages of acclimation or, more likely, time limited resistance mechanisms. (C) 2012 Elsevier Inc. All rights reserved.</t>
  </si>
  <si>
    <t>[Morley, Simon A.; Thorne, Michael A. S.; Peck, Lloyd S.] British Antarctic Survey, Nat Environm Res Council, Cambridge CB3 0ET, England; [Hirse, Timo; Poertner, Hans O.] Alfred Wegener Inst Polar &amp; Marine Res, D-27515 Bremerhaven, Germany</t>
  </si>
  <si>
    <t>UK Research &amp; Innovation (UKRI); Natural Environment Research Council (NERC); NERC British Antarctic Survey; Helmholtz Association; Alfred Wegener Institute, Helmholtz Centre for Polar &amp; Marine Research</t>
  </si>
  <si>
    <t>Morley, SA (corresponding author), British Antarctic Survey, Nat Environm Res Council, Madingley Rd, Cambridge CB3 0ET, England.</t>
  </si>
  <si>
    <t>smor@bas.ac.uk</t>
  </si>
  <si>
    <t>Pörtner, Hans-O./0000-0001-6535-6575; Thorne, Michael/0000-0001-7759-612X</t>
  </si>
  <si>
    <t>Natural Environment Research Council; NERC [2/34]; AWI PACES; Natural Environment Research Council [dml011000, bas0100025] Funding Source: researchfish; NERC [dml011000, bas0100025] Funding Source: UKRI</t>
  </si>
  <si>
    <t>Natural Environment Research Council(UK Research &amp; Innovation (UKRI)Natural Environment Research Council (NERC)); NERC(UK Research &amp; Innovation (UKRI)Natural Environment Research Council (NERC)); AWI PACES; Natural Environment Research Council(UK Research &amp; Innovation (UKRI)Natural Environment Research Council (NERC)); NERC(UK Research &amp; Innovation (UKRI)Natural Environment Research Council (NERC))</t>
  </si>
  <si>
    <t>This study meets the requirements of current UK legislation. We thank the wintering marine team at Rothera Research Station (particularly Matt Brown and Paul Mann) and David Hoffmannbeck, Christian Polleichtner and Annecke Macrander who helped analyse tissue samples. This study is part of the British Antarctic Survey's Polar Science for Planet Earth programme (Ecosystems/Adaptations and Physiology), funded by the Natural Environment Research Council. SAM and LSP were also funded by NERC Antarctic Funding Initiative grant 2/34. HOP and TH were funded by the AWI PACES program.</t>
  </si>
  <si>
    <t>1095-6433</t>
  </si>
  <si>
    <t>1531-4332</t>
  </si>
  <si>
    <t>COMP BIOCHEM PHYS A</t>
  </si>
  <si>
    <t>Comp. Biochem. Physiol. A-Mol. Integr. Physiol.</t>
  </si>
  <si>
    <t>10.1016/j.cbpa.2012.01.009</t>
  </si>
  <si>
    <t>Biochemistry &amp; Molecular Biology; Physiology; Zoology</t>
  </si>
  <si>
    <t>924EF</t>
  </si>
  <si>
    <t>WOS:000302673300003</t>
  </si>
  <si>
    <t>Renner, AHH; Thorpe, SE; Heywood, KJ; Murphy, EJ; Watkins, JL; Meredith, MP</t>
  </si>
  <si>
    <t>Renner, Angelika H. H.; Thorpe, Sally E.; Heywood, Karen J.; Murphy, Eugene J.; Watkins, Jon L.; Meredith, Michael P.</t>
  </si>
  <si>
    <t>Advective pathways near the tip of the Antarctic Peninsula: Trends, variability and ecosystem implications</t>
  </si>
  <si>
    <t>Ocean circulation; Southern annular mode; Weddell Sea; Scotia Sea; Antarctic krill; Lagrangian drifter modelling</t>
  </si>
  <si>
    <t>KRILL EUPHAUSIA-SUPERBA; SCOTIA SEA; OCEAN; TRANSPORT; MODEL; FLUCTUATIONS; CONNECTIONS; CIRCULATION; PREDATORS; IMPACT</t>
  </si>
  <si>
    <t>Pathways and rates of ocean flow near the Antarctic Peninsula are strongly affected by frontal features, forcings from the atmosphere and the cryosphere. In the surface mixed layer, the currents advect material from the northwestern Weddell Sea on the eastern side of the Peninsula around the tip of the Peninsula to its western side and into the Scotia Sea, connecting populations of Antarctic krill (Euphausia superba) and supporting the ecosystem of the region. Modelling of subsurface drifters using a particle tracking algorithm forced by the velocity fields of a coupled sea ice-ocean model (ORCA025-LIM2) allows analysis of the seasonal and interannual variability of drifter pathways over 43 years. The results show robust and persistent connections from the Weddell Sea both to the west into the Bellingshausen Sea and across the Scotia Sea towards South Georgia, reproducing well the observations. The fate of the drifters is sensitive to their deployment location, in addition to other factors. From the shelf of the eastern Antarctic Peninsula, the majority enter the Bransfield Strait and subsequently the Bellingshausen Sea. When originating further offshore over the deeper Weddell Sea, drifters are more likely to cross the South Scotia Ridge and reach South Georgia. However, the wind field east and southeast of Elephant Island, close to the tip of the Peninsula, is crucial for the drifter trajectories and is highly influenced by the Southern Annular Mode (SAM). Increased advection and short travel times to South Georgia, and reduced advection to the western Antarctic Peninsula can be linked to strong westerlies, a signature of the positive phase of the SAM. The converse is true for the negative phase. Strong westerlies and shifts of ocean fronts near the tip of the Peninsula that are potentially associated with both the SAM and the El Nino-Southern Oscillation restrict the connection from the Weddell Sea to the west, and drifters then predominantly follow the open paths to South Georgia and the east. Over the 43-year time series, the number of drifters advected into the Bellingshausen Sea decreases significantly by 23% and the travel time to South Georgia shortens significantly by 19% which corresponds to 56 days. We propose that these trends are linked, at least in part, to the increasingly positive trend in the SAM and, as such, this suggests an additional anthropogenic source of change to the regional ecosystem. (C) 2012 Elsevier Ltd. All rights reserved.</t>
  </si>
  <si>
    <t>[Renner, Angelika H. H.; Thorpe, Sally E.; Murphy, Eugene J.; Watkins, Jon L.; Meredith, Michael P.] British Antarctic Survey, Nat Environm Res Council, Cambridge CB3 0ET, England; [Renner, Angelika H. H.; Heywood, Karen J.] Univ E Anglia, Sch Environm Sci, Norwich NR4 7TJ, Norfolk, England</t>
  </si>
  <si>
    <t>UK Research &amp; Innovation (UKRI); Natural Environment Research Council (NERC); NERC British Antarctic Survey; University of East Anglia</t>
  </si>
  <si>
    <t>Renner, AHH (corresponding author), Norwegian Polar Res Inst, Fram Ctr, N-9296 Tromso, Norway.</t>
  </si>
  <si>
    <t>angelika.renner@npolar.no</t>
  </si>
  <si>
    <t>murphy, eugene/GZL-1620-2022; Heywood, Karen/L-1757-2016</t>
  </si>
  <si>
    <t>Heywood, Karen/0000-0001-9859-0026; Meredith, Michael/0000-0002-7342-7756; Thorpe, Sally/0000-0002-5193-6955; Renner, Angelika/0000-0002-9997-6366</t>
  </si>
  <si>
    <t>Laboratoire des Ecoulement Geophysique et Industriels in Grenoble, France; EU by the European Commission Marie-Curie Actions at the School of Environmental Sciences, University of East Anglia; British Antarctic Survey [MEST-CT-2004-514159]; NERC [bas0100025, bas0100028, NE/C50633X/1] Funding Source: UKRI; Natural Environment Research Council [bas0100025, bas0100028, NE/C50633X/1] Funding Source: researchfish</t>
  </si>
  <si>
    <t>Laboratoire des Ecoulement Geophysique et Industriels in Grenoble, France; EU by the European Commission Marie-Curie Actions at the School of Environmental Sciences, University of East Anglia(European Union (EU)); British Antarctic Survey; NERC(UK Research &amp; Innovation (UKRI)Natural Environment Research Council (NERC)); Natural Environment Research Council(UK Research &amp; Innovation (UKRI)Natural Environment Research Council (NERC))</t>
  </si>
  <si>
    <t>We thank Jean-Marc Molines and Bernard Barnier at the Laboratoire des Ecoulement Geophysique et Industriels in Grenoble, France, for providing ORCA025 data and support, Andrew Thompson for valuable discussions and comments, and colleagues at BAS and UEA for their input. Comments from three anonymous reviewers helped improve the manuscript.; This work was funded by a EU Marie Curie Early Stage Training Fellowship in Antarctic Air-Sea-Ice Science (FAASIS) by the European Commission Marie-Curie Actions at the School of Environmental Sciences, University of East Anglia, and the British Antarctic Survey, Contract No. MEST-CT-2004-514159. The ADELIE drifters and their analysis were supported by the U.K. Natural Environment Research Council (NERC) through the Antarctic Funding Initiative, AFI6/25.</t>
  </si>
  <si>
    <t>10.1016/j.dsr.2012.01.009</t>
  </si>
  <si>
    <t>WOS:000303619000007</t>
  </si>
  <si>
    <t>Kirillov, SA; Dmitrenko, IA; Ivanov, VV; Aksenov, EO; Makhotin, MS; de Quevas, BA</t>
  </si>
  <si>
    <t>Kirillov, S. A.; Dmitrenko, I. A.; Ivanov, V. V.; Aksenov, E. O.; Makhotin, M. S.; de Quevas, B. A.</t>
  </si>
  <si>
    <t>The influence of atmospheric circulation on the dynamics of the intermediate water layer in the eastern part of the St. Anna Trough</t>
  </si>
  <si>
    <t>DOKLADY EARTH SCIENCES</t>
  </si>
  <si>
    <t>ATLANTIC WATER; ARCTIC-OCEAN</t>
  </si>
  <si>
    <t>This paper discusses the results of unique direct observations over the current velocities in the eastern part of the St. Anna deep-water trough, made in the period from August 2009 until September 2010, and analyzes the physical ways how the temporal variability of currents is formed. The stable northward barotropic transport with an average annual velocity of about 20 cm/s was discovered. It was found that changes in velocity with a characteristic timescale of several weeks occurred synchronously in the entire water column and were determined by the deformation of the sea level field due to long-period disturbances of the large-scale field of ground wind above the northern parts of Barents and Kara seas. For the winds of the southwest and west directions, the sea level's gradient is formed across the St. Anna Trough and the northward meridional water transport is intensified owing to the geostrophic adjustment. These are verified by the results of numerical simulation.</t>
  </si>
  <si>
    <t>[Kirillov, S. A.; Ivanov, V. V.; Makhotin, M. S.] Arctic &amp; Antarctic Res Inst, St Petersburg 199397, Russia; [Dmitrenko, I. A.; Aksenov, E. O.; de Quevas, B. A.] Univ Kiel, Leibniz Inst Marine Sci, Kiel, Germany; Univ Southampton, Natl Oceanog Ctr, Southampton, Hants, England</t>
  </si>
  <si>
    <t>Arctic &amp; Antarctic Research Institute; Helmholtz Association; GEOMAR Helmholtz Center for Ocean Research Kiel; University of Kiel; NERC National Oceanography Centre; University of Southampton</t>
  </si>
  <si>
    <t>Kirillov, SA (corresponding author), Arctic &amp; Antarctic Res Inst, Ul Beringa 38, St Petersburg 199397, Russia.</t>
  </si>
  <si>
    <t>skirillov@aari.ru; idmitrienko@ifm-geomar.de</t>
  </si>
  <si>
    <t>Makhotin, Mikhail/K-8861-2016; Ivanov, Vladimir/J-5979-2014; Ivanov, Vladimir/AAX-6830-2020</t>
  </si>
  <si>
    <t>Ivanov, Vladimir/0000-0003-2569-6027; Dmitrenko, Igor/0000-0001-8388-7839</t>
  </si>
  <si>
    <t>NERC [noc010005, noc010010] Funding Source: UKRI; Natural Environment Research Council [noc010005, noc010010] Funding Source: researchfish</t>
  </si>
  <si>
    <t>NERC(UK Research &amp; Innovation (UKRI)Natural Environment Research Council (NERC)); Natural Environment Research Council(UK Research &amp; Innovation (UKRI)Natural Environment Research Council (NERC))</t>
  </si>
  <si>
    <t>1028-334X</t>
  </si>
  <si>
    <t>1531-8354</t>
  </si>
  <si>
    <t>DOKL EARTH SCI</t>
  </si>
  <si>
    <t>Dokl. Earth Sci.</t>
  </si>
  <si>
    <t>10.1134/S1028334X12050121</t>
  </si>
  <si>
    <t>953LX</t>
  </si>
  <si>
    <t>WOS:000304870400019</t>
  </si>
  <si>
    <t>Jamieson, RE; Rogers, AD; Billett, DSM; Smale, DA; Pearce, DA</t>
  </si>
  <si>
    <t>Jamieson, Rachel E.; Rogers, Alex D.; Billett, David S. M.; Smale, Dan A.; Pearce, David A.</t>
  </si>
  <si>
    <t>Patterns of marine bacterioplankton biodiversity in the surface waters of the Scotia Arc, Southern Ocean</t>
  </si>
  <si>
    <t>FEMS MICROBIOLOGY ECOLOGY</t>
  </si>
  <si>
    <t>bacteria; Antarctic; marine; patchiness; distribution; Southern Ocean</t>
  </si>
  <si>
    <t>16S RIBOSOMAL-RNA; GRADIENT GEL-ELECTROPHORESIS; TARGETED OLIGONUCLEOTIDE PROBES; BACTERIAL COMMUNITY STRUCTURE; IN-SITU DETECTION; PHYLOGENETIC DIVERSITY; PLANKTONIC ARCHAEA; SEASONAL-CHANGES; CLONE LIBRARIES; COASTAL WATERS</t>
  </si>
  <si>
    <t>Spatial patchiness in marine surface bacterioplankton populations was investigated in the Southern Ocean, where the Antarctic Circumpolar Current meets the islands of the Scotia Arc and is subjected to terrestrial input, upwelling of nutrients and seasonal phytoplankton blooms. Total bacterioplankton population density, group-specific taxonomic distribution and six of eight dominant members of the bacterioplankton community were found to be consistent across 18 nearshore sites at eight locations around the Scotia Arc. Results from seven independent 16S rRNA gene clone libraries (1223 sequences in total) and fluorescent in situ hybridization suggested that microbial assemblages were predominantly homogeneous between Scotia Arc sites, where the Alphaproteobacteria, Gammaproteobacteria and the CytophagaFlavobacteriumBacteroidetes cluster were the dominant bacterial groups. Of the 1223 useable sequences generated, 1087 (89%) shared =similar to 97% similarity with marine microorganisms and 331 (27%) matched published sequences previously detected in permanently cold Arctic and Antarctic marine environments. Taken together, results suggest that the dominant bacterioplankton groups are consistent between locations, but significant differences may be detected across the rare biodiversity.</t>
  </si>
  <si>
    <t>[Jamieson, Rachel E.; Pearce, David A.] British Antarctic Survey, Nat Environm Res Council, Cambridge CB3 OET, England; [Rogers, Alex D.] Univ Oxford, Dept Zool, Oxford OX1 3PS, England; [Billett, David S. M.] Univ Southampton, Natl Oceanog Ctr, Southampton, Hants, England; [Smale, Dan A.] Univ Western Australia, Sch Plant Biol, Crawley, Australia; [Smale, Dan A.] Univ Western Australia, UWA Oceans Inst, Crawley, Australia</t>
  </si>
  <si>
    <t>UK Research &amp; Innovation (UKRI); Natural Environment Research Council (NERC); NERC British Antarctic Survey; University of Oxford; NERC National Oceanography Centre; University of Southampton; University of Western Australia; University of Western Australia</t>
  </si>
  <si>
    <t>Pearce, DA (corresponding author), British Antarctic Survey, Nat Environm Res Council, Madingley Rd, Cambridge CB3 OET, England.</t>
  </si>
  <si>
    <t>dpearce@bas.ac.uk</t>
  </si>
  <si>
    <t>Smale, Daniel/Y-2909-2019; Smale, Dan A/B-3240-2011</t>
  </si>
  <si>
    <t>Smale, Daniel/0000-0003-4157-541X; Pearce, David/0000-0001-5292-4596; Rogers, Alex David/0000-0002-4864-2980</t>
  </si>
  <si>
    <t>Natural Environment Research Council through the Crozet consortium [NER/A/S/2003/00574.2004]; Natural Environment Research Council through BAS Global Science in the Antarctic Context; NERC [noc010004, bas0100025, noc010009] Funding Source: UKRI; Natural Environment Research Council [bas0100025, noc010004, noc010009] Funding Source: researchfish</t>
  </si>
  <si>
    <t>Natural Environment Research Council through the Crozet consortium; Natural Environment Research Council through BAS Global Science in the Antarctic Context; NERC(UK Research &amp; Innovation (UKRI)Natural Environment Research Council (NERC)); Natural Environment Research Council(UK Research &amp; Innovation (UKRI)Natural Environment Research Council (NERC))</t>
  </si>
  <si>
    <t>This work was supported by the Natural Environment Research Council, through the Crozet consortium Grant No, NER/A/S/2003/00574.2004 and through BAS Global Science in the Antarctic Context - Long Term Monitoring and Survey Programme (LTMSB task 7). We would also like to thank the Master and crew of the James Clark Ross for their help and support on cruise JR144 and two anonymous reviewers for improving the manuscript.</t>
  </si>
  <si>
    <t>0168-6496</t>
  </si>
  <si>
    <t>1574-6941</t>
  </si>
  <si>
    <t>FEMS MICROBIOL ECOL</t>
  </si>
  <si>
    <t>FEMS Microbiol. Ecol.</t>
  </si>
  <si>
    <t>10.1111/j.1574-6941.2012.01313.x</t>
  </si>
  <si>
    <t>923HP</t>
  </si>
  <si>
    <t>WOS:000302610700017</t>
  </si>
  <si>
    <t>Unterseher, M; Petzold, A; Schnittler, M</t>
  </si>
  <si>
    <t>Unterseher, Martin; Petzold, Anne; Schnittler, Martin</t>
  </si>
  <si>
    <t>Xerotolerant foliar endophytic fungi of Populus euphratica from the Tarim River basin, Central China are conspecific to endophytic ITS phylotypes of Populus tremula from temperate Europe</t>
  </si>
  <si>
    <t>FUNGAL DIVERSITY</t>
  </si>
  <si>
    <t>Frost-drought tolerance; Extremophile; Alternaria; Cladosporium; Penicillium; Evolution of endophytism</t>
  </si>
  <si>
    <t>MOLECULAR CHARACTERIZATION; TRANSITION ZONE; DIVERSITY; PATHOGEN; LEAVES; PHYLOGENY; EVOLUTION; COMMUNITIES; MICROFUNGI; TAXONOMY</t>
  </si>
  <si>
    <t>Fungal research on non-lichenized taxa in xeric and other unusual habitats for fungi is comparatively scarce but constantly reveal an enormous ecological and functional adaptiveness of these organisms to extremes. This holds true in the topmost forest canopies as well as in marine, arctic, antarctic or desert habitats. In the present study dried leaves of Populus euphratica from a continental desert area in Central China were investigated for endophytic fungi 6 weeks after sampling by cultivation of small leaf fragments. Thirty-five species, many of them well-known from extreme environments, were delimitated from as few as 58 isolates by a combined analysis of morphotypes, micromorphology and ITS sequences. Meta-analyses revealed pronounced conspecificity to endophytes from Populus tremula leaves, but significant differences to foliar endophytic assemblages in Pinus monticola and Fagus sylvatica. The deduced high similarity of endophytic communities on both Populus species compared with that on Pinus and Fagus suggests that many fungal phyllosphere species show a well-pronounced host preference, at least for their endophytic stages. In addition, it demonstrates that leaving leaves as a microhabitat might provide similar conditions such as constantly high relative humidity, regardless of the surrounding climatic conditions. The evolution of extremotolerance might be of particular importance for retaining competitiveness of foliar endophytes in deciduous host trees after loss of pathogenicity.</t>
  </si>
  <si>
    <t>[Unterseher, Martin; Petzold, Anne; Schnittler, Martin] Ernst Moritz Arndt Univ Greifswald, Dept Systemat Bot, Inst Bot &amp; Landscape Ecol, D-17487 Greifswald, Germany</t>
  </si>
  <si>
    <t>Universitat Greifswald</t>
  </si>
  <si>
    <t>Unterseher, M (corresponding author), Ernst Moritz Arndt Univ Greifswald, Dept Systemat Bot, Inst Bot &amp; Landscape Ecol, Grimmer Str 88, D-17487 Greifswald, Germany.</t>
  </si>
  <si>
    <t>martin.unterseher@uni-greifswald.de</t>
  </si>
  <si>
    <t>Schnittler, Martin/A-8916-2013; Unterseher, Martin/B-2381-2014</t>
  </si>
  <si>
    <t>German Science Foundation (DFG) [DFG SCHN 1080/1-1, SCHN 1080/3-1]</t>
  </si>
  <si>
    <t>German Science Foundation (DFG)(German Research Foundation (DFG))</t>
  </si>
  <si>
    <t>The authors thank their University and the Akademisches Auslandsamt Greifswald for funding within the Forschungsnetzwerk Ostseeraum 2011. MU thanks Urmas Koljalg, Leho Tedersoo and Kessy Abarenkov for introduction into UNITE and PlutoF, AP and MS thank the German Science Foundation (DFG) for funding (DFG SCHN 1080/1-1 and SCHN 1080/3-1).</t>
  </si>
  <si>
    <t>ONE NEW YORK PLAZA, SUITE 4600, NEW YORK, NY, UNITED STATES</t>
  </si>
  <si>
    <t>1560-2745</t>
  </si>
  <si>
    <t>1878-9129</t>
  </si>
  <si>
    <t>FUNGAL DIVERS</t>
  </si>
  <si>
    <t>Fungal Divers.</t>
  </si>
  <si>
    <t>SI</t>
  </si>
  <si>
    <t>10.1007/s13225-012-0167-8</t>
  </si>
  <si>
    <t>Mycology</t>
  </si>
  <si>
    <t>940HT</t>
  </si>
  <si>
    <t>WOS:000303881300012</t>
  </si>
  <si>
    <t>Lukianova, RY; Kozlovskii, A; Christiansen, F</t>
  </si>
  <si>
    <t>Lukianova, R. Yu; Kozlovskii, A.; Christiansen, F.</t>
  </si>
  <si>
    <t>Field-aligned currents in the winter and summer hemispheres caused by IMF By</t>
  </si>
  <si>
    <t>INTERPLANETARY MAGNETIC-FIELD; ART.; MAGNETOSPHERE; CONVECTION; MODEL</t>
  </si>
  <si>
    <t>Structures controlled by the IMF By sign and season of the year have been detected based on the decomposition of field-aligned current maps constructed using magnetic field measurements on polar low-orbiting satellites. It has been indicated that field-aligned currents have identical structures, composed of the main polar circular current and the return current at the polar cap dayside boundary, at any By sign in the summer hemisphere. Two different types of structures are implemented under winter conditions depending on the By sign. For the northern winter, it is the polar circular current and the return current at the polar cap nightside boundary at By &lt; 0; current sheets are strongly stretched along latitudes below 80A degrees MLat, and only small part of the current is in the noon sector of the polar cap. For the summer winter, the corresponding structures are implemented at opposite By signs. The intensities of the field-aligned currents, originating as a result of the interhemispheric asymmetry and flowing along closed geomagnetic field lines near the polar cap boundary, have been estimated. The maximum of the interhemispheric current density is 0.25 mu A m(-2) in the summer and 0.1 mu A m(-2) in the winter; the total current is 5 x 10(5) and 5 x 10(4) A, respectively.</t>
  </si>
  <si>
    <t>[Lukianova, R. Yu] Russian Acad Sci, Arctic &amp; Antarctic Res Inst, St Petersburg 199397, Russia; [Lukianova, R. Yu] Russian Acad Sci, Space Res Inst, Moscow 117997, Russia; [Kozlovskii, A.] Sodankyla Geophys Observ, Sodankyla 99600, Finland; [Christiansen, F.] Danish Tech Univ, Copenhagen, Denmark</t>
  </si>
  <si>
    <t>Arctic &amp; Antarctic Research Institute; Russian Academy of Sciences; Russian Academy of Sciences; Space Research Institute of the Russian Academy of Sciences; Technical University of Denmark</t>
  </si>
  <si>
    <t>Lukianova, RY (corresponding author), Russian Acad Sci, Arctic &amp; Antarctic Res Inst, Ul Beringa 38, St Petersburg 199397, Russia.</t>
  </si>
  <si>
    <t>renata@aari.nw.ru; kozlovsk@sun3.oulu.fi; fch@space.dtu.dk</t>
  </si>
  <si>
    <t>Lukianova, Renata/K-3293-2012; Christiansen, Freddy/AAW-9935-2021</t>
  </si>
  <si>
    <t>Lukianova, Renata/0000-0003-2343-9174; Christiansen, Freddy/0000-0001-9415-0621; Kozlovsky, Alexander/0000-0003-1468-7600</t>
  </si>
  <si>
    <t>1555-645X</t>
  </si>
  <si>
    <t>10.1134/S0016793212020089</t>
  </si>
  <si>
    <t>WOS:000304359700003</t>
  </si>
  <si>
    <t>Bradley, SL; Siddall, M; Milne, GA; Masson-Delmotte, V; Wolff, E</t>
  </si>
  <si>
    <t>Bradley, S. L.; Siddall, M.; Milne, G. A.; Masson-Delmotte, V.; Wolff, E.</t>
  </si>
  <si>
    <t>Where might we find evidence of a Last Interglacial West Antarctic Ice Sheet collapse in Antarctic ice core records?</t>
  </si>
  <si>
    <t>isostasy; ice cores; Antarctic Ice Sheet; eustatic sea level; Last Interglacial</t>
  </si>
  <si>
    <t>POSTGLACIAL SEA-LEVEL; GLACIAL ISOSTATIC-ADJUSTMENT; EPICA DOME-C; CLIMATE VARIABILITY; EAST ANTARCTICA; GREENLAND; MARINE; STABILITY; HOLOCENE; MAXIMUM</t>
  </si>
  <si>
    <t>Abundant indirect evidence suggests that the West Antarctic Ice Sheet (WAIS) reduced in size during the last Interglacial (LIG) compared to the Holocene. This study explores this possibility by comparing, for the first time, ice core stable isotope records for the LIG with output from a glacio-isostatic adjustment (GIA) model. The results show that ice core records from East Antarctica are remarkably insensitive to vertical movement of the solid land motion driven by a simulated hypothetical collapse of the WAIS. However, new and so far unexplored sites are identified which are sensitive to the isostatic signal associated with WAIS collapse and so ice core proxy data from these sites would be effective in testing this hypothesis further. (C) 2012 Elsevier B.V. All rights reserved.</t>
  </si>
  <si>
    <t>[Bradley, S. L.; Siddall, M.] Univ Bristol, Dept Earth Sci, Bristol, Avon, England; [Milne, G. A.] Univ Ottawa, Dept Earth Sci, Ottawa, ON, Canada; [Masson-Delmotte, V.] UVSQ, Lab Sci Climat &amp; Environm, CNRS, IPSL,CEA,UMR 8212, Gif Sur Yvette, France; [Wolff, E.] British Antarctic Survey, Cambridge CB3 0ET, England</t>
  </si>
  <si>
    <t>University of Bristol; University of Ottawa; Universite Paris Cite; Centre National de la Recherche Scientifique (CNRS); CNRS - National Institute for Earth Sciences &amp; Astronomy (INSU); Universite Paris Saclay; CEA; UK Research &amp; Innovation (UKRI); Natural Environment Research Council (NERC); NERC British Antarctic Survey</t>
  </si>
  <si>
    <t>Bradley, SL (corresponding author), Univ Bristol, Dept Earth Sci, Bristol, Avon, England.</t>
  </si>
  <si>
    <t>sarah.bradley@bristol.ac.uk</t>
  </si>
  <si>
    <t>IPO, PAGES/JXY-7546-2024; Wolff, Eric W/D-7925-2014; Masson-Delmotte, Valerie L/G-1995-2011</t>
  </si>
  <si>
    <t>Wolff, Eric W/0000-0002-5914-8531; Masson-Delmotte, Valerie L/0000-0001-8296-381X</t>
  </si>
  <si>
    <t>RCUK; University of Bristol; European Union [243908]; Natural Sciences and Engineering Research Council of Canada; Canada Research Chairs program; British Antarctic Survey's Polar Science for Planet Earth programme; NERC; ANR DOME A [ANR-07-BLAN-0125]; Agence Nationale de la Recherche (ANR) [ANR-07-BLAN-0125] Funding Source: Agence Nationale de la Recherche (ANR); Division Of Earth Sciences; Directorate For Geosciences [1023724] Funding Source: National Science Foundation; Natural Environment Research Council [bas0100024] Funding Source: researchfish; NERC [bas0100024] Funding Source: UKRI</t>
  </si>
  <si>
    <t>RCUK(UK Research &amp; Innovation (UKRI)); University of Bristol; European Union(European Union (EU)); Natural Sciences and Engineering Research Council of Canada(Natural Sciences and Engineering Research Council of Canada (NSERC)CGIAR); Canada Research Chairs program(Canada Research Chairs); British Antarctic Survey's Polar Science for Planet Earth programme; NERC(UK Research &amp; Innovation (UKRI)Natural Environment Research Council (NERC)); ANR DOME A(Agence Nationale de la Recherche (ANR)); Agence Nationale de la Recherche (ANR)(Agence Nationale de la Recherche (ANR)); Division Of Earth Sciences;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</si>
  <si>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Mark Siddall is supported by an RCUK fellowship and the University of Bristol. This is a contribution to the PALSEA working group. This is Past4Future contribution no. 12. The research leading to these results has received funding from the European Union's Seventh Framework Programme (FP7/2007-2013) under grant agreement no. 243908, Past4Future. Climate change - Learning from the past climate. Glenn Milne acknowledges support from the Natural Sciences and Engineering Research Council of Canada and the Canada Research Chairs program. Eric Wolff is supported by the British Antarctic Survey's Polar Science for Planet Earth programme, funded by NERC. Valerie Masson-Delmotte acknowledges support by the ANR DOME A project (ANR-07-BLAN-0125). The Tabs Dome Ice core Project (TALDICE), a joint European programme, is funded by national contributions from Italy, France, Germany, Switzerland and the United Kingdom. Primary logistical support was provided by PNRA at Talos Dome. This is TALDICE publication no is 19.</t>
  </si>
  <si>
    <t>10.1016/j.gloplacha.2012.03.004</t>
  </si>
  <si>
    <t>WOS:000304848800007</t>
  </si>
  <si>
    <t>Levy, J</t>
  </si>
  <si>
    <t>Levy, Joseph</t>
  </si>
  <si>
    <t>Hydrological characteristics of recurrent slope lineae on Mars: Evidence for liquid flow through regolith and comparisons with Antarctic terrestrial analogs</t>
  </si>
  <si>
    <t>ICARUS</t>
  </si>
  <si>
    <t>Mars; Mars, Surface; Earth; Regoliths</t>
  </si>
  <si>
    <t>PERMEABILITY; PERMAFROST</t>
  </si>
  <si>
    <t>On the basis of their morphology and seasonal thermal characteristics, recurrent slope lineae (RSL) on Mars have been inferred to be a possible result of the flow of a liquid (likely a saline brine) through the upper portions of the martian regolith. In this note, we analyze repeat HiRISE imaging of RSL to show that the downslope growth rate of recurrent slope lineae is well-fit by an elementary groundwater flow model that also describes the downslope propagat on of Antarctic water tracks (terrestrial analogs to RSL), and that the apparent permeability of RSL-bearing slopes is consistent with the observed sandy regolith substrate. (c) 2012 Elsevier Inc. All rights reserved.</t>
  </si>
  <si>
    <t>Oregon State Univ, Coll Earth Ocean &amp; Atmospher Sci, Corvallis, OR 97331 USA</t>
  </si>
  <si>
    <t>Oregon State University</t>
  </si>
  <si>
    <t>Levy, J (corresponding author), Oregon State Univ, Coll Earth Ocean &amp; Atmospher Sci, Corvallis, OR 97331 USA.</t>
  </si>
  <si>
    <t>jlevy@coas.oregonstate.edu</t>
  </si>
  <si>
    <t>Levy, Joseph/0000-0002-6222-139X</t>
  </si>
  <si>
    <t>Antarctic Organisms and Ecosystems Program in the Antarctic Sciences Division of the National Science Foundation (NSF) [ANT-0851965]</t>
  </si>
  <si>
    <t>Antarctic Organisms and Ecosystems Program in the Antarctic Sciences Division of the National Science Foundation (NSF)(National Science Foundation (NSF)NSF - Directorate for Geosciences (GEO))</t>
  </si>
  <si>
    <t>Thanks to Paul Morin and the Polar Geospatial Center for access to Quickbird image data. This work was supported in part by the Antarctic Organisms and Ecosystems Program in the Antarctic Sciences Division of the National Science Foundation (NSF) (Grant ANT-0851965). Thanks to Dr. Alfred McEwen and Dr. Ginny Gulick for their constructive reviews.</t>
  </si>
  <si>
    <t>ACADEMIC PRESS INC ELSEVIER SCIENCE</t>
  </si>
  <si>
    <t>SAN DIEGO</t>
  </si>
  <si>
    <t>525 B ST, STE 1900, SAN DIEGO, CA 92101-4495 USA</t>
  </si>
  <si>
    <t>0019-1035</t>
  </si>
  <si>
    <t>Icarus</t>
  </si>
  <si>
    <t>10.1016/j.icarus.2012.02.016</t>
  </si>
  <si>
    <t>975WA</t>
  </si>
  <si>
    <t>WOS:000306541000002</t>
  </si>
  <si>
    <t>Fastook, JL; Head, JW; Marchant, DR; Forget, F; Madeleine, JB</t>
  </si>
  <si>
    <t>Fastook, James L.; Head, James W.; Marchant, David R.; Forget, Francois; Madeleine, Jean-Baptiste</t>
  </si>
  <si>
    <t>Early Mars climate near the Noachian-Hesperian boundary: Independent evidence for cold conditions from basal melting of the south polar ice sheet (Dorsa Argentea Formation) and implications for valley network formation</t>
  </si>
  <si>
    <t>Mars; Mars, climate; Mars, polar caps; Mars, polar geology</t>
  </si>
  <si>
    <t>GENERAL-CIRCULATION MODEL; FAN-SHAPED DEPOSIT; MONS; SURFACE; GLACIATION; EVOLUTION; MELTWATER; GLACIERS; HYDROGEN; HISTORY</t>
  </si>
  <si>
    <t>Currently, and throughout much of the Amazonian, the mean annual surface temperatures of Mars are so cold that basal melting does not occur in ice sheets and glaciers and they are cold-based. The documented evidence for extensive and well-developed eskers (sediment-filled former sub-glacial meltwater channels) in the south circumpolar Dorsa Argentea Formation is an indication that basal melting and wet-based glaciation occurred at the South Pole near the Noachian-Hesperian boundary. We employ glacial accumulation and ice-flow models to distinguish between basal melting from bottom-up heat sources (elevated geothermal fluxes) and top-down induced basal melting (elevated atmospheric temperatures warming the ice). We show that under mean annual south polar atmospheric temperatures (-100 degrees C) simulated in typical Amazonian climate experiments and typical Noachian-Hesperian geothermal heat fluxes (45-65 mW/m(2)), south polar ice accumulations remain cold-based. In order to produce significant basal melting with these typical geothermal heat fluxes, the mean annual south polar atmospheric temperatures must be raised from today's temperature at the surface (-100 degrees C) to the range of 50 to 75 degrees C. This mean annual polar surface atmospheric temperature range implies lower latitude mean annual temperatures that are likely to be below the melting point of water, and thus does not favor a warm and wet early Mars. Seasonal temperatures at lower latitudes, however, could range above the melting point of water, perhaps explaining the concurrent development of valley networks and open basin lakes in these areas. This treatment provides an independent estimate of the polar (and non-polar) surface temperatures near the Noachian-Hesperian boundary of Mars history and implies a cold and relatively dry Mars climate, similar to the Antarctic Dry Valleys, where seasonal melting forms transient streams and permanent ice-covered lakes in an otherwise hyperarid, hypothermal climate. (c) 2012 Elsevier Inc. All rights reserved.</t>
  </si>
  <si>
    <t>[Head, James W.; Madeleine, Jean-Baptiste] Brown Univ, Dept Geol Sci, Providence, RI 02912 USA; [Fastook, James L.] Univ Maine, Orono, ME 04469 USA; [Marchant, David R.] Boston Univ, Dept Earth Sci, Boston, MA 02215 USA; [Forget, Francois] Univ Paris 06, Meteorol Dynam Lab, Inst Pierre Simon Laplace, F-75252 Paris 05, France</t>
  </si>
  <si>
    <t>Brown University; University of Maine System; University of Maine Orono; Boston University; Universite Paris Saclay; Universite Paris Cite; Centre National de la Recherche Scientifique (CNRS); CNRS - National Institute for Earth Sciences &amp; Astronomy (INSU); Sorbonne Universite</t>
  </si>
  <si>
    <t>Head, JW (corresponding author), Brown Univ, Dept Geol Sci, Providence, RI 02912 USA.</t>
  </si>
  <si>
    <t>fastook@maine.edu; james_head@brown.edu</t>
  </si>
  <si>
    <t>Fastook, James L./J-1465-2019</t>
  </si>
  <si>
    <t>Fastook, James L./0000-0003-3900-671X</t>
  </si>
  <si>
    <t>NASA through the Mars Data Analysis Program; Mars Express HRSC Team; NSF for development of the terrestrial version of UMISM</t>
  </si>
  <si>
    <t>We gratefully acknowledge the scientists and engineers contributing to the success of the NASA Mars Observer, Mars Odyssey, and Mars Reconnaissance Orbiter, and the ESA Mars Express missions. J.W.H. gratefully acknowledges support from NASA through the Mars Data Analysis Program and the Mars Express HRSC Team. J.L.F. gratefully acknowledges support from the NSF for development of the terrestrial version of UMISM through many grants. Thanks are extended to Anne Cote for assistance in manuscript preparation.</t>
  </si>
  <si>
    <t>1090-2643</t>
  </si>
  <si>
    <t>10.1016/j.icarus.2012.02.013</t>
  </si>
  <si>
    <t>WOS:000306541000005</t>
  </si>
  <si>
    <t>Lee, CK; Barbier, BA; Bottos, EM; McDonald, IR; Cary, SC</t>
  </si>
  <si>
    <t>Lee, Charles K.; Barbier, Beatrice A.; Bottos, Eric M.; McDonald, Ian R.; Cary, Stephen Craig</t>
  </si>
  <si>
    <t>The Inter-Valley Soil Comparative Survey: the ecology of Dry Valley edaphic microbial communities</t>
  </si>
  <si>
    <t>ISME JOURNAL</t>
  </si>
  <si>
    <t>Antarctica; Dry Valleys; geochemistry; mineral soil</t>
  </si>
  <si>
    <t>16S RIBOSOMAL-RNA; MULTIPLE SEQUENCE ALIGNMENT; VICTORIA LAND; WRIGHT VALLEY; DIVERSITY; BIODIVERSITY; DESERT; BIOGEOCHEMISTRY; PRODUCTIVITY; SENSITIVITY</t>
  </si>
  <si>
    <t>Recent applications of molecular genetics to edaphic microbial communities of the McMurdo Dry Valleys and elsewhere have rejected a long-held belief that Antarctic soils contain extremely limited microbial diversity. The Inter-Valley Soil Comparative Survey aims to elucidate the factors shaping these unique microbial communities and their biogeography by integrating molecular genetic approaches with biogeochemical analyses. Although the microbial communities of Dry Valley soils may be complex, there is little doubt that the ecosystem's food web is relatively simple, and evidence suggests that physicochemical conditions may have the dominant role in shaping microbial communities. To examine this hypothesis, bacterial communities from representative soil samples collected in four geographically disparate Dry Valleys were analyzed using molecular genetic tools, including pyrosequencing of 16S rRNA gene PCR amplicons. Results show that the four communities are structurally and phylogenetically distinct, and possess significantly different levels of diversity. Strikingly, only 2 of 214 phylotypes were found in all four valleys, challenging a widespread assumption that the microbiota of the Dry Valleys is composed of a few cosmopolitan species. Analysis of soil geochemical properties indicated that salt content, alongside altitude and Cu2+, was significantly correlated with differences in microbial communities. Our results indicate that the microbial ecology of Dry Valley soils is highly localized and that physicochemical factors potentially have major roles in shaping the microbiology of ice-free areas of Antarctica. These findings hint at links between Dry Valley glacial geomorphology and microbial ecology, and raise previously unrecognized issues related to environmental management of this unique ecosystem. The ISME Journal (2012) 6, 1046-1057; doi:10.1038/ismej.2011.170; published online 15 December 2011</t>
  </si>
  <si>
    <t>[Lee, Charles K.; Barbier, Beatrice A.; Bottos, Eric M.; McDonald, Ian R.; Cary, Stephen Craig] Univ Waikato, Dept Biol Sci, Hamilton 3240, New Zealand; [Lee, Charles K.; McDonald, Ian R.; Cary, Stephen Craig] Univ Waikato, Int Ctr Terr Antarctic Res, Hamilton 3240, New Zealand; [Cary, Stephen Craig] Univ Delaware, Coll Earth Ocean &amp; Environm, Lewes, DE 19958 USA</t>
  </si>
  <si>
    <t>University of Waikato; University of Waikato; University of Delaware</t>
  </si>
  <si>
    <t>Cary, SC (corresponding author), Univ Waikato, Dept Biol Sci, Private Bag 3150, Hamilton 3240, New Zealand.</t>
  </si>
  <si>
    <t>caryc@waikato.ac.nz</t>
  </si>
  <si>
    <t>McDonald, Ian R/A-4851-2008; lee, charles/AAW-6627-2021; Lee, Charles/AAC-9417-2019</t>
  </si>
  <si>
    <t>McDonald, Ian R/0000-0002-4847-6492; lee, charles/0000-0001-6906-4895; Lee, Charles/0000-0002-6562-4733; Cary, Stephen/0000-0002-2876-2387</t>
  </si>
  <si>
    <t>Foundation for Research, Science and Technology of New Zealand through an IPY; FRST [UOWX0715]; New Zealand Marsden Fund [UOW1003]; Directorate For Geosciences; Office of Polar Programs (OPP) [0944560] Funding Source: National Science Foundation; Office of Polar Programs (OPP); Directorate For Geosciences [0739648] Funding Source: National Science Foundation</t>
  </si>
  <si>
    <t>Foundation for Research, Science and Technology of New Zealand through an IPY; FRST(New Zealand Foundation for Research, Science and Technology); New Zealand Marsden Fund(Royal Society of New ZealandMarsden Fund (NZ)); Directorate For Geosciences; Office of Polar Programs (OPP)(National Science Foundation (NSF)NSF - Directorate for Geosciences (GEO)); Office of Polar Programs (OPP); Directorate For Geosciences(National Science Foundation (NSF)NSF - Directorate for Geosciences (GEO))</t>
  </si>
  <si>
    <t>This research was supported by Foundation for Research, Science and Technology of New Zealand through an IPY grant to SCC and a FRST Postdoctoral Research Fellowship to CKL (UOWX0715). The New Zealand Marsden Fund provided financial support for CKL (UOW1003). Logistic support for field research was provided by Antarctica New Zealand. We thank Dr Jo-Ann Stanton of University of Otago for assistance with pyrosequencing of PCR amplicons, and we acknowledge Dr Susanna Wood of Cawthron Institute for useful discussions on the analysis of community genetic profiling results. We are grateful to Dr Megan Balks of University of Waikato for her comments on the geology of study sites.</t>
  </si>
  <si>
    <t>SPRINGERNATURE</t>
  </si>
  <si>
    <t>CAMPUS, 4 CRINAN ST, LONDON, N1 9XW, ENGLAND</t>
  </si>
  <si>
    <t>1751-7362</t>
  </si>
  <si>
    <t>1751-7370</t>
  </si>
  <si>
    <t>ISME J</t>
  </si>
  <si>
    <t>ISME J.</t>
  </si>
  <si>
    <t>10.1038/ismej.2011.170</t>
  </si>
  <si>
    <t>Ecology; Microbiology</t>
  </si>
  <si>
    <t>Environmental Sciences &amp; Ecology; Microbiology</t>
  </si>
  <si>
    <t>928AA</t>
  </si>
  <si>
    <t>WOS:000302950700013</t>
  </si>
  <si>
    <t>Tribelli, PM; Iustman, LJR; Catone, MV; Di Martino, C; Revale, S; Méndez, BS; López, NI</t>
  </si>
  <si>
    <t>Tribelli, Paula M.; Raiger Iustman, Laura J.; Catone, Mariela V.; Di Martino, Carla; Revale, Santiago; Mendez, Beatriz S.; Lopez, Nancy I.</t>
  </si>
  <si>
    <t>Genome Sequence of the Polyhydroxybutyrate Producer Pseudomonas extremaustralis, a Highly Stress-Resistant Antarctic Bacterium</t>
  </si>
  <si>
    <t>JOURNAL OF BACTERIOLOGY</t>
  </si>
  <si>
    <t>BIOSYNTHESIS</t>
  </si>
  <si>
    <t>Pseudomonas extremaustralis 14-3b presents genes involved in the synthesis of different polyhydroxyalkanoates, in tolerance and degradation of pollutants, and in microaerobic metabolism. Several genomic islands were detected. Genetic machinery could contribute to the adaptability to stressful conditions. This is the first genome sequence reported from a Pseudomonas isolated from cold environments.</t>
  </si>
  <si>
    <t>[Tribelli, Paula M.; Raiger Iustman, Laura J.; Catone, Mariela V.; Di Martino, Carla; Mendez, Beatriz S.; Lopez, Nancy I.] Univ Buenos Aires, Dept Quim Biol, Fac Ciencias Exactas &amp; Nat, Buenos Aires, DF, Argentina; [Revale, Santiago] CCT CONICET, Inst Agrobiotecnol Rosario CONICET, Rosario, Argentina</t>
  </si>
  <si>
    <t>University of Buenos Aires; Consejo Nacional de Investigaciones Cientificas y Tecnicas (CONICET)</t>
  </si>
  <si>
    <t>López, NI (corresponding author), Univ Buenos Aires, Dept Quim Biol, Fac Ciencias Exactas &amp; Nat, Buenos Aires, DF, Argentina.</t>
  </si>
  <si>
    <t>nan@qb.fcen.uba.ar</t>
  </si>
  <si>
    <t>Raiger Iustman, Laura J./0000-0002-8541-3204; Lopez, Nancy/0000-0002-2966-3014; Tribelli, Paula Maria/0000-0001-9558-6275; Revale, Santiago/0000-0001-5219-9582</t>
  </si>
  <si>
    <t>Agencia Nacional de Promocion Cientifica y Tecnologica (ANPCyT); Consejo Nacional de Investigaciones Cientificas y Tecnicas (CONICET); Universidad de Buenos Aires</t>
  </si>
  <si>
    <t>Agencia Nacional de Promocion Cientifica y Tecnologica (ANPCyT)(ANPCyTSpanish Government); Consejo Nacional de Investigaciones Cientificas y Tecnicas (CONICET)(Consejo Nacional de Investigaciones Cientificas y Tecnicas (CONICET)); Universidad de Buenos Aires(University of Buenos Aires)</t>
  </si>
  <si>
    <t>This work was supported by grants from the Agencia Nacional de Promocion Cientifica y Tecnologica (ANPCyT), Consejo Nacional de Investigaciones Cientificas y Tecnicas (CONICET), and Universidad de Buenos Aires. L.J.R.I., B. S. M., and N.I.L. are career investigators from CONICET. P. M. T. and C. D. M. have graduate student fellowships from CONICET. M. V. C. has a graduate fellowship from ANPCyT.</t>
  </si>
  <si>
    <t>AMER SOC MICROBIOLOGY</t>
  </si>
  <si>
    <t>1752 N ST NW, WASHINGTON, DC 20036-2904 USA</t>
  </si>
  <si>
    <t>0021-9193</t>
  </si>
  <si>
    <t>1098-5530</t>
  </si>
  <si>
    <t>J BACTERIOL</t>
  </si>
  <si>
    <t>J. Bacteriol.</t>
  </si>
  <si>
    <t>10.1128/JB.00172-12</t>
  </si>
  <si>
    <t>926CH</t>
  </si>
  <si>
    <t>WOS:000302808400031</t>
  </si>
  <si>
    <t>Kim, SJ; Shin, SC; Hong, SG; Lee, YM; Choi, IG; Park, H</t>
  </si>
  <si>
    <t>Kim, Su Jin; Shin, Seung Chul; Hong, Soon Gyu; Lee, Yung Mi; Choi, In-Geol; Park, Hyun</t>
  </si>
  <si>
    <t>Genome Sequence of a Novel Member of the Genus Psychrobacter Isolated from Antarctic Soil</t>
  </si>
  <si>
    <t>SP-NOV; BACTERIA</t>
  </si>
  <si>
    <t>Psychrobacter spp. have shown characteristics indicating remarkable capabilities at subzero temperatures that identify them as potential model organisms for the study of low-temperature adaptations. Here we present the draft genome sequence of Psychrobacter sp. PAMC 21119, which was isolated from permafrost soil of Antarctica; this information could provide insight into adaptation and evolution strategies under extreme environmental conditions.</t>
  </si>
  <si>
    <t>[Shin, Seung Chul; Hong, Soon Gyu; Lee, Yung Mi; Park, Hyun] Korea Polar Res Inst, Inchon, South Korea; [Kim, Su Jin; Choi, In-Geol] Korea Univ, Coll Life Sci &amp; Biotechnol, Seoul, South Korea</t>
  </si>
  <si>
    <t>Korea Institute of Ocean Science &amp; Technology (KIOST); Korea Polar Research Institute (KOPRI); Korea University</t>
  </si>
  <si>
    <t>Park, H (corresponding author), Korea Polar Res Inst, Inchon, South Korea.</t>
  </si>
  <si>
    <t>igchoi@korea.ac.kr; hpark@kopri.re.kr</t>
  </si>
  <si>
    <t>LEE, Saeyoung/F-2896-2013; Choi, In-Geol/F-3152-2013</t>
  </si>
  <si>
    <t>Choi, In-Geol/0000-0001-7403-6274; Park, Hyun/0000-0002-8055-2010</t>
  </si>
  <si>
    <t>Functional Genomics on Polar Organisms grant [PE12020]; Korea Polar Research Institute (KOPRI)</t>
  </si>
  <si>
    <t>Functional Genomics on Polar Organisms grant; Korea Polar Research Institute (KOPRI)</t>
  </si>
  <si>
    <t>This work was supported by a Functional Genomics on Polar Organisms grant (PE12020), which is funded by the Korea Polar Research Institute (KOPRI).</t>
  </si>
  <si>
    <t>10.1128/JB.00234-12</t>
  </si>
  <si>
    <t>WOS:000302808400043</t>
  </si>
  <si>
    <t>Shin, SC; Kim, SJ; Ahn, DH; Lee, JK; Lee, H; Lee, J; Hong, SG; Lee, YM; Park, H</t>
  </si>
  <si>
    <t>Shin, Seung Chul; Kim, Su Jin; Ahn, Do Hwan; Lee, Jong Kyu; Lee, Hyoungseok; Lee, Jungeun; Hong, Soon Gyu; Lee, Yung Mi; Park, Hyun</t>
  </si>
  <si>
    <t>Genome Sequence of a Salinibacterium sp Isolated from Antarctic Soil</t>
  </si>
  <si>
    <t>SP NOV.</t>
  </si>
  <si>
    <t>The draft genome of Salinibacterium sp. PAMC 21357, isolated from permafrost soil of Antarctica, was determined. Here we present a 3.1-Mb draft genome sequence of Salinibacterium sp. that could provide further insight into the genetic determination of its cold-adaptive properties.</t>
  </si>
  <si>
    <t>[Shin, Seung Chul; Ahn, Do Hwan; Lee, Jong Kyu; Lee, Hyoungseok; Lee, Jungeun; Hong, Soon Gyu; Lee, Yung Mi; Park, Hyun] Korea Polar Res Inst, Inchon, South Korea; [Kim, Su Jin] Korea Univ, Coll Life Sci &amp; Biotechnol, Seoul, South Korea; [Ahn, Do Hwan; Hong, Soon Gyu; Park, Hyun] Univ Sci &amp; Technol, Taejon, South Korea</t>
  </si>
  <si>
    <t>Korea Polar Research Institute (KOPRI); Korea Institute of Ocean Science &amp; Technology (KIOST); Korea University</t>
  </si>
  <si>
    <t>hpark@kopri.re.kr</t>
  </si>
  <si>
    <t>Lee, Hyoungseok/0000-0002-5831-6345; Park, Hyun/0000-0002-8055-2010</t>
  </si>
  <si>
    <t>This work was supported by a Functional Genomics on Polar Organisms grant (PE12020) funded by the Korea Polar Research Institute (KOPRI).</t>
  </si>
  <si>
    <t>10.1128/JB.00235-12</t>
  </si>
  <si>
    <t>WOS:000302808400044</t>
  </si>
  <si>
    <t>Tournadre, J; Girard-Ardhuin, F; Legrésy, B</t>
  </si>
  <si>
    <t>Tournadre, Jean; Girard-Ardhuin, Fanny; Legresy, Benoit</t>
  </si>
  <si>
    <t>Antarctic icebergs distributions, 2002-2010</t>
  </si>
  <si>
    <t>SOUTHERN-OCEAN; ICE; TRACKING; CLIMATE</t>
  </si>
  <si>
    <t>Interest for icebergs and their possible impact on southern ocean circulation and biology has increased during the recent years. While large tabular icebergs are routinely tracked and monitored using scatterometer data, the distribution of smaller icebergs (less than some km) is still largely unknown as they are difficult to detect operationally using conventional satellite data. In a recent study, Tournadre et al. (2008) showed that small icebergs can be detected, at least in open water, using high resolution (20 Hz) altimeter waveforms. In the present paper, we present an improvement of their method that allows, assuming a constant iceberg freeboard elevation and constant ice backscatter coefficient, to estimate the top-down iceberg surface area and therefore the distribution of the volume of ice on a monthly basis. The complete Jason-1 reprocessed (version C) archive covering the 2002-2010 period has been processed using this method. The small iceberg data base for the southern ocean gives an unprecedented description of the small iceberg (100 m-2800 m) distribution at unprecedented time and space resolutions. The iceberg size, which follows a lognormal distribution with an overall mean length of 630 m, has a strong seasonal cycle reflecting the melting of icebergs during the austral summer estimated at 1.5 m/day. The total volume of ice in the southern ocean has an annual mean value of about 400 Gt, i.e., about 35% of the mean yearly volume of large tabular icebergs estimated from the National Ice Center database of 1979-2003 iceberg tracks and a model of iceberg thermodynamics. They can thus play a significant role in the injection of meltwater in the ocean. The distribution of ice volume which has strong seasonal cycle presents a very high spatial and temporal variability which is much contrasted in the three ocean basins (South Atlantic, Indian and Pacific oceans). The analysis of the relationship between small and large (&gt; 5 km) icebergs shows that a majority of small icebergs are directly associated with the large ones but that there are vast regions, such as the eastern branch of the Wedell Gyre, where the transport of ice is made only through the smaller ones.</t>
  </si>
  <si>
    <t>[Tournadre, Jean; Girard-Ardhuin, Fanny] IFREMER, Lab Oceanog Spatiale, F-29280 Plouzane, France; [Legresy, Benoit] CNRS, LEGOS, CNES, IRD,UPS, Toulouse, France</t>
  </si>
  <si>
    <t>Ifremer; Universite de Toulouse; Universite Toulouse III - Paul Sabatier; Centre National de la Recherche Scientifique (CNRS); Institut de Recherche pour le Developpement (IRD); Laboratoire d'Etudes en Geophysique et oceanographie spatiales</t>
  </si>
  <si>
    <t>Tournadre, J (corresponding author), IFREMER, Lab Oceanog Spatiale, F-29280 Plouzane, France.</t>
  </si>
  <si>
    <t>jean.tournadre@ifremer.fr</t>
  </si>
  <si>
    <t>Girard-Ardhuin, Fanny/AAE-9430-2019; Girard-Ardhuin, Fanny/L-4153-2015; Tournadre, Jean/F-8402-2010; legresy, benoit/K-6673-2018</t>
  </si>
  <si>
    <t>Girard-Ardhuin, Fanny/0000-0001-7819-7665; Girard-Ardhuin, Fanny/0000-0001-7819-7665; Tournadre, Jean/0000-0003-1159-4388; legresy, benoit/0000-0002-1909-1630</t>
  </si>
  <si>
    <t>Centre National d'Etudes Spatiales (TOSCA)</t>
  </si>
  <si>
    <t>The large iceberg data base used in this study is produced by the Brigham Young University, Center for Remote Sensing, and is available at http://www.scp.byu.edu/data/iceberg/. The AMSR-E data sea ice concentration data are produced by the University of Bremen under the GMES project Polar View and are available at http://iup.physik.uni-bremen.de:8084/amsredata/asidaygridswath/l1a/s6250/. The CLS AVISO operation center generously supplied us with the Jason-1 sensor geophysical data record (SGDR). The authors also want to acknowledge financial support by the Centre National d'Etudes Spatiales (TOSCA program).</t>
  </si>
  <si>
    <t>C05004</t>
  </si>
  <si>
    <t>10.1029/2011JC007441</t>
  </si>
  <si>
    <t>937PH</t>
  </si>
  <si>
    <t>Green Published, Green Submitted</t>
  </si>
  <si>
    <t>WOS:000303669900002</t>
  </si>
  <si>
    <t>Chen, LJ; Bortnik, J; Li, W; Thorne, RM; Horne, RB</t>
  </si>
  <si>
    <t>Chen, Lunjin; Bortnik, Jacob; Li, Wen; Thorne, Richard M.; Horne, Richard B.</t>
  </si>
  <si>
    <t>Modeling the properties of plasmaspheric hiss: 2. Dependence on the plasma density distribution</t>
  </si>
  <si>
    <t>EARTHS INNER MAGNETOSPHERE; DISCRETE CHORUS EMISSIONS; RADIATION BELT ELECTRONS; SCATTERING LOSS; LOCATION; ORIGIN; WAVES; FIELD; DIFFUSION; TROUGH</t>
  </si>
  <si>
    <t>Wave propagation plays an important role in linking the chorus source in the plasma trough region and the hiss emission in the plasmasphere. We investigate the dependence of plasmaspheric hiss on the background plasma density, which essentially controls the evolution of chorus after its generation at MLT = 10. The variation of plasma density under study includes variation of the location and width of the plasmapause, and the variation of the density distribution in the trough. We demonstrate that the plasmapause shape does not affect the peak hiss intensity significantly, but it does regulate the hiss intensity near the field-aligned direction. As the plasmasphere contracts or the plasmapause width increases, the field-aligned component of plasmaspheric hiss become relatively more intense, as does the intensity of hiss in the inner region, although the peak hiss intensity remains about the same. The trough density distribution, on the other hand, directly influences the accessibility of chorus rays into plasmasphere, and therefore plays an important role in the peak hiss intensity. As the density gradient in the plasma trough increases toward the plasmasphere, the resulting peak in the hiss intensity can increase by up to 10 dB.</t>
  </si>
  <si>
    <t>[Chen, Lunjin; Bortnik, Jacob; Li, Wen; Thorne, Richard M.] Univ Calif Los Angeles, Dept Atmospher &amp; Ocean Sci, Los Angeles, CA 90024 USA; [Horne, Richard B.] British Antarctic Survey, Nat Environm Res Council, Cambridge CB3 0ET, England</t>
  </si>
  <si>
    <t>University of California System; University of California Los Angeles; UK Research &amp; Innovation (UKRI); Natural Environment Research Council (NERC); NERC British Antarctic Survey</t>
  </si>
  <si>
    <t>Chen, LJ (corresponding author), Univ Calif Los Angeles, Dept Atmospher Sci, Los Angeles, CA 90024 USA.</t>
  </si>
  <si>
    <t>clj@atmos.ucla.edu</t>
  </si>
  <si>
    <t>Horne, Richard B/U-3764-2019; Li, Wen/F-3722-2011; Chen, Lunjin/L-1250-2013</t>
  </si>
  <si>
    <t>Horne, Richard B/0000-0002-0412-6407; Chen, Lunjin/0000-0003-2489-3571</t>
  </si>
  <si>
    <t>NSF [AGS-0840178]; NASA [NNX08A135G, NAS5-020P9]; Natural Environment Research Council [bas0100023] Funding Source: researchfish; NERC [bas0100023] Funding Source: UKRI</t>
  </si>
  <si>
    <t>NSF(National Science Foundation (NSF)); NASA(National Aeronautics &amp; Space Administration (NASA)); Natural Environment Research Council(UK Research &amp; Innovation (UKRI)Natural Environment Research Council (NERC)); NERC(UK Research &amp; Innovation (UKRI)Natural Environment Research Council (NERC))</t>
  </si>
  <si>
    <t>This research was supported by NSF grant AGS-0840178 and NASA grant NNX08A135G. We acknowledge NASA contract NAS5-020P9 and V. Angelopoulos for use of data from the THEMIS mission, A. Roux and O. Le Contel for use of SCM data. The authors also thank World Data Center for Geomagnetism, Kyoto for providing the AE index.</t>
  </si>
  <si>
    <t>A05202</t>
  </si>
  <si>
    <t>10.1029/2011JA017202</t>
  </si>
  <si>
    <t>937PU</t>
  </si>
  <si>
    <t>WOS:000303671200003</t>
  </si>
  <si>
    <t>Modeling the properties of plasmaspheric hiss: 1. Dependence on chorus wave emission</t>
  </si>
  <si>
    <t>EARTHS INNER MAGNETOSPHERE; ELECTRON-SCATTERING LOSS; ORIGIN; DENSITY; THEMIS; PLASMAPAUSE; RADIATION; GENERATION; TOPSIDE; ZONE</t>
  </si>
  <si>
    <t>There is increasing evidence that plasmaspheric hiss is formed by the evolution of a portion of chorus waves that are excited in the plasmatrough and propagate into the plasmasphere. Comparison between the statistical spatial distributions of these two emissions in the morning sector during active times from THEMIS over similar to 3 years shows that the two emissions have comparable peak intensities but are distinct in their spatial distributions. We present a modeling study of the hiss spectrum, based on ray tracing, by taking the observed chorus source region as an input in the magnetosphere, which contains cold and suprathermal electrons. Our modeling results show that we are able to reproduce the main features of typical hiss, including the frequency spectrum, wave normal angle and spatial distribution. However, the simulated hiss intensity is weaker (similar to 15 dB less) than the observed intensity, which suggests some modest internal amplification inside the plasmasphere. The responses of hiss to variations in the spatial distribution, wave normal angle distribution and frequency distribution of the source chorus are examined. We find that the majority of hiss formation is due to a small portion of chorus emission originating within similar to 3 R-E from the plasmapause, with wave normal directions pointing toward the Earth at an angle of 30 degrees-60 degrees,and over a frequency range of 0.1-0.3 f(ce). If the chorus power is made to increase closer to the plasmapause, the hiss intensity and the peak frequency also increases, which roughly mimics active geomagnetic conditions. Variations of the chorus source distribution do not significantly affect the wave normal angle distribution and frequency</t>
  </si>
  <si>
    <t>Li, Wen/F-3722-2011; Horne, Richard B/U-3764-2019; Chen, Lunjin/L-1250-2013</t>
  </si>
  <si>
    <t>NSF [AGS-0840178]; NASA [NNX08A135G, NAS5-020P9]; NERC [bas0100023] Funding Source: UKRI; Natural Environment Research Council [bas0100023] Funding Source: researchfish</t>
  </si>
  <si>
    <t>NSF(National Science Foundation (NSF)); NASA(National Aeronautics &amp; Space Administration (NASA)); NERC(UK Research &amp; Innovation (UKRI)Natural Environment Research Council (NERC)); Natural Environment Research Council(UK Research &amp; Innovation (UKRI)Natural Environment Research Council (NERC))</t>
  </si>
  <si>
    <t>A05201</t>
  </si>
  <si>
    <t>10.1029/2011JA017201</t>
  </si>
  <si>
    <t>WOS:000303671200002</t>
  </si>
  <si>
    <t>Li, LY; Li, DH; Luan, YP; Gu, QQ; Zhu, TJ</t>
  </si>
  <si>
    <t>Li, Liyuan; Li, Dehai; Luan, Yepeng; Gu, Qianqun; Zhu, Tianjiao</t>
  </si>
  <si>
    <t>Cytotoxic Metabolites from the Antarctic Psychrophilic Fungus Oidiodendron truncatum</t>
  </si>
  <si>
    <t>JOURNAL OF NATURAL PRODUCTS</t>
  </si>
  <si>
    <t>ALKALOIDS; ANALOGS</t>
  </si>
  <si>
    <t>Two new epipolythiodioxopiperazines, named chetracins B and C (1 and 2), and five new diketopiperazines, named chetracin D (4) and oidioperazines A-D (5, 10, 12, and 13), were isolated from the fungus Oidiodendron truncatum GW3-13, along with six known compounds (3, 6, 7, 8, 9, and 11). Their structures were elucidated by extensive NMR, MS, and CD analyses, as well as chemical transformation. An in vitro MTT cytotoxicity assay revealed potent biological activity for 1 in the nanomolar range against a panel of five human cancer lines.</t>
  </si>
  <si>
    <t>[Li, Liyuan; Li, Dehai; Luan, Yepeng; Gu, Qianqun; Zhu, Tianjiao] Ocean Univ China, Sch Med &amp; Pharm, Chinese Minist Educ, Key Lab Marine Drugs, Qingdao 266003, Peoples R China</t>
  </si>
  <si>
    <t>Ocean University of China</t>
  </si>
  <si>
    <t>Zhu, TJ (corresponding author), Ocean Univ China, Sch Med &amp; Pharm, Chinese Minist Educ, Key Lab Marine Drugs, Qingdao 266003, Peoples R China.</t>
  </si>
  <si>
    <t>zhutj@ouc.edu.cn</t>
  </si>
  <si>
    <t>Li, Dehai/G-7656-2012</t>
  </si>
  <si>
    <t>Li, Dehai/0000-0002-7191-2002</t>
  </si>
  <si>
    <t>National High Technology Research and Development Program (863Program) [2011AA09070104]; Chinese National Natural Science Fund [41176120]; Shandong Provincial Natural Science Fund [ZR2010HM057]; State Oceanic Administration [2010418022-3]; Chinese Polar Environment Comprehensive Investigation &amp; Assessment Programmes [CHINARE2012-01-06]</t>
  </si>
  <si>
    <t>National High Technology Research and Development Program (863Program)(National High Technology Research and Development Program of China); Chinese National Natural Science Fund(National Natural Science Foundation of China (NSFC)); Shandong Provincial Natural Science Fund(Natural Science Foundation of Shandong Province); State Oceanic Administration; Chinese Polar Environment Comprehensive Investigation &amp; Assessment Programmes</t>
  </si>
  <si>
    <t>This work was financially supported by the National High Technology Research and Development Program (863Program) (No. 2011AA09070104), Chinese National Natural Science Fund (No. 41176120), Shandong Provincial Natural Science Fund (No. ZR2010HM057), the Public Projects of State Oceanic Administration (No. 2010418022-3), and Chinese Polar Environment Comprehensive Investigation &amp; Assessment Programmes (CHINARE2012-01-06). The antitumor assay was performed at the Institute of Materia Medica, Chinese Academy of Medical Sciences. We also thank Dr. A. R. Pereira (Scripps Institution of Oceanography, La Jolla) for helping with the manuscript preparation.</t>
  </si>
  <si>
    <t>0163-3864</t>
  </si>
  <si>
    <t>J NAT PROD</t>
  </si>
  <si>
    <t>J. Nat. Prod.</t>
  </si>
  <si>
    <t>10.1021/np3000443</t>
  </si>
  <si>
    <t>Plant Sciences; Chemistry, Medicinal; Pharmacology &amp; Pharmacy</t>
  </si>
  <si>
    <t>Plant Sciences; Pharmacology &amp; Pharmacy</t>
  </si>
  <si>
    <t>946VO</t>
  </si>
  <si>
    <t>WOS:000304385800011</t>
  </si>
  <si>
    <t>Gonçalves-Araujo, R; De Souza, MS; Mendes, CRB; Tavano, VM; Pollery, RC; Garcia, CAE</t>
  </si>
  <si>
    <t>Goncalves-Araujo, Rafael; De Souza, Marcio Silva; Borges Mendes, Carlos Rafael; Tavano, Virginia Maria; Pollery, Ricardo Cesar; Eiras Garcia, Carlos Alberto</t>
  </si>
  <si>
    <t>Brazil-Malvinas confluence: effects of environmental variability on phytoplankton community structure</t>
  </si>
  <si>
    <t>JOURNAL OF PLANKTON RESEARCH</t>
  </si>
  <si>
    <t>Brazil-Malvinas confluence; physical structure; nutrients; phytoplankton; HPLC-CHEMTAX</t>
  </si>
  <si>
    <t>PLATA MARITIME FRONT; MARINE-PHYTOPLANKTON; SOUTHERN-OCEAN; ATLANTIC-OCEAN; WATER MASSES; SHELF-BREAK; N-P; CHLOROPHYLL; STOICHIOMETRY; CIRCULATION</t>
  </si>
  <si>
    <t>This study investigates the relationships between the spring phytoplankton community and environmental factors in the Brazil-Malvinas confluence region. Phytoplankton community composition was determined by the high performance liquid chromatography/CHEMTAX approach, complemented with microscopic examination. Abiotic factors included temperature, salinity, dissolved inorganic macronutrients (ammonium, nitrite, nitrate, phosphate and silicate), water column stability and upper mixed layer depth (UMLD). These environmental variables were reasonably informative to explain the variability of the phytoplankton communities (44 of variation explained). Cluster and canonical correspondence analyses allowed discrimination of four zones (coastal, Sub-Antarctic, tropical and intermediate zones), also identifiable in the TS diagrams and in the nutrient spatial distribution patterns. The presence of nutrient-rich Sub-Antarctic waters was a major oceanographic feature, associated with diatoms and dinoflagellates. However, in the Sub-Antarctic zone, biomass was particularly low, probably as a result of grazing pressure, as suggested by chemical and biological indicators. In contrast, in oligotrophic tropical waters, phytoplankton was mainly composed by small nanoflagellates and cyanobacteria. A large intermediate zone was also dominated by nanoflagellates, mainly Phaeocystis antarctica, probably favored by strong water column stability. The coastal zone exhibited fairly similar conditions to those in the intermediate zone, but with deeper UMLD, a favorable condition for diatom growth. These results emphasize the importance of the properties of water masses and also biological processes such as grazing in structuring phytoplankton communities in the region.</t>
  </si>
  <si>
    <t>[Goncalves-Araujo, Rafael; De Souza, Marcio Silva; Borges Mendes, Carlos Rafael; Tavano, Virginia Maria; Eiras Garcia, Carlos Alberto] Inst Oceanog FURG, BR-96201900 Rio Grande, Brazil; [Borges Mendes, Carlos Rafael] Univ Lisbon, Ctr Oceanog, Fac Ciencias, P-1749016 Lisbon, Portugal; [Pollery, Ricardo Cesar] Inst Biol UFRJ, Dept Ecol, Lab Biogeoquim, BR-21941590 Rio De Janeiro, Brazil</t>
  </si>
  <si>
    <t>Universidade Federal do Rio Grande; Universidade de Lisboa</t>
  </si>
  <si>
    <t>Gonçalves-Araujo, R (corresponding author), Inst Oceanog FURG, POB 474,Campus Carreiros, BR-96201900 Rio Grande, Brazil.</t>
  </si>
  <si>
    <t>rafaelgoncalvesaraujo@gmail.com</t>
  </si>
  <si>
    <t>Garcia, Carlos A. E./K-7382-2012; Mendes, Carlos/AAD-6504-2021; de Souza, Márcio Silva/AAR-5757-2021; Mendes, Carlos/GVU-7596-2022; Mendes, Carlos/I-1520-2012; Gonçalves-Araujo, Rafael/F-8285-2014; Tavano, Virginia/C-5241-2013</t>
  </si>
  <si>
    <t>de Souza, Márcio Silva/0000-0003-1572-9307; Mendes, Carlos/0000-0001-6875-8860; Mendes, Carlos/0000-0001-6875-8860; Gonçalves-Araujo, Rafael/0000-0001-8344-8326; Tavano, Virginia/0000-0003-0039-8111</t>
  </si>
  <si>
    <t>Brazilian National Council for Scientific and Technological Development (CNPq) [520189/2006-0]; Coordination for Improvement of Higher Level Personnel (CAPES); Ministry of Science and Technology (MCT); Brazilian Ministry of Environment (MMA)</t>
  </si>
  <si>
    <t>Brazilian National Council for Scientific and Technological Development (CNPq)(Conselho Nacional de Desenvolvimento Cientifico e Tecnologico (CNPQ)); Coordination for Improvement of Higher Level Personnel (CAPES)(Coordenacao de Aperfeicoamento de Pessoal de Nivel Superior (CAPES)); Ministry of Science and Technology (MCT); Brazilian Ministry of Environment (MMA)</t>
  </si>
  <si>
    <t>This work was supported by financial resources from the Brazilian National Council for Scientific and Technological Development (CNPq, grant 520189/2006-0), the Coordination for Improvement of Higher Level Personnel (CAPES), the Ministry of Science and Technology (MCT) and the Brazilian Ministry of Environment (MMA) to the Brazilian Antarctic Program (PROANTAR).</t>
  </si>
  <si>
    <t>0142-7873</t>
  </si>
  <si>
    <t>1464-3774</t>
  </si>
  <si>
    <t>J PLANKTON RES</t>
  </si>
  <si>
    <t>J. Plankton Res.</t>
  </si>
  <si>
    <t>10.1093/plankt/fbs013</t>
  </si>
  <si>
    <t>919CW</t>
  </si>
  <si>
    <t>WOS:000302299400005</t>
  </si>
  <si>
    <t>Makabe, R; Tanimura, A; Fukuchi, M</t>
  </si>
  <si>
    <t>Makabe, Ryosuke; Tanimura, Atsushi; Fukuchi, Mitsuo</t>
  </si>
  <si>
    <t>Comparison of mesh size effects on mesozooplankton collection efficiency in the Southern Ocean</t>
  </si>
  <si>
    <t>mesozooplankton; collection efficiency; mesh size; small copepods</t>
  </si>
  <si>
    <t>PLANKTON NETS; ABUNDANCE; OITHONA; COPEPOD</t>
  </si>
  <si>
    <t>Mesozooplankton abundance and species composition in the upper 200 m at seven sites in Ltzow-Holm Bay, Antarctica, were compared using plankton nets with 60, 100 or 330 m mesh during the austral summer of 20072008. While the collection efficiency of the 330 m mesh was low, ranging from 2.0 to 5.6, owing to the significant underestimation of small copepod species, no significant underestimation of abundance was found using the 100 m mesh, except for copepod nauplii.</t>
  </si>
  <si>
    <t>[Makabe, Ryosuke] Hiroshima Univ, Grad Sch Biosphere Sci, Higashihiroshima 7398528, Japan; [Tanimura, Atsushi] Mie Univ, Grad Sch Bioresources, Tsu, Mie 5148507, Japan; [Fukuchi, Mitsuo] Natl Inst Polar Res, Tachikawa, Tokyo 1908518, Japan</t>
  </si>
  <si>
    <t>Hiroshima University; Mie University; Research Organization of Information &amp; Systems (ROIS); National Institute of Polar Research (NIPR) - Japan</t>
  </si>
  <si>
    <t>Makabe, R (corresponding author), Hiroshima Univ, Grad Sch Biosphere Sci, 4-4-1 Kagamiyama, Higashihiroshima 7398528, Japan.</t>
  </si>
  <si>
    <t>makabe@hiroshima-u.ac.jp</t>
  </si>
  <si>
    <t>Japanese Antarctic Research Expedition (JARE) under the Ministry of Education, Culture, Sports, Science and Technology; Japanese Government [16101001]; Grants-in-Aid for Scientific Research [16101001] Funding Source: KAKEN</t>
  </si>
  <si>
    <t>Japanese Antarctic Research Expedition (JARE) under the Ministry of Education, Culture, Sports, Science and Technology; Japanese Government; Grants-in-Aid for Scientific Research(Ministry of Education, Culture, Sports, Science and Technology, Japan (MEXT)Japan Society for the Promotion of ScienceGrants-in-Aid for Scientific Research (KAKENHI))</t>
  </si>
  <si>
    <t>This study was supported by the Japanese Antarctic Research Expedition (JARE) under the Ministry of Education, Culture, Sports, Science and Technology. This study was also supported by Grant-in-Aid for Scientific Research (No. 16101001) from the Japanese Government.</t>
  </si>
  <si>
    <t>10.1093/plankt/fbs014</t>
  </si>
  <si>
    <t>WOS:000302299400007</t>
  </si>
  <si>
    <t>Kearney, R; Buxton, CD; Goodsell, P; Farebrother, G</t>
  </si>
  <si>
    <t>Kearney, R.; Buxton, C. D.; Goodsell, P.; Farebrother, G.</t>
  </si>
  <si>
    <t>Questionable interpretation of the Precautionary Principle in Australia's implementation of 'no-take' marine protected areas</t>
  </si>
  <si>
    <t>MARINE POLICY</t>
  </si>
  <si>
    <t>Marine protected areas; Conservation; Precautionary Principle</t>
  </si>
  <si>
    <t>SUSTAINABILITY</t>
  </si>
  <si>
    <t>The introduction of marine protected areas (MPAs) in Australia has resulted in an increase in the number and total area of 'no-take' zones. The resulting closures impact all forms of commercial and recreational fishing in and around them despite international recognition indicating that Australian fisheries were already well managed according to ecological sustainable development guidelines. Furthermore, it is recognised within Australia that most MPAs are not designed to provide protection from the full suite of known threats that can affect biodiversity and long-term ecosystem viability. By directing MPA management disproportionately towards comprehensive no-take zones that affect fishing practices that are already required by state and federal legislation to adhere to sustainability requirements, the suite of threats affecting both protected and unprotected areas can be left inadequately and/or inappropriately managed. It is shown in this paper that the modified definition of the Precautionary Principle, which was developed specifically for the MPA process in Australia, is not in keeping with accepted international definitions and guidelines for the use of precaution. It is argued that the development of a definition of precaution to justify a predetermined output (MPAs) devalues the sound use of scientific principles and diminishes the conservation outcome. Furthermore, by distracting efforts from determining and managing the full suite of recognised threats, the value of what protection is provided in Australia's marine protected areas is eroded further. (C) 2011 Elsevier Ltd. All rights reserved.</t>
  </si>
  <si>
    <t>[Kearney, R.] Univ Canberra ACT, Cronulla, NSW 2230, Australia; [Buxton, C. D.; Farebrother, G.] Univ Tasmania, Fisheries Aquaculture &amp; Coasts Ctr, Inst Marine &amp; Antarctic Studies, Hobart, Tas 7001, Australia; [Goodsell, P.] Sydney Fish Market, Pyrmont, NSW 2009, Australia</t>
  </si>
  <si>
    <t>University of Canberra; University of Tasmania; Sydney Fish Market</t>
  </si>
  <si>
    <t>Kearney, R (corresponding author), Univ Canberra ACT, 386 Woolooware Rd, Cronulla, NSW 2230, Australia.</t>
  </si>
  <si>
    <t>bob.kearney@canberra.edu.au; colin.buxton@utas.edu.au; graham.farebrother@uqconnect.edu.au</t>
  </si>
  <si>
    <t>Buxton, Colin/AAV-3489-2021</t>
  </si>
  <si>
    <t>Buxton, Colin/0000-0002-3256-5220</t>
  </si>
  <si>
    <t>0308-597X</t>
  </si>
  <si>
    <t>1872-9460</t>
  </si>
  <si>
    <t>MAR POLICY</t>
  </si>
  <si>
    <t>Mar. Pol.</t>
  </si>
  <si>
    <t>10.1016/j.marpol.2011.10.018</t>
  </si>
  <si>
    <t>Environmental Studies; International Relations</t>
  </si>
  <si>
    <t>Social Science Citation Index (SSCI)</t>
  </si>
  <si>
    <t>Environmental Sciences &amp; Ecology; International Relations</t>
  </si>
  <si>
    <t>891EX</t>
  </si>
  <si>
    <t>WOS:000300201100004</t>
  </si>
  <si>
    <t>Hemery, LG; Eléaume, M; Roussel, V; Améziane, N; Gallut, C; Steinke, D; Cruaud, C; Couloux-, A; Wilson, NG</t>
  </si>
  <si>
    <t>Hemery, L. G.; Eleaume, M.; Roussel, V.; Ameziane, N.; Gallut, C.; Steinke, D.; Cruaud, C.; Couloux-, A.; Wilson, N. G.</t>
  </si>
  <si>
    <t>Comprehensive sampling reveals circumpolarity and sympatry in seven mitochondrial lineages of the Southern Ocean crinoid species Promachocrinus kerguelensis (Echinodermata)</t>
  </si>
  <si>
    <t>MOLECULAR ECOLOGY</t>
  </si>
  <si>
    <t>Antarctica; crinoid; cryptic species; gene flow; haplotype diversity; refugia</t>
  </si>
  <si>
    <t>ASTROTOMA-AGASSIZII; CRYPTIC SPECIATION; GENETIC-STRUCTURE; BENTHIC FAUNA; SEA; DNA; ISOPODA; STAR; IDENTIFICATION; ANTARCTICUS</t>
  </si>
  <si>
    <t>Sampling at appropriate spatial scales in the Southern Ocean is logistically challenging and may influence estimates of diversity by missing intermediate representatives. With the assistance of sampling efforts especially influenced by the International Polar Year 2007 similar to 2008, we gathered nearly 1500 specimens of the crinoid species Promachocrinus kerguelensis from around Antarctica. We used phylogeographic and phylogenetic tools to assess its genetic diversity, demographic history and evolutionary relationships. Six phylogroups (A similar to F) identified in an earlier study are corroborated here, with the addition of one new phylogroup (E2). All phylogroups are circumpolar, sympatric and eurybathic. The phylogeny of Promachocrinus phylogroups reveals two principal clades that may represent two different cryptic species with contrasting demographic histories. Genetic diversity indices vary dramatically within phylogroups, and within populations, suggesting multiple glacial refugia in the Southern Ocean: on the Kerguelen Plateau, in the East Weddell Sea and the South Shetland Islands (Atlantic sector), and on the East Antarctic continental shelf in the Dumont dUrville Sea and Ross Sea. The inferences of gene flow vary among the phylogroups, showing discordant spatial patterns. Phylogroup A is the only one found in the Sub-Antarctic region, although without evident connectivity between Bouvet and Kerguelen populations. The Scotia Arc region shows high levels of connectivity between populations in most of the phylogroups, and barriers to gene flow are evident in East Antarctica.</t>
  </si>
  <si>
    <t>[Hemery, L. G.; Eleaume, M.; Ameziane, N.] Museum Natl Hist Nat, Dept Milieux &amp; Peuplements Aquat, UMR 7208, F-75231 Paris 05, France; [Roussel, V.] Museum Natl Hist Nat, Dept Milieux &amp; Peuplements Aquat, Stn Biol Marine, UMR 7208, F-29182 Concarneau, France; [Gallut, C.] Museum Natl Hist Nat, Dept Systemat &amp; Evolut, UMR 7138, F-75231 Paris 05, France; [Steinke, D.] Univ Guelph, Biodivers Inst Ontario, Guelph, ON N1G 2W1, Canada; [Cruaud, C.; Couloux-, A.] Genoscope, Ctr Natl Sequencage, F-91057 Evry, France; [Wilson, N. G.] Australian Museum, Sydney, NSW 2010, Australia</t>
  </si>
  <si>
    <t>Centre National de la Recherche Scientifique (CNRS); Institut de Recherche pour le Developpement (IRD); Museum National d'Histoire Naturelle (MNHN); Sorbonne Universite; CNRS - Institute of Ecology &amp; Environment (INEE); Sorbonne Universite; Centre National de la Recherche Scientifique (CNRS); CNRS - Institute of Ecology &amp; Environment (INEE); Museum National d'Histoire Naturelle (MNHN); Centre National de la Recherche Scientifique (CNRS); CNRS - National Institute for Biology (INSB); Sorbonne Universite; Museum National d'Histoire Naturelle (MNHN); University of Guelph; CEA; Universite Paris Saclay; Australian Museum</t>
  </si>
  <si>
    <t>Hemery, LG (corresponding author), Museum Natl Hist Nat, Dept Milieux &amp; Peuplements Aquat, UMR 7208, CP26,57 Rue Cuvier, F-75231 Paris 05, France.</t>
  </si>
  <si>
    <t>lhemery@mnhn.fr</t>
  </si>
  <si>
    <t>Hemery, Lenaïg/AAA-5799-2021; Wilson, Nerida G./AAC-1456-2019; Rochette, Mally/JFS-0030-2023; Wilson, Nerida/G-8433-2011; Steinke, Dirk/D-4700-2009</t>
  </si>
  <si>
    <t>Hemery, Lenaïg/0000-0001-5337-4514; Wilson, Nerida/0000-0002-0784-0200; Gallut, Cyril/0000-0002-6486-0179; Couloux, Arnaud/0000-0003-2356-0062; Ameziane, Nadia/0000-0002-8546-9961; Cruaud, Corinne/0000-0002-4752-7278; Steinke, Dirk/0000-0002-8992-575X</t>
  </si>
  <si>
    <t>French national research agency ('ANR') [07-BLAN-0213-01]; French Polar Institute IPEV; NSF Antarctic Organisms and Ecosystems [ANT-1043749]; Antarctic Science Career Development Bursary; Consortium National de Recherche en Genomique; Service de Systematique Moleculaire (SSM) at MNHN [USM 2700]; Census of Antarctic Marine Life; Marine Barcode of Life (MarBOL); Canadian Centre for DNA Barcoding (CCDB); Government of Canada through Genome Canada; Ontario Genomics Institute [2008-OGI-ICI-03]; Directorate For Geosciences; Office of Polar Programs (OPP) [1043749] Funding Source: National Science Foundation</t>
  </si>
  <si>
    <t>French national research agency ('ANR')(Agence Nationale de la Recherche (ANR)Norwegian Agency for Development Cooperation - NORAD); French Polar Institute IPEV; NSF Antarctic Organisms and Ecosystems; Antarctic Science Career Development Bursary; Consortium National de Recherche en Genomique(General Electric); Service de Systematique Moleculaire (SSM) at MNHN; Census of Antarctic Marine Life; Marine Barcode of Life (MarBOL); Canadian Centre for DNA Barcoding (CCDB); Government of Canada through Genome Canada(Genome Canada); Ontario Genomics Institute; Directorate For Geosciences; Office of Polar Programs (OPP)(National Science Foundation (NSF)NSF - Directorate for Geosciences (GEO))</t>
  </si>
  <si>
    <t>We first would like to acknowledge people without whom this huge amount of crinoids would not be gathered: Ty Hibberd (AAD, Hobart), Owen Anderson, David Bowden, Sadie Mills, Kareen Schnabel and Peter Smith (NIWA, Wellington), Stefano Schiaparelli (University of Genoa), Jens Bohn and Eva Lodde (ZSM, Munich), David Barnes, Katrin Linse, Huw Griffiths and Chester Sands (BAS, Cambridge). We thank also the CEAM-ARC (IPY project 53), POKERII and AMLR2009 cruises. We thank the ANTFLOCKS project funded by the French national research agency ('ANR'; USAR no 07-BLAN-0213-01). Funding parties also include the Departement des Milieux et Peuplements Aquatiques at the Museum national d'Histoire naturelle (MNHN) in Paris; three Actions Transversales du MNHN: 'Biodiversite' actuelle et fossile; crises, stress, restaurations et panchronisme: le message systematique, 'Taxonomie moleculaire: DNA Barcode et gestion durable des collections' and 'Biomineralisation'; the French Polar Institute IPEV (travel grants to LGH and ME on REVOLTA); the NSF Antarctic Organisms and Ecosystems grant ANT-1043749 and the Antarctic Science Career Development Bursary (to NGW). This work was supported by the Consortium National de Recherche en Genomique, and the Service de Systematique Moleculaire (SSM) at the MNHN (USM 2700). It is part of the agreement number 2005/67 between the Genoscope and the MNHN on the project 'Macrophylogeny of life' directed by Guillaume Lecointre. Part of the molecular work was also supported by collaboration between the Census of Antarctic Marine Life, the Marine Barcode of Life (MarBOL) project and the Canadian Centre for DNA Barcoding (CCDB). Part of the material from the Ross Sea has been made available by the Italian PNRA Project 'BAMBi' (2010/A1.10) directed by Stefano Schiaparelli. DS was supported by funding of the Alfred P. Sloan Foundation to MarBOL. Laboratory analyses on sequences generated at the CCDB were funded by the Government of Canada through Genome Canada and the Ontario Genomics Institute (2008-OGI-ICI-03). Finally, we gratefully thank Lucile Perrier, Charlotte Tarin, Jose Ignacio Carvajal III Patterson (students) and Celine Bonillo (SSM) for their invaluable help in the molecular laboratory. We also gratefully thank Christoph Held (AWI), the two anonymous referees and Stephen Palumbi for their constructive comments that helped to improve the manuscript.</t>
  </si>
  <si>
    <t>0962-1083</t>
  </si>
  <si>
    <t>1365-294X</t>
  </si>
  <si>
    <t>MOL ECOL</t>
  </si>
  <si>
    <t>Mol. Ecol.</t>
  </si>
  <si>
    <t>10.1111/j.1365-294X.2012.05512.x</t>
  </si>
  <si>
    <t>Biochemistry &amp; Molecular Biology; Ecology; Evolutionary Biology</t>
  </si>
  <si>
    <t>Biochemistry &amp; Molecular Biology; Environmental Sciences &amp; Ecology; Evolutionary Biology</t>
  </si>
  <si>
    <t>933UI</t>
  </si>
  <si>
    <t>WOS:000303388300017</t>
  </si>
  <si>
    <t>Naish, T; Zwartz, D</t>
  </si>
  <si>
    <t>Naish, Tim; Zwartz, Dan</t>
  </si>
  <si>
    <t>PALAEOCLIMATE Looking back to the future</t>
  </si>
  <si>
    <t>NATURE CLIMATE CHANGE</t>
  </si>
  <si>
    <t>Editorial Material</t>
  </si>
  <si>
    <t>ANTARCTIC ICE-SHEET; SENSITIVITY</t>
  </si>
  <si>
    <t>[Naish, Tim; Zwartz, Dan] Victoria Univ Wellington, Antarctic Res Ctr, Wellington 6140, New Zealand</t>
  </si>
  <si>
    <t>Victoria University Wellington</t>
  </si>
  <si>
    <t>Naish, T (corresponding author), Victoria Univ Wellington, Antarctic Res Ctr, POB 600, Wellington 6140, New Zealand.</t>
  </si>
  <si>
    <t>Timothy.Naish@vuw.ac.nz</t>
  </si>
  <si>
    <t>Naish, Tim/0000-0002-1185-9932</t>
  </si>
  <si>
    <t>1758-678X</t>
  </si>
  <si>
    <t>NAT CLIM CHANGE</t>
  </si>
  <si>
    <t>Nat. Clim. Chang.</t>
  </si>
  <si>
    <t>Environmental Sciences; Environmental Studies; Meteorology &amp; Atmospheric Sciences</t>
  </si>
  <si>
    <t>Science Citation Index Expanded (SCI-EXPANDED); Social Science Citation Index (SSCI)</t>
  </si>
  <si>
    <t>942EH</t>
  </si>
  <si>
    <t>WOS:000304024800011</t>
  </si>
  <si>
    <t>Kleinteich, J; Wood, SA; Küpper, FC; Camacho, A; Quesada, A; Frickey, T; Dietrich, DR</t>
  </si>
  <si>
    <t>Kleinteich, Julia; Wood, Susanna A.; Kuepper, Frithjof C.; Camacho, Antonio; Quesada, Antonio; Frickey, Tancred; Dietrich, Daniel R.</t>
  </si>
  <si>
    <t>Temperature-related changes in polar cyanobacterial mat diversity and toxin production</t>
  </si>
  <si>
    <t>MCMURDO ICE SHELF; MICROCYSTIS-AERUGINOSA; MICROBIAL COMMUNITIES; CLIMATE-CHANGE; ANTARCTICA; GENES; LAKES</t>
  </si>
  <si>
    <t>One of the fastest rates of recent climate warming has been reported for the Arctic and the maritime Antarctic(1); for example, mean annual temperatures increased by 0.5 degrees C per decade over the Antarctic Peninsula during the past 50 years(2). Owing to their comparatively simple and highly sensitive food webs(3), polar freshwater systems, with cyanobacterial mats representing the dominant benthic primary producers(4), seem well suited for monitoring environmental perturbation, including climate change(5). Prolonged climate change may challenge the resilience, plasticity and adaptability and thus affect the community composition of cyanobacterial mats. We demonstrate that exposing polar mat samples to raised temperatures for six months results in a change in species predominance. Mats exposed to a constant temperature of 8 degrees C or 16 degrees C showed high cyanobacterial diversity, commensurate with an increased presence of cyanobacterial toxins. In contrast, mats held at 4 degrees C and 23 degrees C seemed low in diversity. Our data thus indicate that a temperature shift to 8-16 degrees C, potentially reached during summer months in polar regions at the present warming rate, could affect cyanobacterial diversity, and in some instances result in a shift to toxin-producing species or to elevated toxin concentrations by pre-existing species that could profoundly alter freshwater polar ecosystems.</t>
  </si>
  <si>
    <t>[Kleinteich, Julia; Frickey, Tancred; Dietrich, Daniel R.] Univ Konstanz, D-78464 Constance, Germany; [Wood, Susanna A.] Cawthron Inst, Nelson 7042, New Zealand; [Wood, Susanna A.] Univ Waikato, Dept Biol Sci, Hamilton 2001, New Zealand; [Kuepper, Frithjof C.] Scottish Marine Inst, Scottish Assoc Marine Sci, Oban PA37 1QA, Argyll, Scotland; [Kuepper, Frithjof C.] Univ Aberdeen, Oceanlab, Newburgh AB41 6AA, Scotland; [Camacho, Antonio] Univ Valencia, Cavanilles Inst Biodivers &amp; Evolutionary Biol, E-46100 Valencia, Spain; [Quesada, Antonio] Autonomous Univ Madrid, Dept Biol, E-28049 Madrid, Spain</t>
  </si>
  <si>
    <t>University of Konstanz; Cawthron Institute; University of Waikato; UHI Millennium Institute; University of Aberdeen; University of Valencia; Autonomous University of Madrid</t>
  </si>
  <si>
    <t>Dietrich, DR (corresponding author), Univ Konstanz, D-78464 Constance, Germany.</t>
  </si>
  <si>
    <t>Daniel.Dietrich@uni-konstanz.de</t>
  </si>
  <si>
    <t>Dietrich, Daniel/AAP-8698-2021; Camacho, Antonio/I-3417-2015; Quesada, Antonio/L-2430-2013</t>
  </si>
  <si>
    <t>Camacho, Antonio/0000-0003-0841-2010; Quesada, Antonio/0000-0002-8913-5993; Kuepper, Frithjof/0000-0003-1273-7109</t>
  </si>
  <si>
    <t>Deutsche Forschungsgemeinschaft (DFG) [DI698/18-1 Dietrich]; Spanish Ministry of Science and Technology [POL2006-06635, CGL2005-06549-C02-01/ANT, CGL2005-06549-C02-02/ANT]; TOTAL Foundation; Carl Zeiss Stiftung; Excellence Initiative of the University of Konstanz, Germany; European Community [227788]; NERC [dml011002] Funding Source: UKRI; Natural Environment Research Council [dml011002] Funding Source: researchfish</t>
  </si>
  <si>
    <t>Deutsche Forschungsgemeinschaft (DFG)(German Research Foundation (DFG)); Spanish Ministry of Science and Technology(Spanish Government); TOTAL Foundation(Total SA); Carl Zeiss Stiftung; Excellence Initiative of the University of Konstanz, Germany; European Community; NERC(UK Research &amp; Innovation (UKRI)Natural Environment Research Council (NERC)); Natural Environment Research Council(UK Research &amp; Innovation (UKRI)Natural Environment Research Council (NERC))</t>
  </si>
  <si>
    <t>For financial support of the Antarctic expedition we would like to acknowledge the Deutsche Forschungsgemeinschaft (DFG)-funded project DI698/18-1 Dietrich, as well as the Spanish Ministry of Science and Technology through project LIMNOPOLAR (POL2006-06635 and CGL2005-06549-C02-01/ANT to A.Q., as well as CGL2005-06549-C02-02/ANT to A.C., the last of these co-financed by European FEDER funds). We thank the TOTAL Foundation for funding the expedition to Baffin Island and within this context O. Dargent, Nice, France, and P. van West, University of Aberdeen, UK, for collecting and photographing Arctic specimens on Baffin Island. We would also like to thank the Carl Zeiss Stiftung and the Excellence Initiative of the University of Konstanz, Germany, for funding the PhD project of J.K. and APECS for their support to conference contributions. Furthermore, we acknowledge the support of the European Community research infrastructure action under the FP7 'capacities' specific programme ASSEMBLE No.227788. For technical support and new ideas we are very grateful to D. Schleheck, H. Bastek and K. Leinweber from the University of Konstanz, Germany, and A. Jungblut from the Natural History Museum, London, UK.</t>
  </si>
  <si>
    <t>1758-6798</t>
  </si>
  <si>
    <t>10.1038/NCLIMATE1418</t>
  </si>
  <si>
    <t>WOS:000304024800020</t>
  </si>
  <si>
    <t>Tamura, T; Williams, GD; Fraser, AD; Ohshima, KI</t>
  </si>
  <si>
    <t>Tamura, T.; Williams, G. D.; Fraser, A. D.; Ohshima, K. I.</t>
  </si>
  <si>
    <t>Potential regime shift in decreased sea ice production after the Mertz Glacier calving</t>
  </si>
  <si>
    <t>NATURE COMMUNICATIONS</t>
  </si>
  <si>
    <t>ADELIE LAND; VARIABILITY; POLYNYA</t>
  </si>
  <si>
    <t>Variability in dense shelf water formation can potentially impact Antarctic Bottom Water (AABW) production, a vital component of the global climate system. In East Antarctica, the George V Land polynya system (142-150 degrees E) is structured by the local 'icescape', promoting sea ice formation that is driven by the offshore wind regime. Here we present the first observations of this region after the repositioning of a large iceberg (B9B) precipitated the calving of the Mertz Glacier Tongue in 2010. Using satellite data, we find that the total sea ice production for the region in 2010 and 2011 was 144 and 134 km(3), respectively, representing a 14-20% decrease from a value of 168 km(3) averaged from 2000-2009. This abrupt change to the regional icescape could result in decreased polynya activity, sea ice production, and ultimately the dense shelf water export and AABW production from this region for the coming decades.</t>
  </si>
  <si>
    <t>[Tamura, T.] Natl Inst Polar Res, Tachikawa, Tokyo, Japan; [Tamura, T.; Williams, G. D.; Fraser, A. D.] Univ Tasmania, Antarctic Climate &amp; Ecosyst Cooperat Res Ctr, Hobart, Tas, Australia; [Ohshima, K. I.] Hokkaido Univ, Inst Low Temp Sci, Sapporo, Hokkaido 060, Japan</t>
  </si>
  <si>
    <t>Research Organization of Information &amp; Systems (ROIS); National Institute of Polar Research (NIPR) - Japan; University of Tasmania; Antarctic Climate &amp; Ecosystems Cooperative Research Centre (ACE CRC); Hokkaido University</t>
  </si>
  <si>
    <t>Tamura, T (corresponding author), Natl Inst Polar Res, Tachikawa, Tokyo, Japan.</t>
  </si>
  <si>
    <t>tamura.takeshi@nipr.ac.jp; guy.darvall.williams@gmail.com</t>
  </si>
  <si>
    <t>Ohshima, Kay I/D-6909-2012; Fraser, Alexander/AFO-7186-2022</t>
  </si>
  <si>
    <t>Fraser, Alexander/0000-0003-1924-0015</t>
  </si>
  <si>
    <t>Australian government's Cooperative Research Centres through the Antarctic Climate and Ecosystem Cooperative Research Centre; JST/CREST; JSPS [20221001]; Grants-in-Aid for Scientific Research [23310003, 24810030, 20221001] Funding Source: KAKEN</t>
  </si>
  <si>
    <t>Australian government's Cooperative Research Centres through the Antarctic Climate and Ecosystem Cooperative Research Centre(Australian GovernmentDepartment of Industry, Innovation and ScienceCooperative Research Centres (CRC) Programme); JST/CREST(Japan Science &amp; Technology Agency (JST)Core Research for Evolutional Science and Technology (CREST));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</si>
  <si>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MODIS data were obtained from the Level 1 and Atmosphere Archive and Distribution System (LAADS, http://ladsweb.nascom.nasa.gov). The SSM/I data were provided by the National Snow and Ice Data Center, University of Colorado. This work was supported by the Australian government's Cooperative Research Centres Programme through the Antarctic Climate and Ecosystem Cooperative Research Centre. T. T. was supported by JST/CREST, JSPS Grant-in-Aid for Scientific Research (20221001) and JSPS Research Fellowships for Young Scientists.</t>
  </si>
  <si>
    <t>2041-1723</t>
  </si>
  <si>
    <t>NAT COMMUN</t>
  </si>
  <si>
    <t>Nat. Commun.</t>
  </si>
  <si>
    <t>10.1038/ncomms1820</t>
  </si>
  <si>
    <t>949XP</t>
  </si>
  <si>
    <t>Green Published, hybrid, Green Accepted</t>
  </si>
  <si>
    <t>WOS:000304611400022</t>
  </si>
  <si>
    <t>Spalding, MD; Agostini, VN; Rice, J; Grant, SM</t>
  </si>
  <si>
    <t>Spalding, Mark D.; Agostini, Vera N.; Rice, Jake; Grant, Susie M.</t>
  </si>
  <si>
    <t>Pelagic provinces of the world: A biogeographic classification of the world's surface pelagic waters</t>
  </si>
  <si>
    <t>OCEAN &amp; COASTAL MANAGEMENT</t>
  </si>
  <si>
    <t>CLIMATE-CHANGE; TIME-SERIES; OCEAN; ECOSYSTEM; BIODIVERSITY; IMPACTS; FISH; PHYTOPLANKTON; ECOREGIONS; FISHERIES</t>
  </si>
  <si>
    <t>Off-shelf waters cover 66% of the planet. Growing concerns about the state of natural resources in these waters, and of future threats have led to a growing movement to improve management and conservation of natural resources. However, efforts to assess progress and to further plan and prioritise management interventions have been held back in part by the lack of a comprehensive biogeographic classification for the high seas. In this work we review existing efforts at classifying the surface pelagic waters of the world's oceans and we present a synthesis classification which draws both on known taxonomic biogeography and on the oceanographic forces which are major drivers of ecological patterns. We describe a nested system of 37 pelagic provinces of the world, nested into a system of four broad realms. Ecologically we have also differentiated a system of 7 biomes which are spatially disjoint but united by common abiotic conditions creating physiognomically similar communities. This system builds on existing work and is further intended to align closely with the coastal biogeographic regionalisation provided by the Marine Ecoregions of the World classification. It is hoped that it will provide a valuable tool in supporting threat analysis, priority setting, policy development and active management of the world's pelagic oceans. Crown Copyright (C) 2012 Published by Elsevier Ltd. All rights reserved.</t>
  </si>
  <si>
    <t>[Rice, Jake] Deparrment Fisheries &amp; Ocean, Ecosyst Sci Branch, Ottawa, ON K1A 0E6, Canada; [Spalding, Mark D.] Univ Cambridge, Global Marine Team, Nat Conservancy, Dept Zool, Newmarket CB8 8AW, Suffolk, England; [Grant, Susie M.] British Antarctic Survey, NERC, Cambridge CB3 0ET, England; [Spalding, Mark D.] Univ Cambridge, Dept Zool, Conservat Sci Grp, Newmarket CB8 8AW, Suffolk, England; [Agostini, Vera N.] Nature Conservancy, Global Marine Team, Miami, FL 33139 USA</t>
  </si>
  <si>
    <t>Fisheries &amp; Oceans Canada; University of Cambridge; UK Research &amp; Innovation (UKRI); Natural Environment Research Council (NERC); NERC British Antarctic Survey; University of Cambridge</t>
  </si>
  <si>
    <t>Rice, J (corresponding author), Deparrment Fisheries &amp; Ocean, Ecosyst Sci Branch, 200 Kent St, Ottawa, ON K1A 0E6, Canada.</t>
  </si>
  <si>
    <t>mspalding@tnc.org; vagostini@tnc.org; Jake.Rice@dfo-mpo.gc.ca; suan@bas.ac.uk</t>
  </si>
  <si>
    <t>Spalding, Mark/GVU-0739-2022</t>
  </si>
  <si>
    <t>Spalding, Mark/0000-0001-9456-4533</t>
  </si>
  <si>
    <t>Natural Environment Research Council [bas0100025] Funding Source: researchfish; NERC [bas0100025] Funding Source: UKRI</t>
  </si>
  <si>
    <t>Natural Environment Research Council(UK Research &amp; Innovation (UKRI)Natural Environment Research Council (NERC)); NERC(UK Research &amp; Innovation (UKRI)Natural Environment Research Council (NERC))</t>
  </si>
  <si>
    <t>0964-5691</t>
  </si>
  <si>
    <t>1873-524X</t>
  </si>
  <si>
    <t>OCEAN COAST MANAGE</t>
  </si>
  <si>
    <t>Ocean Coastal Manage.</t>
  </si>
  <si>
    <t>10.1016/j.ocecoaman.2011.12.016</t>
  </si>
  <si>
    <t>Oceanography; Water Resources</t>
  </si>
  <si>
    <t>920ZO</t>
  </si>
  <si>
    <t>WOS:000302448000003</t>
  </si>
  <si>
    <t>Lenky, C; Eisert, R; Oftedal, OT; Metcalf, V</t>
  </si>
  <si>
    <t>Lenky, Crystal; Eisert, Regina; Oftedal, Olav T.; Metcalf, Victoria</t>
  </si>
  <si>
    <t>Proximate composition and energy density of nototheniid and myctophid fish in McMurdo Sound and the Ross Sea, Antarctica</t>
  </si>
  <si>
    <t>POLAR BIOLOGY</t>
  </si>
  <si>
    <t>Dissostichus mawsoni; Proximate composition; Nototheniid; Diet; Ross Sea; Weddell seal</t>
  </si>
  <si>
    <t>WEDDELL SEALS; MACQUARIE ISLAND; WAX ESTERS; FATTY-ACID; FUR SEALS; FOOD-WEB; LEPTONYCHOTES-WEDDELLII; ECOLOGICAL IMPLICATIONS; MESOPELAGIC FISHES; KERGUELEN ISLANDS</t>
  </si>
  <si>
    <t>Nototheniid and myctophid fish are primary prey for marine piscivores, yet little is known about their nutritional value. In this study, we characterized the proximate composition [PC: water, fat (neutral lipids), crude protein (CP) and ash] and energy density (ED; kJ g(-1)) of fifteen fish species from McMurdo Sound and the Ross Sea, Antarctica. We assayed the entire fish for all species except for the large Antarctic toothfish, Dissostichus mawsoni (muscle tissue only). On a wet mass basis (WM), fish were variable in composition: moisture content ranged from 64.9 to 87.3% WM, fat from 0.5 to 17.4% WM, CP from 7.7 to 16.7% WM, ash from 11.2 to 21.0% FFDM (fat-free dry mass), and ED from 2.9 to 10.3 kJ g(-1). Myctophids and pelagic nototheniids such as Pleuragramma antarcticum and D. mawsoni were high in fat content (7-17% WM), while a bathylagid and benthic nototheniids including most Trematomus spp. and Lepidonotothen squamifrons were low in fat (0.5-4% WM). The epibenthic Trematomus species (T. eulepidotus and T. lepidorhinus) were intermediate. Energy density tracked fat content, with highest values in myctophids and pelagic nototheniids. The variation in nutrient and energy density confirms that prey composition must be taken into account when modelling energy and nutrient fluxes within the Antarctic ecosystem. Further analyses of prey collected over a number of different locations and seasons are needed in order to determine how the nutritional value of certain species might affect annual or decadal variation in reproductive success or population size of top predators.</t>
  </si>
  <si>
    <t>[Lenky, Crystal; Eisert, Regina] Univ Canterbury, Christchurch, New Zealand; [Eisert, Regina; Oftedal, Olav T.] Smithsonian Environm Res Ctr, Edgewater, MD 21037 USA; [Metcalf, Victoria] Lincoln Univ, Dept Wine Food &amp; Mol Biosci, Canterbury, New Zealand</t>
  </si>
  <si>
    <t>University of Canterbury; Smithsonian Institution; Smithsonian Environmental Research Center; Lincoln University - New Zealand</t>
  </si>
  <si>
    <t>Lenky, C (corresponding author), Univ Canterbury, Private Bag 4800, Christchurch, New Zealand.</t>
  </si>
  <si>
    <t>crystal.lenky@pg.canterbury.ac.nz</t>
  </si>
  <si>
    <t>Metcalf, Victoria J/C-1933-2013</t>
  </si>
  <si>
    <t>Metcalf, Victoria/0000-0002-0833-7965; Eisert, Regina/0000-0002-8980-7673</t>
  </si>
  <si>
    <t>National Science Foundation, Office of Polar Programs [0538592]; Directorate For Geosciences; Office of Polar Programs (OPP) [0538592] Funding Source: National Science Foundation</t>
  </si>
  <si>
    <t>National Science Foundation, Office of Polar Programs(National Science Foundation (NSF)); Directorate For Geosciences; Office of Polar Programs (OPP)(National Science Foundation (NSF)NSF - Directorate for Geosciences (GEO))</t>
  </si>
  <si>
    <t>We would like to thank Dr. Gretchen Hofmann (University of California Santa Barbara, Santa Barbara, CA), Dr. Art DeVries (University of Illinois, Urbana-Champaign, IL), and Dr. Matt Pinkerton (National Institute of Water and Atmospheric Research, Wellington, New Zealand) for providing samples. Specimens and data collected by and made available through the New Zealand International Polar Year-Census of Antarctic Marine Life Project are gratefully acknowledged. We would also like to thank Michael Jakubasz (Smithsonian National Zoological Park) for his help with all of the assays, Luis Apiolaza (University of Canterbury) for statistical advice and David Ainley and Graham Worthy for their comments on an earlier version of this manuscript. This manuscript was greatly improved by comments from three anonymous reviewers. This work was supported by the National Science Foundation, Office of Polar Programs grant 0538592 to Oftedal, Eisert and DJ Boness.</t>
  </si>
  <si>
    <t>0722-4060</t>
  </si>
  <si>
    <t>POLAR BIOL</t>
  </si>
  <si>
    <t>Polar Biol.</t>
  </si>
  <si>
    <t>10.1007/s00300-011-1116-9</t>
  </si>
  <si>
    <t>Biodiversity Conservation; Ecology</t>
  </si>
  <si>
    <t>921MB</t>
  </si>
  <si>
    <t>WOS:000302480600007</t>
  </si>
  <si>
    <t>Komárek, J; Nedbalová, L; Hauer, T</t>
  </si>
  <si>
    <t>Komarek, J.; Nedbalova, L.; Hauer, T.</t>
  </si>
  <si>
    <t>Phylogenetic position and taxonomy of three heterocytous cyanobacteria dominating the littoral of deglaciated lakes, James Ross Island, Antarctica</t>
  </si>
  <si>
    <t>Heterocytous cyanobacteria; Antarctica; Lakes; New species; Ecology</t>
  </si>
  <si>
    <t>RIBOSOMAL-RNA; MORPHOLOGICAL CHARACTERIZATION; SEQUENCE ALIGNMENT; NORTHERN PART; DIVERSITY; CYANOPHYCEAE; BIOTA; GENUS; ACIDS; SEA</t>
  </si>
  <si>
    <t>Several communities of autotrophic microorganisms, in which cyanobacteria are dominant or play a substantial role in their structure, were studied on the deglaciated Ulu Peninsula, northern part of James Ross Island, NW Weddell Sea, Antarctica, in 2007-2009. Our results were compared with similar data from maritime Antarctica (King George Island, South Shetland Islands, 2005). Characteristics and taxonomic description of three important heterocytous species, which participate in cyanoprokaryotic assemblages in the littoral of small lakes, seepages, and on wetted rocks during the Antarctic summer season, are included in this study. They belong to the form-genera Calothrix and Hassallia, respectively, and are unidentifiable according to the present determination literature. Therefore, after a polyphasic evaluation, they are described as three new species, Calothrix elsteri sp. nova, Hassallia andreassenii sp. nova, and Hassallia antarctica sp. nova. 16S rRNA gene sequencing of isolated strains confirmed the taxonomic position of all three species, and their ecology and seasonal development are described. All three discovered species are dominant in distinct communities with a specialized ecology and may be endemic for coastal maritime Antarctica.</t>
  </si>
  <si>
    <t>[Komarek, J.; Nedbalova, L.; Hauer, T.] Inst Bot AS CR, Trebon 37982, Czech Republic; [Komarek, J.; Hauer, T.] Univ S Bohemia, Fac Sci, Ceske Budejovice 37005, Czech Republic; [Nedbalova, L.] Charles Univ Prague, Fac Sci, Prague 12843, Czech Republic</t>
  </si>
  <si>
    <t>Czech Academy of Sciences; Institute of Botany of the Czech Academy of Sciences; University of South Bohemia Ceske Budejovice; Charles University Prague</t>
  </si>
  <si>
    <t>Komárek, J (corresponding author), Inst Bot AS CR, Dukelska 135, Trebon 37982, Czech Republic.</t>
  </si>
  <si>
    <t>komarek@butbn.cas.cz</t>
  </si>
  <si>
    <t>Nedbalová, Linda/AAF-1001-2022; Nedbalová, Linda/AFF-8321-2022; Komarek, Jiri/H-1597-2014; Hauer, Tomas/F-5089-2010</t>
  </si>
  <si>
    <t>Nedbalová, Linda/0000-0003-1800-714X; Nedbalová, Linda/0000-0003-1800-714X; Hauer, Tomas/0000-0002-8005-5874</t>
  </si>
  <si>
    <t>Ministry of Education, Youth, and Sports of the Czech Republic [LM2010005]; [AV0Z60050516]; [IAA600050704]; [MSM6007665801]; [MSM0021620828]; [GA CR 206/08/0318]</t>
  </si>
  <si>
    <t>Ministry of Education, Youth, and Sports of the Czech Republic(Ministry of Education, Youth &amp; Sports - Czech Republic); ; ; ; ;</t>
  </si>
  <si>
    <t>This study was conducted during the stay of the authors in the Polish Antarctic station Henryk Arctowski in 2004-2005 (headed by Prof. Stanislaw Rakusa-Suszczewski and Prof. Adam Barcikowski) and mainly in the Czech station J.G. Mendel (headed by Prof. Pavel Prosek and Prof. Milos Bartak) in 2007 and 2009. We are indebted particularly to Assoc. Prof. Josef Elster for all support of our work, help, and valuable data. The access to the MetaCentrum computing facilities provided under the programme Projects of Large Infrastructure for Research, Development, and Innovations LM2010005 funded by the Ministry of Education, Youth, and Sports of the Czech Republic is appreciated/acknowledged. The technical work in laboratories was performed by Jana Snokhousova and Dana Svehlova. We thank Dr. Keith Edwards for language correction. The work was supported by grants AV0Z60050516, IAA600050704, MSM6007665801, MSM0021620828 and GA CR 206/08/0318.</t>
  </si>
  <si>
    <t>1432-2056</t>
  </si>
  <si>
    <t>10.1007/s00300-011-1123-x</t>
  </si>
  <si>
    <t>WOS:000302480600011</t>
  </si>
  <si>
    <t>Miyazaki, T; Iwami, T</t>
  </si>
  <si>
    <t>Miyazaki, Taeko; Iwami, Tetsuo</t>
  </si>
  <si>
    <t>Molecular cloning of cDNA encoding red opsin gene in the retinas of five Antarctic notothenioid fishes</t>
  </si>
  <si>
    <t>Notothenioid; Red-sensitive opsin; Visual pigment; cDNA cloning</t>
  </si>
  <si>
    <t>GREEN COLOR-VISION; UNDERWATER LIGHT-FIELD; VISUAL PIGMENTS; PAGOTHENIA-BORCHGREVINKI; EVOLUTION; PHOTORECEPTORS; CONES</t>
  </si>
  <si>
    <t>Previous evidence suggested that notothenioid fish had lost red-sensitive (LWS) visual pigment and photoreceptors, but retained ultraviolet-sensitive (SWS1), blue-sensitive (SWS2), and green-sensitive (RH2) pigments. We used RT-PCR and Southern blot to isolate the LWS opsin gene in five notothenioid species. We determined full-coding LWS opsin sequences and genomic sequences. The expected peak absorbance of the LWS opsin, based on the five-sites rule that is primarily responsible for the spectral sensitivities in vertebrates, ranged from 541 to 553 nm. In Antarctic waters, light of this wavelength penetrates to dozens of meters. Thus, we conclude that notothenioids use tetrachromatic color vision in shallower waters, at least during the Antarctic summer.</t>
  </si>
  <si>
    <t>[Miyazaki, Taeko] Mie Univ, Grad Sch Bioresources, Tsu, Mie 5148507, Japan; [Iwami, Tetsuo] Tokyo Kasei Gakuin Univ, Machida, Tokyo 1940292, Japan</t>
  </si>
  <si>
    <t>Mie University</t>
  </si>
  <si>
    <t>Miyazaki, T (corresponding author), Mie Univ, Grad Sch Bioresources, Tsu, Mie 5148507, Japan.</t>
  </si>
  <si>
    <t>taeko@bio.mie-u.ac.jp</t>
  </si>
  <si>
    <t>JSPS [15570086, 17570077, 23570113]; Fujiwara Natural History Foundation; Mie University; Grants-in-Aid for Scientific Research [23570113, 17570077, 15570086] Funding Source: KAKEN</t>
  </si>
  <si>
    <t>JSPS(Ministry of Education, Culture, Sports, Science and Technology, Japan (MEXT)Japan Society for the Promotion of Science); Fujiwara Natural History Foundation; Mie University; Grants-in-Aid for Scientific Research(Ministry of Education, Culture, Sports, Science and Technology, Japan (MEXT)Japan Society for the Promotion of ScienceGrants-in-Aid for Scientific Research (KAKENHI))</t>
  </si>
  <si>
    <t>We are grateful to the crews of the R/V Niitaka-Maru, Nippon Suisan Kaisha, Ltd., for assistance with the collection of fish. We thank the Tokyo Sea Life Park for providing muscle samples of L. nudifrons and Dr. Tohru Tsuchiya for assistance with the Southern blot analysis. Also we acknowledge Dr. V.B. Meyer-Rochow and two anonymous reviewers for their comments on the earliest draft. This work was supported by a Grant-in-Aid for Scientific Research (C) from the JSPS (No. 15570086; 17570077; 23570113), the Fujiwara Natural History Foundation, the Mie University COE-A Program.</t>
  </si>
  <si>
    <t>10.1007/s00300-011-1124-9</t>
  </si>
  <si>
    <t>WOS:000302480600012</t>
  </si>
  <si>
    <t>Turner, D; Lucieer, A; Watson, C</t>
  </si>
  <si>
    <t>Turner, Darren; Lucieer, Arko; Watson, Christopher</t>
  </si>
  <si>
    <t>An Automated Technique for Generating Georectified Mosaics from Ultra-High Resolution Unmanned Aerial Vehicle (UAV) Imagery, Based on Structure from Motion (SfM) Point Clouds</t>
  </si>
  <si>
    <t>UAV; Structure from Motion (SfM); rectify; georeferencing; mosaicking; point cloud; Digital Terrain Model (DTM)</t>
  </si>
  <si>
    <t>AIRCRAFT; CROP</t>
  </si>
  <si>
    <t>Unmanned Aerial Vehicles (UAVs) are an exciting new remote sensing tool capable of acquiring high resolution spatial data. Remote sensing with UAVs has the potential to provide imagery at an unprecedented spatial and temporal resolution. The small footprint of UAV imagery, however, makes it necessary to develop automated techniques to geometrically rectify and mosaic the imagery such that larger areas can be monitored. In this paper, we present a technique for geometric correction and mosaicking of UAV photography using feature matching and Structure from Motion (SfM) photogrammetric techniques. Images are processed to create three dimensional point clouds, initially in an arbitrary model space. The point clouds are transformed into a real-world coordinate system using either a direct georeferencing technique that uses estimated camera positions or via a Ground Control Point (GCP) technique that uses automatically identified GCPs within the point cloud. The point cloud is then used to generate a Digital Terrain Model (DTM) required for rectification of the images. Subsequent georeferenced images are then joined together to form a mosaic of the study area. The absolute spatial accuracy of the direct technique was found to be 65-120 cm whilst the GCP technique achieves an accuracy of approximately 10-15 cm.</t>
  </si>
  <si>
    <t>[Turner, Darren; Lucieer, Arko; Watson, Christopher] Univ Tasmania, Sch Geog &amp; Environm Studies, Hobart, Tas 7001, Australia</t>
  </si>
  <si>
    <t>Turner, D (corresponding author), Univ Tasmania, Sch Geog &amp; Environm Studies, Hobart, Tas 7001, Australia.</t>
  </si>
  <si>
    <t>Darren.Turner@utas.edu.au; Arko.Lucieer@utas.edu.au; Christopher.Watson@utas.edu.au</t>
  </si>
  <si>
    <t>Watson, Christopher S/D-4707-2013; Lucieer, Arko/F-1247-2013; Turner, Darren/O-4839-2017</t>
  </si>
  <si>
    <t>Lucieer, Arko/0000-0002-9468-4516; Turner, Darren/0000-0002-3029-6717; Watson, Christopher/0000-0002-7464-4592</t>
  </si>
  <si>
    <t>Australian Antarctic Division [AAS313]</t>
  </si>
  <si>
    <t>Australian Antarctic Division</t>
  </si>
  <si>
    <t>The authors would like to acknowledge the Australian Antarctic Division for financial and logistic support (project AAS313). We would also like to thank Sharon Robinson, Dana Bergstrom, and Jessica Bramley-Alves for their support in the field. Finally, we would like to thank Jon Osborn for valuable suggestions to an earlier version of the manuscript.</t>
  </si>
  <si>
    <t>MDPI</t>
  </si>
  <si>
    <t>ST ALBAN-ANLAGE 66, CH-4052 BASEL, SWITZERLAND</t>
  </si>
  <si>
    <t>10.3390/rs4051392</t>
  </si>
  <si>
    <t>gold, Green Submitted, Green Accepted, Green Published</t>
  </si>
  <si>
    <t>WOS:000306757800014</t>
  </si>
  <si>
    <t>Zhang, QH; Liu, RY; Yang, HG; Hu, HQ; Zhang, BC; Dunlop, M; Lester, M; Bogdanova, Y; Walsh, A</t>
  </si>
  <si>
    <t>Zhang QingHe; Liu RuiYuan; Yang HuiGen; Hu HongQiao; Zhang BeiChen; Dunlop, Malcolm; Lester, Mark; Bogdanova, Yulia; Walsh, Andrew</t>
  </si>
  <si>
    <t>SuperDARN CUTLASS Finland radar observations of high-latitude magnetic reconnections under northward interplanetary magnetic field (IMF) conditions</t>
  </si>
  <si>
    <t>SCIENCE CHINA-TECHNOLOGICAL SCIENCES</t>
  </si>
  <si>
    <t>high-latitude magnetic reconnection; equatorward-moving radar auroral form; evolution time of the lobe reconnections</t>
  </si>
  <si>
    <t>FLUX-TRANSFER EVENTS; HF RADAR; IONOSPHERIC CONVECTION; AURORAL EMISSIONS; MAGNETOSPHERE; MAGNETOPAUSE; SIGNATURES; CLUSTER; CUSP; CAP</t>
  </si>
  <si>
    <t>A number of backscatter power enhancement events with equatorward-moving radar auroral forms in the high-latitude ionosphere were observed by SuperDARN CUTLASS Finland radar when the IMF was northward during 09:00 10:00 UT on 26 March 2004. These events were also associated with sunward flow enhancements at each location in the Northern Hemisphere which were shown in ionospheric convections measured by the SuperDARN radars. These are typical features of high-latitude (lobe) magnetic reconnections. The durations of the velocity enhancements imply that the evolution time of the lobe reconnections is about 8-16 min from their origin at the reconnection site to their addition to the magnetotail lobe again. In additional, the Double Star TC-1 spacecraft was moving from magnetosheath into magnetosphere, and crossing the magnetopause near the subsolar region during this interval, and observed typical low-latitude magnetic reconnection signatures. This infers that the dayside high- and low-latitude reconnections may occur simultaneously.</t>
  </si>
  <si>
    <t>[Zhang QingHe; Liu RuiYuan; Yang HuiGen; Hu HongQiao; Zhang BeiChen] Polar Res Inst China, SOA Key Lab Polar Sci, Shanghai 200136, Peoples R China; [Dunlop, Malcolm] Rutherford Appleton Lab, Dept Space Sci, Didcot OX11 0QX, Oxon, England; [Lester, Mark] Univ Leicester, Dept Phys &amp; Astron, Leicester LE1 7RH, Leics, England; [Bogdanova, Yulia; Walsh, Andrew] Univ Coll London, Mullard Space Sci Lab, Dorking RH5 6NT, Surrey, England</t>
  </si>
  <si>
    <t>Polar Research Institute of China; UK Research &amp; Innovation (UKRI); Science &amp; Technology Facilities Council (STFC); STFC Rutherford Appleton Laboratory; University of Leicester; University of London; University College London</t>
  </si>
  <si>
    <t>Zhang, QH (corresponding author), Polar Res Inst China, SOA Key Lab Polar Sci, Shanghai 200136, Peoples R China.</t>
  </si>
  <si>
    <t>zhangqinghe@pric.gov.cn</t>
  </si>
  <si>
    <t>Bogdanova, Yulia/AAV-1615-2020; dunlop, malcolm w/F-1347-2010; Lester, Mark/C-9657-2016; Zhang, Qing-He/G-4572-2014; Walsh, Andrew/N-8749-2019</t>
  </si>
  <si>
    <t>Bogdanova, Yulia/0000-0002-1356-0598; dunlop, malcolm w/0000-0002-8195-5137; Zhang, Qing-He/0000-0003-2429-4050; Walsh, Andrew/0000-0002-1682-1212; Zhang, Beichen/0000-0002-0927-9568</t>
  </si>
  <si>
    <t>National Natural Science Foundation of China [41104091, 41031064, 40890164]; Youth Scientific and Technological Innovation Foundation, Polar Research Institute of China [JDQ201001]; Chinese Arctic and Antarctic Administration [IC201112]; State Oceanic Administration People's Republic of China [201005017]; Science and Technology Facilities Council [ST/G008493/1, ST/H00260X/1, PP/E007929/1, ST/H004130/1, ST/H002480/1] Funding Source: researchfish; UK Space Agency [ST/J004758/1] Funding Source: researchfish; STFC [ST/H004130/1, PP/E007929/1, ST/H00260X/1, ST/G008493/1, ST/H002480/1] Funding Source: UKRI</t>
  </si>
  <si>
    <t>National Natural Science Foundation of China(National Natural Science Foundation of China (NSFC)); Youth Scientific and Technological Innovation Foundation, Polar Research Institute of China; Chinese Arctic and Antarctic Administration; State Oceanic Administration People's Republic of China; Science and Technology Facilities Council(UK Research &amp; Innovation (UKRI)Science &amp; Technology Facilities Council (STFC)); UK Space Agency; STFC(UK Research &amp; Innovation (UKRI)Science &amp; Technology Facilities Council (STFC))</t>
  </si>
  <si>
    <t>This work was supported by the National Natural Science Foundation of China (Grant Nos. 41104091, 41031064, 40890164), the Youth Scientific and Technological Innovation Foundation, Polar Research Institute of China (Grant No. JDQ201001), the International Collaboration Supporting Project, Chinese Arctic and Antarctic Administration (Grant No. IC201112), and the Ocean Public Welfare Scientific Research Project, State Oceanic Administration People's Republic of China (Grant No. 201005017). We thank the Double Star Operations Teams, the CSSAR Double Star data centre for the TC-1 FGM and HIA data, the Double Star PEACE PI A. N. Fazakerley, for the electron spectrometer data. We acknowledge the NASA CDA Web site to supply us the solar wind and IMF data from the ACE spacecraft.</t>
  </si>
  <si>
    <t>1674-7321</t>
  </si>
  <si>
    <t>SCI CHINA TECHNOL SC</t>
  </si>
  <si>
    <t>Sci. China-Technol. Sci.</t>
  </si>
  <si>
    <t>10.1007/s11431-012-4820-y</t>
  </si>
  <si>
    <t>Engineering, Multidisciplinary; Materials Science, Multidisciplinary</t>
  </si>
  <si>
    <t>Engineering; Materials Science</t>
  </si>
  <si>
    <t>927RV</t>
  </si>
  <si>
    <t>WOS:000302928700008</t>
  </si>
  <si>
    <t>Mitchell, EG; Neutel, AM</t>
  </si>
  <si>
    <t>Mitchell, Emily G.; Neutel, Anje-Margriet</t>
  </si>
  <si>
    <t>Feedback spectra of soil food webs across a complexity gradient, and the importance of three-species loops to stability</t>
  </si>
  <si>
    <t>THEORETICAL ECOLOGY</t>
  </si>
  <si>
    <t>Food webs; Loop weight analysis; Feedback; Omnivory</t>
  </si>
  <si>
    <t>It has been shown that in real food webs, the strongest omnivorous feedback, a three-link positive feedback, is a good indicator of system stability, suggesting that the strongest positive feedback in a food web could be the Achilles heel of stability. However, the complete spectrum of feedbacks in observed food webs has never been analyzed. Here, we have quantified all the feedbacks in 32 soil food webs along a complexity gradient, including trophic feedbacks and feedbacks resulting from recycling of organic matter. We found that, although the maximum omnivorous feedback was rarely the strongest positive feedback in a system, it stood out over longer and stronger feedbacks as the indicator of stability. The results emphasize the importance of small substructures in complex networks.</t>
  </si>
  <si>
    <t>[Mitchell, Emily G.] Univ Cambridge, Dept Earth Sci, Downing St, Cambridge CB2 3EQ, England; [Mitchell, Emily G.; Neutel, Anje-Margriet] British Antarctic Survey, Cambridge CB3 0ET, England</t>
  </si>
  <si>
    <t>University of Cambridge; UK Research &amp; Innovation (UKRI); Natural Environment Research Council (NERC); NERC British Antarctic Survey</t>
  </si>
  <si>
    <t>Mitchell, EG (corresponding author), Univ Cambridge, Dept Earth Sci, Downing St, Cambridge CB2 3EQ, England.</t>
  </si>
  <si>
    <t>ek338@cam.ac.uk; anjute@bas.ac.uk</t>
  </si>
  <si>
    <t>Mitchell, Emily/AAK-1991-2020</t>
  </si>
  <si>
    <t>Mitchell, Emily/0000-0001-6517-2231</t>
  </si>
  <si>
    <t>National Environmental Research Council; Natural Environment Research Council [bas0100026] Funding Source: researchfish; NERC [bas0100026] Funding Source: UKRI</t>
  </si>
  <si>
    <t>National Environmental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</si>
  <si>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Emily Mitchell was supported by a National Environmental Research Council Ph.D. studentship. Thanks to Mervyn Freeman, Michael Thorne, Peter de Ruiter, and the two anonymous reviewers for helpful comments on this manuscript.</t>
  </si>
  <si>
    <t>SPRINGER HEIDELBERG</t>
  </si>
  <si>
    <t>HEIDELBERG</t>
  </si>
  <si>
    <t>TIERGARTENSTRASSE 17, D-69121 HEIDELBERG, GERMANY</t>
  </si>
  <si>
    <t>1874-1738</t>
  </si>
  <si>
    <t>1874-1746</t>
  </si>
  <si>
    <t>THEOR ECOL-NETH</t>
  </si>
  <si>
    <t>Theor. Ecol.</t>
  </si>
  <si>
    <t>10.1007/s12080-011-0143-z</t>
  </si>
  <si>
    <t>Ecology</t>
  </si>
  <si>
    <t>919AE</t>
  </si>
  <si>
    <t>WOS:000302292200001</t>
  </si>
  <si>
    <t>Gesheva, V; Vasileva-Tonkova, E</t>
  </si>
  <si>
    <t>Gesheva, Victoria; Vasileva-Tonkova, Evgenia</t>
  </si>
  <si>
    <t>Production of enzymes and antimicrobial compounds by halophilic Antarctic Nocardioides sp grown on different carbon sources</t>
  </si>
  <si>
    <t>Antarctic soils; Actinomycetes; Nocardioides; Psychrophiles; Hydrolytic enzymes; Antimicrobial activity</t>
  </si>
  <si>
    <t>BIOSURFACTANT PRODUCTION; MICROORGANISMS; DIVERSITY; BACTERIUM; SURFACTIN; NOV.</t>
  </si>
  <si>
    <t>This study demonstrated the potential of microbial isolates from Antarctic soils to produce hydrolytic enzymes by using specific substrates. The results revealed potential of the strains to produce a broad spectrum of hydrolytic enzymes. Strain A-1 isolated from soil samples in Casey Station, Wilkes Land, was identified as Nocardioides sp. on the basis of morphological, biochemical, physiological observations and also chemotaxonomy analysis. Enzymatic and antimicrobial activities of the cell-free supernatants were explored after growth of strain A-1 in mineral salts medium supplemented with different carbon sources. It was found that the carbon sources favored the production of a broad spectrum of enzymes as well as compounds with antimicrobial activity against Gram-positive and Gram-negative bacteria, especially Staphylococcus aureus and Xanthomonas oryzae. Preliminary analysis showed that the compounds with antimicrobial activity produced by the strain A-1 are mainly glycolipids and/or lipopeptides depending on the used carbon source. The results revealed a great potential of the Antarctic Nocardioides sp. strain A-1 for biotechnological, biopharmaceutical and biocontrol applications as a source of industrially important enzymes and antimicrobial/antifungal compounds.</t>
  </si>
  <si>
    <t>[Gesheva, Victoria; Vasileva-Tonkova, Evgenia] Bulgarian Acad Sci, Stephan Angeloff Inst Microbiol, BU-1113 Sofia, Bulgaria</t>
  </si>
  <si>
    <t>Bulgarian Academy of Sciences; Stephan Angeloff Institute of Microbiology, Bulgarian Academy of Sciences</t>
  </si>
  <si>
    <t>Vasileva-Tonkova, E (corresponding author), Bulgarian Acad Sci, Stephan Angeloff Inst Microbiol, Acad G Bonchev Str, Bl 26, BU-1113 Sofia, Bulgaria.</t>
  </si>
  <si>
    <t>evaston@yahoo.com</t>
  </si>
  <si>
    <t>10.1007/s11274-012-1009-2</t>
  </si>
  <si>
    <t>WOS:000303385900022</t>
  </si>
  <si>
    <t>Loperena, L; Soria, V; Varela, H; Lupo, S; Bergalli, A; Guigou, M; Pellegrino, A; Bernardo, A; Calviño, A; Rivas, F; Batista, S</t>
  </si>
  <si>
    <t>Loperena, Lyliam; Soria, Veronica; Varela, Hermosinda; Lupo, Sandra; Bergalli, Alejandro; Guigou, Mairan; Pellegrino, Andres; Bernardo, Angela; Calvino, Ana; Rivas, Federico; Batista, Silvia</t>
  </si>
  <si>
    <t>Extracellular enzymes produced by microorganisms isolated from maritime Antarctica</t>
  </si>
  <si>
    <t>Maritime Antarctica; Psychrophile microorganism; Psychrotroph microorganism; Enzymatic activity</t>
  </si>
  <si>
    <t>ALKALINE PROTEASE; COLD; ENVIRONMENTS; SELECTION; BACTERIA; FUNGI; COAST</t>
  </si>
  <si>
    <t>Antarctic environments can sustain a great diversity of well-adapted microorganisms known as psychrophiles or psychrotrophs. The potential of these microorganisms as a resource of enzymes able to maintain their activity and stability at low temperature for technological applications has stimulated interest in exploration and isolation of microbes from this extreme environment. Enzymes produced by these organisms have a considerable potential for technological applications because they are known to have higher enzymatic activities at lower temperatures than their mesophilic and thermophilic counterparts. A total of 518 Antarctic microorganisms, were isolated during Antarctic expeditions organized by the Instituto Antartico Uruguayo. Samples of particules suspended in air, ice, sea and freshwater, soil, sediment, bird and marine animal faeces, dead animals, algae, plants, rocks and microbial mats were collected from different sites in maritime Antarctica. We report enzymatic activities present in 161 microorganisms (120 bacteria, 31 yeasts and 10 filamentous fungi) isolated from these locations. Enzymatic performance was evaluated at 4 and 20A degrees C. Most of yeasts and bacteria grew better at 20A degrees C than at 4A degrees C, however the opposite was observed with the fungi. Amylase, lipase and protease activities were frequently found in bacterial strains. Yeasts and fungal isolates typically exhibited lipase, celullase and gelatinase activities. Bacterial isolates with highest enzymatic activities were identified by 16S rDNA sequence analysis as Pseudomonas spp., Psychrobacter sp., Arthrobacter spp., Bacillus sp. and Carnobacterium sp. Yeasts and fungal strains, with multiple enzymatic activities, belonged to Cryptococcus victoriae, Trichosporon pullulans and Geomyces pannorum.</t>
  </si>
  <si>
    <t>[Loperena, Lyliam; Soria, Veronica; Varela, Hermosinda; Bergalli, Alejandro; Guigou, Mairan; Pellegrino, Andres; Bernardo, Angela; Calvino, Ana; Rivas, Federico] Fac Ingn, Inst Ingn Quim, Dept Bioingn, Montevideo 11300, Uruguay; [Lupo, Sandra] UdelaR, Fac Ciencias, Inst Biol, Lab Micol, Montevideo 11400, Uruguay; [Batista, Silvia] Inst Invest Biol Clemente Estable MEC, Unidad Microbiol Mol, Montevideo 1600, Uruguay</t>
  </si>
  <si>
    <t>Universidad de la Republica, Uruguay; Instituto de Investigaciones Biologicas Clemente Estable Uruguay</t>
  </si>
  <si>
    <t>Loperena, L (corresponding author), Fac Ingn, Inst Ingn Quim, Dept Bioingn, Julio Herrera &amp; Reissig 565, Montevideo 11300, Uruguay.</t>
  </si>
  <si>
    <t>lilianl@fing.edu.uy</t>
  </si>
  <si>
    <t>Comision Sectorial de Investigacion Cientifica-Universidad de la Republica; Instituto Antartico Uruguayo</t>
  </si>
  <si>
    <t>We are grateful to Dr. Paul R. Gill for English corrections and valuable comments. This study was supported by a grant from the Comision Sectorial de Investigacion Cientifica-Universidad de la Republica and by Instituto Antartico Uruguayo.</t>
  </si>
  <si>
    <t>10.1007/s11274-012-1032-3</t>
  </si>
  <si>
    <t>WOS:000303385900042</t>
  </si>
  <si>
    <t>Galea, HR; Schories, D</t>
  </si>
  <si>
    <t>Galea, Horia R.; Schories, Dirk</t>
  </si>
  <si>
    <t>Some hydrozoans (Cnidaria) from Central Chile and the Strait of Magellan</t>
  </si>
  <si>
    <t>Hydrozoa; hydroids; hydromedusa; new species; south-eastern Pacific</t>
  </si>
  <si>
    <t>BENTHIC HYDROIDS CNIDARIA; EUROPEAN ATHECATE HYDROIDS; MEDUSAE HYDROZOA; EXPEDITIONS; GULF</t>
  </si>
  <si>
    <t>This report supplements a series of earlier accounts on the hydrozoan fauna of Chile, and discusses 34 species of hydroids and one hydromedusa. The available collection was gathered from three distinct biogeographical regions: the southern border of the Peruvian Province around Punta de Choros, the southern Intermediate Zone around Corral, and the northern and southern parts of the Magellan Province, around Reloncavi Sound and in the Strait of Magellan, respectively. All the species are fully illustrated and, when necessary, data on the cnidome composition are provided. Six species, Halecium annuliforme, Sertularella curvitheca, Sertularella mixta, Symplectoscyphus patagonicus, Halopteris plumosa, and Clytia reloncavia, are described as new. The gonothecae of Halecium fjordlandicum Galea, 2007, Symplectoscyphus magellanicus (Marktanner-Turneretscher, 1890), and Campanularia hartlaubi (El Beshbeeshy, 2011) are described for the first time, while those of Kirchenpaueria curvata (Jaderholm, 1904) were rediscovered and are accurately redescribed. Morphological differences between C. hartlaubi and C. lennoxensis (Jaderholm, 1903), two species with similar trophosomes, are highlighted. Large, fertile specimens of Halecium pallens Jaderholm, 1904, as well as a female colony of Hydractinia parvispina Hartlaub, 1905, allowed new redescriptions to be made. Due to insufficient taxonomic information on several species created more than a century ago, two Chilean records are doubtfully assigned to Sertularella implexa (Allman, 1888) and Sertularella lagena Allman, 1876, respectively, the former represented by fertile specimens, and thus allowing the first description of its gonothecae. The long history of the confused taxonomy of South American Symplectoscyphus subdichotomus (Kirchenpauer, 1884) is now entirely settled. All the available records are confidently assigned to the synonymy of Symplectoscyphus filiformis (Allman, 1888), whose sexual dimorphism of gonothecae, first indicated by Totton (1930), is confirmed in light of the present material. Five species represent new records for the country: Staurocladia vallentini (Browne, 1902), Samuraia tabularasa Mangin, 1991, H. pallens, Sertularella blanconae El Beshbeeshy, 2011, and Symplectoscyphus paraglacialis El Beshbeeshy, 2011, the latter two being redescribed. Due to the scarcity of available material and the lack of gonophores of both sexes, six species of Eudendrium Ehrenberg, 1834 could be identified to genus only. Similarly, a species of Sertularella Gray, 1848 and two belonging to Symplectoscyphus Marktanner-Turneretscher, 1890, are awaiting reliable identifications based on fertile specimens. A species of Clytia Lamouroux, 1812 could not be determined to species in the absence of life cycle studies.</t>
  </si>
  <si>
    <t>[Galea, Horia R.] Hydrozoan Res Lab, F-83170 Tourves, France; [Schories, Dirk] Univ Austral Chile, Inst Ciencias Marinas &amp; Limnol, Valdivia, Chile</t>
  </si>
  <si>
    <t>Universidad Austral de Chile</t>
  </si>
  <si>
    <t>Galea, HR (corresponding author), Hydrozoan Res Lab, 405 Chemin Gatiers, F-83170 Tourves, France.</t>
  </si>
  <si>
    <t>horia.galea@gmail.com; dirk.schories@gmx.de</t>
  </si>
  <si>
    <t>International Bureau, Bonn, FRG [CHL 07/001, CHL 07/007]; Direction of Investigation and Development of the University Austral de Chile, Valdivia, UACh, Chile [S-2008-14]; Chilean Antarctic Institute, INACh [T-21-09]; INOVAChile, CORFO</t>
  </si>
  <si>
    <t>International Bureau, Bonn, FRG; Direction of Investigation and Development of the University Austral de Chile, Valdivia, UACh, Chile; Chilean Antarctic Institute, INACh; INOVAChile, CORFO</t>
  </si>
  <si>
    <t>We are grateful to the Scientific Diving Group of the Universidad Austral de Chile for participation and assistance in the field expeditions. Samplings in the Strait of Magellan were inconceivable without the help of Patricio (Pato) Caceres and Luis (Coti) Chard. This work was supported by the International Bureau, Bonn, FRG (project #CHL 07/001 &amp; CHL 07/007), the Direction of Investigation and Development of the University Austral de Chile, Valdivia, UACh, Chile (S-2008-14), and the Chilean Antarctic Institute, INACh (project #T-21-09). Additional financing was received from INOVAChile, CORFO. Sincere thanks are due to Dale Calder (Royal Ontario Museum, Canada) and Peter Schuchert (MHNG) for constructive comments on an earlier version of this report. Gratitude is extended to Allen Collins (National Systematics Laboratory of NOAA's Fisheries Service and Smithsonian Institution, Washington DC, United States) for handling the editing. Karin Sindemark Kronestedt (SNMH) kindly provided us with a loan of Jaderholm's (1920) material from Lennox Island, while Gerhard Jarms and Andreas Schmidt-Rhaesa (Biozentrum Grindel/Zoological Museum, Hamburg, Germany) kindly offered the 2011 re-edition of El Beshbeeshy's work.</t>
  </si>
  <si>
    <t>10.11646/zootaxa.3296.1.2</t>
  </si>
  <si>
    <t>940JB</t>
  </si>
  <si>
    <t>WOS:000303884700002</t>
  </si>
  <si>
    <t>Coetzee, L; Weigmann, G</t>
  </si>
  <si>
    <t>Coetzee, Louise; Weigmann, Gerd</t>
  </si>
  <si>
    <t>Systematic revision of the genus Maudheimia Dalenius, 1958 (Acari: Oribatida)</t>
  </si>
  <si>
    <t>Maudheimia; Maudheimiidae; systematics</t>
  </si>
  <si>
    <t>CERATOZETIDAE</t>
  </si>
  <si>
    <t>The genus Maudheimia Dalenius, 1958 occurs on the Antarctic continent and contains four known species (M. wilsoni Dalenius, 1958; M. petronia Wallwork, 1962; M. marshalli Coetzee, 1997 and M. tanngardenensis Coetzee, 1997). Maudheimia marshalli has 15 pairs of notogastral setae in the adults for which Sub as (2004) proposed the genus Multimaudheimia. The other three species have 10 pairs of notogastral setae in the adult stage. The value of number of notogastral setae as a single generic character has previously been shown as insufficient to distinguish a genus. The authors conclude that the genus Multimaudheimia Sub as, 2004 is a synonym of Maudheimia. The relationship of Maudheimia is confirmed as a member of Ceratozetoidea in the family Maudheimiidae.</t>
  </si>
  <si>
    <t>[Coetzee, Louise] Natl Museum, Bloemfontein, South Africa; [Weigmann, Gerd] Free Univ Berlin, Inst Zool, Berlin, Germany</t>
  </si>
  <si>
    <t>Free University of Berlin</t>
  </si>
  <si>
    <t>Coetzee, L (corresponding author), Natl Museum, Bloemfontein, South Africa.</t>
  </si>
  <si>
    <t>louise.coetzee@nasmus.co.za; weigmann@zedat.fu-berlin.de</t>
  </si>
  <si>
    <t>940IZ</t>
  </si>
  <si>
    <t>WOS:000303884500004</t>
  </si>
  <si>
    <t>Endo, T; Hotta, Y; Hisamichi, Y; Kimura, O; Sato, R; Haraguchi, K; Funahashi, N; Baker, CS</t>
  </si>
  <si>
    <t>Endo, Tetsuya; Hotta, Yohei; Hisamichi, Yohsuke; Kimura, Osamu; Sato, Rie; Haraguchi, Koichi; Funahashi, Naoko; Baker, C. Scott</t>
  </si>
  <si>
    <t>Stable isotope ratios and mercury levels in red meat products from baleen whales sold in Japanese markets</t>
  </si>
  <si>
    <t>ECOTOXICOLOGY AND ENVIRONMENTAL SAFETY</t>
  </si>
  <si>
    <t>Stable isotope ratio; Mercury; Minke whale; Bryde's whale; Sei whale; Fin whale</t>
  </si>
  <si>
    <t>GEOGRAPHICAL ORIGIN; NITROGEN ISOTOPES; HUMAN CONSUMPTION; SOUTH-KOREA; CONTAMINATION; CARBON; DELTA-N-15; DOLPHIN; DIET; FOOD</t>
  </si>
  <si>
    <t>We analyzed the delta C-13, delta N-15 and delta O-18 values and Hg concentration in red meat products originating from the predominant types sold in Japan for human consumption: two populations of common minke (J- and O-types), Bryde's and sei whales in the western North Pacific Ocean, and fin and Antarctic minke whales in the Southern Ocean. The order of the trophic positions, evaluated by delta N-15 values and Hg concentrations, coincided with their known feeding habits: common minke (J-type) common minke (O-type) &gt; Bryde's &gt;= sei &gt;= Antarctic minke &gt;= fin. The Hg concentrations in the combined samples from the six samples were significantly correlated with their delta N-15 values (gamma=0.455, n=66, p &lt; 0.05), reflecting overall differences in the trophic level. This correlation was not significant for within-species comparison for the common minke (J- and O-types) or the Bryde's whale, probably reflecting the higher delta N-15 value and lower Hg concentration in the North Pacific Ocean around Japan. Determination of delta C-13, delta N-15 and delta O-18 could be used to discriminate between the red meat products originating from the whale species in the North Pacific and Southern Oceans. However, the four whale species or populations in the Pacific Ocean could not be discriminated on basis of these values, nor could the two species in the Southern Ocean. Positive correlations between the delta C-13 and delta N-15 values and negative correlations between the delta N-15 and delta O-18 values and the delta C-13 and delta O-18 values, probably reflecting migration patterns, were found in some whale species in the North Pacific and Southern Oceans. (C) 2012 Elsevier Inc. All rights reserved.</t>
  </si>
  <si>
    <t>[Endo, Tetsuya; Hotta, Yohei; Hisamichi, Yohsuke; Kimura, Osamu] Hlth Sci Univ Hokkaido, Fac Pharmaceut Sci, Ishikari, Hokkaido 0610293, Japan; [Sato, Rie] SI Sci Co Ltd, Saitama 3450023, Japan; [Haraguchi, Koichi] Daiichi Coll Pharmaceut Sci, Minami Ku, Fukuoka 8158511, Japan; [Funahashi, Naoko] Int Fund Anim Welf, Shinjuku Ku, Tokyo 1600023, Japan; [Baker, C. Scott] Oregon State Univ, Marine Mammal Program, Newport, OR 97365 USA; [Baker, C. Scott] Oregon State Univ, Dept Fisheries &amp; Wildlife, Newport, OR 97365 USA</t>
  </si>
  <si>
    <t>Health Sciences University of Hokkaido; Oregon State University; Oregon State University</t>
  </si>
  <si>
    <t>Endo, T (corresponding author), Hlth Sci Univ Hokkaido, Fac Pharmaceut Sci, Ishikari, Hokkaido 0610293, Japan.</t>
  </si>
  <si>
    <t>endotty@hoku-iryo-u.ac.jp</t>
  </si>
  <si>
    <t>Endo, Tetsuya/0000-0003-4278-5689</t>
  </si>
  <si>
    <t>Japan Society for the Promotion of Science [C21590135]; International Fund for Animal Welfare (IFAW); Grants-in-Aid for Scientific Research [21590135] Funding Source: KAKEN</t>
  </si>
  <si>
    <t>Japan Society for the Promotion of Science(Ministry of Education, Culture, Sports, Science and Technology, Japan (MEXT)Japan Society for the Promotion of Science); International Fund for Animal Welfare (IFAW); Grants-in-Aid for Scientific Research(Ministry of Education, Culture, Sports, Science and Technology, Japan (MEXT)Japan Society for the Promotion of ScienceGrants-in-Aid for Scientific Research (KAKENHI))</t>
  </si>
  <si>
    <t>This work was supported by Grants-in-Aid from Japan Society for the Promotion of Science (C21590135) and International Fund for Animal Welfare (IFAW). Determinations of delta13C and delta15N were conducted using Joint Usage/Research Grant of Center for Ecological Research, Kyoto University. We deeply appreciate the help provided by Mr. Akira Hanawa, a representative director of the Isotope Research Institute Co. Ltd., (Yokohama, Japan), in crosschecking the stable isotope determinations.</t>
  </si>
  <si>
    <t>0147-6513</t>
  </si>
  <si>
    <t>1090-2414</t>
  </si>
  <si>
    <t>ECOTOX ENVIRON SAFE</t>
  </si>
  <si>
    <t>Ecotox. Environ. Safe.</t>
  </si>
  <si>
    <t>10.1016/j.ecoenv.2012.01.020</t>
  </si>
  <si>
    <t>Environmental Sciences; Toxicology</t>
  </si>
  <si>
    <t>Environmental Sciences &amp; Ecology; Toxicology</t>
  </si>
  <si>
    <t>916MD</t>
  </si>
  <si>
    <t>WOS:000302107000005</t>
  </si>
  <si>
    <t>Johansson, M; Duda, E; Sremba, A; Banks, M; Peterson, W</t>
  </si>
  <si>
    <t>Johansson, Mattias; Duda, Elizabeth; Sremba, Angela; Banks, Michael; Peterson, William</t>
  </si>
  <si>
    <t>Assessing population-level variation in the mitochondrial genome of Euphausia superba using 454 next-generation sequencing</t>
  </si>
  <si>
    <t>MOLECULAR BIOLOGY REPORTS</t>
  </si>
  <si>
    <t>Euphausia superba; mtDNA; Mitogenome; Variability; Control region</t>
  </si>
  <si>
    <t>ANTARCTIC KRILL; CONTROL REGION; SEA-ICE; DNA; EVOLUTION</t>
  </si>
  <si>
    <t>The Antarctic krill (Euphausia superba Dana 1852) is widely distributed throughout the Southern Ocean, where it provides a key link between primary producers and upper trophic levels and supports a major commercial fishery. Despite its ecological and commercial importance, genetic population structure of the Antarctic krill remains poorly described. In an attempt to illuminate genetic markers for future population and phylogenetic analysis, five E. superba mitogenomes, from samples collected west of the Antarctic Peninsula, were sequenced using new 454 next-generation sequencing techniques. The sequences, of lengths between 13,310 and 13,326 base pairs, were then analyzed in the context of two previously-published near-complete sequences. Sequences revealed relatively well-conserved partial mitochondrial genomes which included complete sequences for 11 of 13 protein-coding genes, 16 of 23 tRNAs, and the large ribosomal subunit. Partial sequences were also recovered for cox1 and the small ribosomal subunit. Sequence analysis suggested that the cox2, nad5, and nad6 genes would be the best candidates for future population genetics analyses, due to their high number of variable sites. Future work to reveal the noncoding control region remains.</t>
  </si>
  <si>
    <t>[Johansson, Mattias; Duda, Elizabeth; Sremba, Angela; Banks, Michael] Oregon State Univ, Hatfield Marine Sci Ctr, Cooperat Inst Marine Resources Studies, Newport, OR 97365 USA; [Duda, Elizabeth] Pomona Coll, Claremont, CA 91711 USA; [Peterson, William] NOAA, Natl Marine Fisheries Serv, Hatfield Marine Sci Ctr, Newport, OR 97365 USA</t>
  </si>
  <si>
    <t>Oregon State University; Claremont Colleges; Pomona College; National Oceanic Atmospheric Admin (NOAA) - USA; National Aeronautics &amp; Space Administration (NASA)</t>
  </si>
  <si>
    <t>Johansson, M (corresponding author), Oregon State Univ, Hatfield Marine Sci Ctr, Cooperat Inst Marine Resources Studies, Newport, OR 97365 USA.</t>
  </si>
  <si>
    <t>mattias.johansson@oregonstate.edu</t>
  </si>
  <si>
    <t>Johansson, Mattias Lars/F-1049-2011</t>
  </si>
  <si>
    <t>Johansson, Mattias Lars/0000-0003-3042-750X</t>
  </si>
  <si>
    <t>ASSURE of the Department of Defense; National Science Foundation REU [NSF OCE-1004947]</t>
  </si>
  <si>
    <t>ASSURE of the Department of Defense(United States Department of Defense); National Science Foundation REU(National Science Foundation (NSF))</t>
  </si>
  <si>
    <t>The authors would like to thank D. Jacobson, E. Slikas, D. Steel, and A. Alexander for their support with the 454 sequencing and analysis, C. Shaw for the samples used in this study, and M. O'Connor for assistance in constructing our sampling map. This research was co-funded by the ASSURE program of the Department of Defense in partnership with the National Science Foundation REU Site program under Grant No. NSF OCE-1004947.</t>
  </si>
  <si>
    <t>0301-4851</t>
  </si>
  <si>
    <t>1573-4978</t>
  </si>
  <si>
    <t>MOL BIOL REP</t>
  </si>
  <si>
    <t>Mol. Biol. Rep.</t>
  </si>
  <si>
    <t>10.1007/s11033-011-1385-y</t>
  </si>
  <si>
    <t>Biochemistry &amp; Molecular Biology</t>
  </si>
  <si>
    <t>917BU</t>
  </si>
  <si>
    <t>WOS:000302147800082</t>
  </si>
  <si>
    <t>La Mesa, M; Catalano, B; Greco, S</t>
  </si>
  <si>
    <t>La Mesa, Mario; Catalano, Barbara; Greco, Silvestro</t>
  </si>
  <si>
    <t>Some biological characteristics of early larvae Dacodraco hunteri (Notothenioidei: Channichthyidae) in the western Ross Sea</t>
  </si>
  <si>
    <t>Icefish; Spatial distribution; Growth; Diet; Southern Ocean</t>
  </si>
  <si>
    <t>PLEURAGRAMMA-ANTARCTICUM; FISH ASSEMBLAGES; WEDDELL SEA; ABUNDANCE; WINTER; SILVERFISH; PENINSULA; ICEFISH; GROWTH; FAUNA</t>
  </si>
  <si>
    <t>Ichtyoplankton surveys were carried out in the western Ross Sea by the R/V Italica in the austral summer 1996 and 1997-1998 to study species composition and spatial distribution of larval stages of fish. One of the most abundant icefish caught was Dacodraco hunteri, a poorly known channichthyid inhabiting the high-Antarctic Zone. Based on 382 yolk-sac larvae and 13 preflexion larvae, the study was focused to estimate spatial distribution and abundance, as well as diet and growth rate. The pigmentation pattern and some morphometric measurements were also recorded for comparative purposes. The specimens were caught in relatively restricted areas located in Terra Nova Bay and north of the Ross Ice Shelf on the Challenger and Joides Basins. The standardized abundance of early larvae ranged between 0.03 and 1.72 individuals 10(-3) m(3) in 1996 and 0.16-4.53 individuals 10(-3) m(3) in 1997-1998, respectively. Fitting a linear model to the mean length increase in larvae collected in subsequent catch dates, the growth rate was estimated to be approximately 0.11 mm/day. Based on back calculation of growth rate and presumed hatch size of 11 mm, larval hatching probably took place in mid-December. Diet of preflexion larvae consisted exclusively of larvae of the pelagic nototheniid Pleuragramma antarcticum, a key species of the high-Antarctic pelagic food web. Hence, D. hunteri probably plays a more important role than previously thought in the pelagic community of the Ross Sea.</t>
  </si>
  <si>
    <t>[La Mesa, Mario] ISMAR CNR, Ist Sci Marine, Sede Ancona, I-60125 Ancona, Italy; [Catalano, Barbara; Greco, Silvestro] Ist Super Protez &amp; Ric Ambientale, ISPRA, I-00166 Rome, Italy</t>
  </si>
  <si>
    <t>Consiglio Nazionale delle Ricerche (CNR); Istituto di Scienze Marine (ISMAR-CNR); Italian Institute for Environmental Protection &amp; Research (ISPRA)</t>
  </si>
  <si>
    <t>La Mesa, M (corresponding author), ISMAR CNR, Ist Sci Marine, Sede Ancona, I-60125 Ancona, Italy.</t>
  </si>
  <si>
    <t>m.lamesa@ismar.cnr.it</t>
  </si>
  <si>
    <t>Catalano, Barbara/GRR-7882-2022; CNR, Ismar/P-1247-2014</t>
  </si>
  <si>
    <t>CNR, Ismar/0000-0001-5351-1486</t>
  </si>
  <si>
    <t>Italian National Program for Research in Antarctica (PNRA)</t>
  </si>
  <si>
    <t>Italian National Program for Research in Antarctica (PNRA)(Ministry of Education, Universities and Research (MIUR))</t>
  </si>
  <si>
    <t>This work was supported by the Italian National Program for Research in Antarctica (PNRA). We wish to thank all the crew members, personnel and scientific staff on board the RV Italica for their invaluable support in sampling activities. We also thank JT Eastman, E Barrera-Oro and an anonymous referee whose comments greatly improved the early manuscript.</t>
  </si>
  <si>
    <t>10.1007/s00300-011-1111-1</t>
  </si>
  <si>
    <t>WOS:000302480600002</t>
  </si>
  <si>
    <t>Barbosa, A; Palacios, MJ; Valera, F; Martínez, A</t>
  </si>
  <si>
    <t>Barbosa, Andres; Jose Palacios, Ma.; Valera, Francisco; Martinez, Ana</t>
  </si>
  <si>
    <t>Geographic variation in beak colouration in gentoo penguins Pygoscelis papua</t>
  </si>
  <si>
    <t>Antarctica; Carotenoid; Colour trait; Contaminants; Gentoo penguin; Geographic variation; Krill; Ultraviolet</t>
  </si>
  <si>
    <t>KRILL EUPHAUSIA-SUPERBA; KING PENGUINS; APTENODYTES-PATAGONICUS; DIETARY CAROTENOIDS; BODY CONDITION; FEATHER COLOR; MATE CHOICE; ANTIOXIDANT; PLASMA; ORNAMENTATION</t>
  </si>
  <si>
    <t>Ornamental colouration is often due to carotenoid pigments and varies inter- and intra-specifically. This paper reports on variation in beak colour of the gentoo penguin, Pygoscelis papua, corresponding to different geographical locations along a latitudinal gradient in the Antarctic Peninsula (from King George Island (62A(0)15'S-58A(0)37'W) to Rong, Island (64A(0)40'S-62A(0)40'W). The gentoo penguin has a conspicuous red spot on both sides of the beak that indicates the presence of the carotenoid pigment, astaxanthin. Beak colouration was measured with a portable spectrophotometer for 20 individuals in three locations, along the Western coast of the Antarctic Peninsula. In the study area, marked variation can be found in terms of factors such us parasite load, human impact, variations in UV radiation and the abundance of krill; all possibly affecting carotenoid availability for signalling purposes. Colour traits were expected to be more intense, that is more vivid, saturated and pure, in places where there is diminished pressure from factors such as contamination, parasites or diseases, all of which may reduce the availability of carotenoids for other functions, such as antioxidant or immune stimulation involving physiological trade-offs. Likewise, colour traits might be predicted to be more intense where carotenoid sources, krill in the case of gentoo penguins, are more available. However, contrary to this initial expectation, our results indicate that northerly penguins' populations, which are in the most polluted and parasitized areas, have more saturated beaks. An alternative hypothesis suggests that environmental constraints relating to the variation in abundance of krill may explain the geographical variation in colour expression found among gentoo penguins.</t>
  </si>
  <si>
    <t>[Barbosa, Andres] CSIC, Museo Nacl Ciencias Nat, Dept Ecol Evolut, Madrid 28006, Spain; [Barbosa, Andres; Jose Palacios, Ma.; Valera, Francisco; Martinez, Ana] CSIC, Estn Expt Zonas Aridas, Dept Ecol Func &amp; Evolut, La Canada De San Urbano 04120, Almeria, Spain; [Martinez, Ana] Univ Nacl Autonoma Mexico, Inst Invest Mat, Mexico City 04510, DF, Mexico</t>
  </si>
  <si>
    <t>Consejo Superior de Investigaciones Cientificas (CSIC); CSIC - Museo Nacional de Ciencias Naturales (MNCN); Consejo Superior de Investigaciones Cientificas (CSIC); CSIC - Estacion Experimental de Zonas Aridas (EEZA); Universidad Nacional Autonoma de Mexico</t>
  </si>
  <si>
    <t>Barbosa, A (corresponding author), CSIC, Museo Nacl Ciencias Nat, Dept Ecol Evolut, C Jose Gutierrez Abascal 2, Madrid 28006, Spain.</t>
  </si>
  <si>
    <t>Valera, Francisco/R-3437-2019; Martin, Angeles S./U-1520-2017; Barbosa, Andrés/C-3208-2008</t>
  </si>
  <si>
    <t>Valera, Francisco/0000-0003-2266-8899; Barbosa, Andrés/0000-0001-8434-3649; Martinez, Ana/0000-0002-0515-1946</t>
  </si>
  <si>
    <t>Spanish Ministry of Science and Innovation [BES2005-8465, SAB2006-0192]; European Regional Development Fund [CGL2004-01348, POL2006-05175, CGL2007-60369]; DGAPA-UNAM-Mexico</t>
  </si>
  <si>
    <t>Spanish Ministry of Science and Innovation(Spanish Government); European Regional Development Fund(European Union (EU)); DGAPA-UNAM-Mexico(Universidad Nacional Autonoma de Mexico)</t>
  </si>
  <si>
    <t>This study was funded by the Spanish Ministry of Science and Innovation and European Regional Development Fund (grants CGL2004-01348, POL2006-05175 and CGL2007-60369). MJP was supported by a PhD grant from the Spanish Ministry of Science and Innovation (BES2005-8465). AM is grateful for financial support from the Spanish Ministry of Science and Innovation (SAB2006-0192) and DGAPA-UNAM-Mexico. The authors declare that they have no conflict of interest.</t>
  </si>
  <si>
    <t>10.1007/s00300-011-1117-8</t>
  </si>
  <si>
    <t>WOS:000302480600008</t>
  </si>
  <si>
    <t>Zucconi, L; Selbmann, L; Buzzini, P; Turchetti, B; Guglielmin, M; Frisvad, JC; Onofri, S</t>
  </si>
  <si>
    <t>Zucconi, L.; Selbmann, L.; Buzzini, P.; Turchetti, B.; Guglielmin, M.; Frisvad, J. C.; Onofri, S.</t>
  </si>
  <si>
    <t>Searching for eukaryotic life preserved in Antarctic permafrost</t>
  </si>
  <si>
    <t>Antarctica; Fungi; Yeasts; Metabolic profiles; UV</t>
  </si>
  <si>
    <t>PENICILLIUM-CHRYSOGENUM; LOW-TEMPERATURE; DIVERSITY; ENVIRONMENTS; BIODIVERSITY; FUNGI; YEAST; ICE; ADAPTATION; BACTERIA</t>
  </si>
  <si>
    <t>Fungi and yeasts isolated in pure culture from Antarctic permafrost collected at different depths in the McMurdo Dry Valleys were identified with cultural, physiological and molecular methods. Fungi belonged to the genera Penicillium, Eurotium, Cladosporium, Alternaria, Engyodonthium, Aureobasidium, Cordyceps, Rhizopus and yeasts to the genera Cryptococcus and Sporidiobolus. All the strains can be defined as mesophilic psychrotolerant. The molecular analyses revealed that these fungal genotypes do not deviate from the global gene pool of fungi commonly spreading worldwide at present, but possible ancestral strains have been found on the base of metabolic profiles.</t>
  </si>
  <si>
    <t>[Zucconi, L.; Selbmann, L.; Onofri, S.] Univ Tuscia, Dipartimento Sci Ecol &amp; Biol, I-01100 Viterbo, Italy; [Buzzini, P.; Turchetti, B.] Univ Perugia, Dipartimento Biol Applicata &amp; Collez Ind Liveiti, I-06121 Perugia, Italy; [Guglielmin, M.] Univ Insubria, Dipartimento Biol Funz &amp; Strutturale, I-21100 Varese, Italy; [Frisvad, J. C.] Tech Univ Denmark, Ctr Microbial Biotechnol, Dept Syst Biol, DK-2800 Lyngby, Denmark</t>
  </si>
  <si>
    <t>Tuscia University; University of Perugia; University of Insubria; Technical University of Denmark</t>
  </si>
  <si>
    <t>Zucconi, L (corresponding author), Univ Tuscia, Dipartimento Sci Ecol &amp; Biol, I-01100 Viterbo, Italy.</t>
  </si>
  <si>
    <t>zucconi@unitus.it</t>
  </si>
  <si>
    <t>Selbmann, Laura/L-3056-2013; Turchetti, Benedetta/AAC-8847-2019; Pietro, Buzzini/F-5739-2014; Zucconi, L./U-9781-2018; Frisvad, Jens/K-2818-2017</t>
  </si>
  <si>
    <t>Selbmann, Laura/0000-0002-8967-3329; Zucconi, L./0000-0001-9793-2303; Frisvad, Jens/0000-0002-0573-4340; ONOFRI, Silvano/0000-0001-8872-1440; Buzzini, Pietro/0000-0001-6793-0606; turchetti, benedetta/0000-0002-7370-3028</t>
  </si>
  <si>
    <t>10.1007/s00300-011-1119-6</t>
  </si>
  <si>
    <t>WOS:000302480600010</t>
  </si>
  <si>
    <t>Gambardella, C; Ghigliotti, L; Gallus, L; Pisano, E; Tagliafierro, G; Ferrando, S</t>
  </si>
  <si>
    <t>Gambardella, Chiara; Ghigliotti, Laura; Gallus, Lorenzo; Pisano, Eva; Tagliafierro, Grazia; Ferrando, Sara</t>
  </si>
  <si>
    <t>Presence and distribution of serotonin in the stomach of the Antarctic silverfish Pleuragramma antarcticum</t>
  </si>
  <si>
    <t>Pleuragramma antarcticum; Serotonin; Immunohistochemistry; Stomach; Antarctic fish</t>
  </si>
  <si>
    <t>FISH; GUT; BRAIN; IMMUNOREACTIVITY; MORPHOLOGY; RECEPTORS; ICEFISH; SYSTEM; LIFE</t>
  </si>
  <si>
    <t>Serotonin is a signal molecule with a wide range of functions in vertebrates. In Antarctic fishes, the serotonergic system has been studied in the brain, revealing differences from temperate fishes related to the long-term cold adaptation. To date, little is known regarding the peripheral nervous system, and no information is available for the stomach. In the present work, we contribute to fill the gaps by investigating the presence and the immunohistochemical distribution of serotonin in the stomach of the Antarctic silverfish Pleuragramma antarcticum, a cold-adapted key species of the Southern Ocean shelf food web. The main aim was to investigate the serotonergic system at the gastric level, in order to reveal possible peculiarities related to long-term cold adaptation, similar to the ones seen in the central nervous system of Antarctic fishes. Serotonin immunoreactivity was detected in the pyloric and cardiac mucosa of P. antarcticum stomach with immunopositive cells in the pyloric and cardiac surface epithelia and in the tubular glands. No immunopositive fibers and neuronal cell bodies were found. Our results highlight that the serotonin distribution pattern at the gastric level is similar to that described in temperate teleosts. This finding suggests that in P. antarcticum, long-term adaptations to the Antarctic condition do not affect the serotonergic system at the gastric level. In addition, our data constitute the baseline information for further investigations aimed at clarifying the effects of short-term temperature variations on the gastric serotonergic system of Antarctic species in the frame of the global climate change.</t>
  </si>
  <si>
    <t>[Gambardella, Chiara; Ghigliotti, Laura; Gallus, Lorenzo; Pisano, Eva; Tagliafierro, Grazia; Ferrando, Sara] Univ Genoa, DipTeRis, I-16132 Genoa, Italy</t>
  </si>
  <si>
    <t>University of Genoa</t>
  </si>
  <si>
    <t>Gambardella, C (corresponding author), Univ Genoa, DipTeRis, Viale Benedetto XV 5, I-16132 Genoa, Italy.</t>
  </si>
  <si>
    <t>chiara.gambardella@unige.it</t>
  </si>
  <si>
    <t>Gambardella, Chiara/AAA-6260-2022; Ferrando, Sara/AAC-9934-2022; Ghigliotti, Laura/AAN-6843-2021; Ghigliotti, Laura/J-3076-2012</t>
  </si>
  <si>
    <t>Gambardella, Chiara/0000-0002-6667-9242; Ferrando, Sara/0000-0002-5781-9709; Ghigliotti, Laura/0000-0003-2139-1381;</t>
  </si>
  <si>
    <t>The participation of LG to the RV Tangaroa BioRoss Expedition 2004 was supported by the Italian National Program for Antarctic Research (PNRA). We are grateful to the Captain and the crew of the RV Tangaroa for assistance during sampling activities. The study contributes to the SCAR Research Program Evolution and Biodiversity in Antarctica (EBA).</t>
  </si>
  <si>
    <t>10.1007/s00300-011-1129-4</t>
  </si>
  <si>
    <t>WOS:000302480600014</t>
  </si>
  <si>
    <t>Santora, JA</t>
  </si>
  <si>
    <t>Santora, Jarrod A.</t>
  </si>
  <si>
    <t>Habitat use of hourglass dolphins near the South Shetland Islands, Antarctica</t>
  </si>
  <si>
    <t>Antarctic Circumpolar Current; Habitat use; Hourglass dolphin; Lagenorhynchus cruciger; South Shetland Islands</t>
  </si>
  <si>
    <t>CIRCUMPOLAR CURRENT; OCEAN; KRILL; VARIABILITY; ECOSYSTEM; GEORGIA; MODELS</t>
  </si>
  <si>
    <t>The hourglass dolphin Lagenorhynchus cruciger is the only regularly occurring small delphinid found south of the Antarctic Polar Front, yet little is known about its ecology and habitat use. This study uses 8 years (14 cruises) of standardized shipboard surveys during January-March (2003-2011) in southern Drake Passage near the South Shetland Islands to summarize the spatial distribution of hourglass dolphin sightings and quantify habitat use. Sighting data are linked to bathymetry (depth, slope) and distance to the average location of oceanographic features. A generalized linear model is used to examine the relationships between sightings and habitat features. Hourglass dolphins were sighted on 50% of surveys (n = 29); sightings were concentrated in February. Group size tended to be 2-6 individuals; there were only 2 sightings of larger groups, of 15 and 25 individuals. Sightings were distributed entirely within the deep pelagic waters north of the South Shetland Islands in southern Drake Passage and were closely associated with the southern boundary of the Antarctic Circumpolar Current. Information on occurrence and distribution reported in this study may be useful for refining habitat associations for hourglass dolphins at regional scales in the Southern Ocean.</t>
  </si>
  <si>
    <t>NOAA, Fisheries Ecol Div, SW Fisheries Sci Ctr, Santa Cruz, CA 95060 USA</t>
  </si>
  <si>
    <t>National Oceanic Atmospheric Admin (NOAA) - USA</t>
  </si>
  <si>
    <t>Santora, JA (corresponding author), NOAA, Fisheries Ecol Div, SW Fisheries Sci Ctr, 110 Shaffer Rd, Santa Cruz, CA 95060 USA.</t>
  </si>
  <si>
    <t>jasantora@gmail.com</t>
  </si>
  <si>
    <t>NOAA US; NSF-OPP [OPP-9983751]</t>
  </si>
  <si>
    <t>NOAA US(National Oceanic Atmospheric Admin (NOAA) - USA); NSF-OPP(National Science Foundation (NSF)NSF - Directorate for Geosciences (GEO))</t>
  </si>
  <si>
    <t>Funding support was provided by contracts to J. A. Santora from the NOAA US Antarctic Marine Living Resources program and to Richard R. Veit from an NSF-OPP grant (OPP-9983751). A special thanks to Michael P. Force and Kimberly S. Dietrich (photo credit) for assisting in collecting observations and to Valerie J. Loeb for providing valuable discussion.</t>
  </si>
  <si>
    <t>10.1007/s00300-011-1133-8</t>
  </si>
  <si>
    <t>WOS:000302480600015</t>
  </si>
  <si>
    <t>Uncertainty and natural variability in the ecological footprint of fisheries: A case study of reduction fisheries for meal and oil</t>
  </si>
  <si>
    <t>ECOLOGICAL INDICATORS</t>
  </si>
  <si>
    <t>Article; Proceedings Paper</t>
  </si>
  <si>
    <t>Academic Sessions of the Footprint Forum on State of the Art in Ecological Footprint - Theory and Applications</t>
  </si>
  <si>
    <t>JUN 07-12, 2010</t>
  </si>
  <si>
    <t>Univ Siena, Ecodynam Grp, Colle Val dElsa, ITALY</t>
  </si>
  <si>
    <t>Univ Siena, Ecodynam Grp</t>
  </si>
  <si>
    <t>Ecological footprint; Uncertainty; Fisheries; Aquaculture; Reduction fisheries</t>
  </si>
  <si>
    <t>LIFE-CYCLE ASSESSMENT; ENVIRONMENTAL-IMPACT; CARBON FOOTPRINT; PHYTOPLANKTON; APPROPRIATION; AQUACULTURE; PRODUCTS</t>
  </si>
  <si>
    <t>It is well understood that measurements of ecological footprint and many other ecological indicators are associated with varying degrees of uncertainty, yet imprecision in ecological footprint results is rarely assessed or communicated. We calculated the marine portion of the ecological footprint of products derived from five reduction fisheries: Peruvian anchovy (Engraulis ringens), Atlantic herring (Clupea harengus), Gulf menhaden (Brevoortia patron us), blue whiting (Micromesistius poutassou) and Antarctic krill (Euphausia superba). Monte Carlo analysis was used to measure the imprecision in marine footprint measurements resulting from multiple sources of uncertainty and natural variability in input parameters, and to determine the degree to which imprecision affects our ability to draw meaningful conclusions when comparing products sourced from different fisheries on the basis of ecological footprint. Gulf menhaden and Antarctic krill were found to have the smallest marine footprints, while blue whiting was found to have the largest. Results show that there is much uncertainty associated with marine footprint calculations and that the most significant drivers of this imprecision are uncertainty and natural variability regarding measurements of trophic level and trophic interactions. Marine footprint is highly correlated with trophic level, and clear differences can be seen when comparing species of very different trophic levels. However, comparisons of products derived from species' with similar trophic levels are less likely to provide conclusive results. The choice of mass, protein or energy content as the basis of comparison was also considered and was found to influence the results, particularly when comparing species with similar trophic levels. While it is likely that imprecision of marine footprint measurements of fishery-derived products will remain high, technological improvements and a better understanding of marine ecosystem dynamics may make future studies more precise. (C) 2011 Elsevier Ltd. All rights reserved.</t>
  </si>
  <si>
    <t>[Parker, Robert W. R.; Tyedmers, Peter H.] Dalhousie Univ, Sch Resource &amp; Environm Studies, Halifax, NS B3H 3J5, Canada</t>
  </si>
  <si>
    <t>Parker, RWR (corresponding author), Dalhousie Univ, Sch Resource &amp; Environm Studies, 6100 Univ Ave,Suite 5010, Halifax, NS B3H 3J5, Canada.</t>
  </si>
  <si>
    <t>Parker, Robert/J-4476-2012; Tyedmers, Peter/N-1334-2019</t>
  </si>
  <si>
    <t>Parker, Robert/0000-0003-1910-8081; Tyedmers, Peter/0000-0002-5150-0756</t>
  </si>
  <si>
    <t>1470-160X</t>
  </si>
  <si>
    <t>1872-7034</t>
  </si>
  <si>
    <t>ECOL INDIC</t>
  </si>
  <si>
    <t>Ecol. Indic.</t>
  </si>
  <si>
    <t>10.1016/j.ecolind.2011.06.015</t>
  </si>
  <si>
    <t>Biodiversity Conservation; Environmental Sciences</t>
  </si>
  <si>
    <t>Science Citation Index Expanded (SCI-EXPANDED); Conference Proceedings Citation Index - Science (CPCI-S)</t>
  </si>
  <si>
    <t>888DT</t>
  </si>
  <si>
    <t>WOS:000299984700011</t>
  </si>
  <si>
    <t>Nursey-Bray, M; Pecl, GT; Frusher, S; Gardner, C; Haward, M; Hobday, AJ; Jennings, S; Punt, AE; Revill, H; van Putten, I</t>
  </si>
  <si>
    <t>Nursey-Bray, Melissa; Pecl, G. T.; Frusher, S.; Gardner, C.; Haward, M.; Hobday, A. J.; Jennings, S.; Punt, A. E.; Revill, H.; van Putten, I.</t>
  </si>
  <si>
    <t>Communicating climate change: Climate change risk perceptions and rock lobster fishers, Tasmania</t>
  </si>
  <si>
    <t>Climate change; Rock lobster fisheries; Risk perception; Australia; Communication</t>
  </si>
  <si>
    <t>FISHING COMMUNITIES; EXPERT; LAY; VULNERABILITY; MANAGEMENT; KNOWLEDGE</t>
  </si>
  <si>
    <t>World fisheries, already vulnerable, are under increasing pressure from the impacts of climate change. Using the Tasmanian rock lobster industry as a case study, we considered the efficacy of risk perception as a tool to inform how to communicate the science of climate change and suggestions for management in relation to development of adaptation strategies for fisheries. Fishers surveyed in this study operate in a fishery that is expected to undergo large changes as a consequence of climate change. Fishers also reported observations of similar large changes in the marine environment and lobster fishery consistent with climate change: yet most fishers surveyed expressed doubts about whether climate change was a real process. The important point for adaption of the industry to climate change is that fisher perceptions of risk tended to create barriers to acceptance of climate change as an issue. This means that there is a barrier to communication and awareness about climate change and thus a barrier to future action on the issue. Improving acceptance of climate change and thus ability to adapt will require the development of communications that are culturally appropriate and palatable to fishers. We argue that the application of social learning principles in communications about climate change may be one constructive way forward. (C) 2011 Elsevier Ltd. All rights reserved.</t>
  </si>
  <si>
    <t>[Nursey-Bray, Melissa] Univ Adelaide, Adelaide, SA 5005, Australia; [Pecl, G. T.; Frusher, S.; Gardner, C.] Univ Tasmania, Inst Marine &amp; Antarctic Studies Fisheries Aquacul, Hobart, Tas, Australia; [Haward, M.] Univ Tasmania, Inst Marine &amp; Antarctic Studies Marine &amp; Antarcti, Hobart, Tas, Australia; [Hobday, A. J.; van Putten, I.] CSIRO Marine &amp; Atmospher Res, Hobart, Tas, Australia; [Jennings, S.] Univ Tasmania, Sch Econ &amp; Finance, Hobart, Tas, Australia; [Punt, A. E.] Univ Washington, Sch Aquat &amp; Fishery Sci, Seattle, WA 98195 USA</t>
  </si>
  <si>
    <t>University of Adelaide; University of Tasmania; University of Tasmania; Commonwealth Scientific &amp; Industrial Research Organisation (CSIRO); University of Tasmania; University of Washington; University of Washington Seattle</t>
  </si>
  <si>
    <t>Nursey-Bray, M (corresponding author), Univ Adelaide, N Terrace Campus, Adelaide, SA 5005, Australia.</t>
  </si>
  <si>
    <t>Melissa.Nursey-Bray@adelaide.edu.au</t>
  </si>
  <si>
    <t>Pecl, Gretta/D-7267-2011; van putten, ingrid/AAV-1301-2021; Hobday, Alistair/A-1460-2012; Nursey-Bray, Melissa/J-8183-2019; Frusher, Stewart/G-5117-2014; Jennings, Sarah/J-7888-2014; Haward, Marcus/G-3369-2014; Gardner, Caleb/I-7086-2013</t>
  </si>
  <si>
    <t>Pecl, Gretta/0000-0003-0192-4339; van putten, ingrid/0000-0001-8397-9768; Punt, Andre/0000-0001-8489-2488; Nursey-Bray, Melissa/0000-0002-4121-5177; Frusher, Stewart/0000-0003-2493-3676; Jennings, Sarah/0000-0002-5760-4193; Haward, Marcus/0000-0003-4775-0864; Gardner, Caleb/0000-0003-0324-4337</t>
  </si>
  <si>
    <t>10.1016/j.marpol.2011.10.015</t>
  </si>
  <si>
    <t>WOS:000300201100024</t>
  </si>
  <si>
    <t>Stein, DL</t>
  </si>
  <si>
    <t>Stein, David L.</t>
  </si>
  <si>
    <t>Snailfishes (Family Liparidae) of the Ross Sea, Antarctica, and Closely Adjacent Waters</t>
  </si>
  <si>
    <t>Pisces; Liparidae; snailfish; Antarctic; Ross Sea; new species</t>
  </si>
  <si>
    <t>SOUTHERN-OCEAN; DEEP-SEA; NORTH-ATLANTIC; PARALIPARIS PISCES; GENUS PARALIPARIS; ARCTIC DEPTHS; WEDDELL SEA; SCORPAENIFORMES; FISHES; REPRODUCTION</t>
  </si>
  <si>
    <t>Snailfishes (Family Liparidae) of the Ross Sea are reviewed, keys are provided to their identification, and the utility of several taxonomic characters, including the pectoral fin and girdle and length and shape of the abdominal cavity, is discussed. New and previously unstudied specimens show that there are more than 34 Ross Sea liparid species in three genera; 18 of them are new to science and are described below. Ross Sea snailfishes include at least six Careproctus, 27 Paraliparis, and one Genioliparis species. The new species are Paraliparis alius from off Iselin Seamount at 1225-1332 m, P. amerismos from off Hillary Canyon (near Pennell Bank) at 1149-1358 m, P. camilarus from the northwest edge of Mawson Bank at 1431-1658 m, P. ekaporus from off Mawson Bank at 1431-1658 m, P. epacrognathus from off Mawson Bank at 1431-1658 m, P. haploporus from off Mawson Bank at 1954-1990 m, P. longicaecus from the NW edge of Mawson Bank at 1431-1658 m, P. macropterus from off Iselin and Mawson Banks at 1133-1990 m, P. magnoculus from off Iselin and Scott Canyon at 950-1368 m, P. mentikoilon from off Mawson Bank at 1954-1990 m, P. nigrolineatus from off Mawson Bank at 1954-1990 m, P. nullansa from off Mawson Bank at 1954-1990 m, P. orbitalis from off Cape Adare at 1110-1210 m, P. parviradialis from off Mawson Bank at 1954-1990 m, P. plicatus from off Mawson Bank at 1431-1990 m, P. posteroporus from off Mawson Bank at 1400-1600 m, P. tangaroa from Iselin Seamount at 966-1153 m, and P. voroninorum from off Mawson Bank at 1954-1990 m. In addition, one unknown Paraliparis is partially described but not named owing to its poor condition. Range extensions for P. neelovi and P. stehmanni are reported, and two more individuals of P. andriashevi, previously known from two specimens, were collected. Other species included are Careproctus ampliceps, C. catherinae, C. inflexidens, C. polarsterni, C. pseudoprofundicola, C. vladibeckeri, Genioliparis kafanovi, Paraliparis antarcticus, P. devriesi, P. fuscolingua, P. macrocephalus, P. rossi, and P. terraenovae. History and characteristics of the Ross Sea that probably led to isolation and speciation are described and discussed. The new discoveries increase the number of known Southern Hemisphere snailfish species to about 200.</t>
  </si>
  <si>
    <t>Oregon State Univ, Dept Fisheries &amp; Wildlife, Corvallis, OR 97331 USA</t>
  </si>
  <si>
    <t>Stein, DL (corresponding author), Oregon State Univ, Dept Fisheries &amp; Wildlife, 104 Nash Hall, Corvallis, OR 97331 USA.</t>
  </si>
  <si>
    <t>david.stein@oregonstate.edu</t>
  </si>
  <si>
    <t>New Zealand Government [So001IPY, 2007-01IPY]; NIWA</t>
  </si>
  <si>
    <t>New Zealand Government; NIWA</t>
  </si>
  <si>
    <t>Specimens and data were collected by and made available through the New Zealand International Polar Year-Census of Antarctic Marine Life Project. This research was funded by the New Zealand Government under the New Zealand International Polar Year-Census of Antarctic Marine Life Project (Phase 1: So001IPY; Phase 2: IPY2007-01). I gratefully acknowledge project governance by the Ministry of Fisheries Science Team and the Ocean Survey 20/20 CAML Advisory Group (Land Information New Zealand, Ministry of Fisheries, Antarctica New Zealand, Ministry of Foreign Affairs and Trade, and National Institute of Water and Atmosphere Ltd). I thank Andrew Stewart and Clive Roberts (Te Papa) and Stuart Hanchet (NIWA) for inviting me to study these fishes; they and Peter Smith (NIWA) arranged support for that purpose. Their outstanding cooperation, hospitality, and help made this work possible. Michelle Freeborn drew all the fish figures not otherwise credited. Carl Struthers prepared the figures for publication except for the distribution maps, which were prepared at NIWA. Natalia Chernova (ZIN) checked specimens in ZIN for me. Jay Orr (NMFS) provided statistical help. Joe Eastman (OU) provided the photograph of P. macrocephalus. Finally, I thank my colleague and friend Anatoly Andriashev (posthumously) for his 2003 review of Southern Ocean snailfishes, without which this work would have been infinitely more difficult:</t>
  </si>
  <si>
    <t>APR 30</t>
  </si>
  <si>
    <t>940HF</t>
  </si>
  <si>
    <t>WOS:000303879900001</t>
  </si>
  <si>
    <t>Murphy, DJ; Alexander, SP; Vincent, RA</t>
  </si>
  <si>
    <t>Murphy, D. J.; Alexander, S. P.; Vincent, R. A.</t>
  </si>
  <si>
    <t>Interhemispheric dynamical coupling to the southern mesosphere and lower thermosphere</t>
  </si>
  <si>
    <t>QUASI-BIENNIAL OSCILLATION; NORTHERN SUMMER PROGRAM; MIDDLE ATMOSPHERE; GRAVITY-WAVE; DOWNWARD CONTROL; CIRCULATION; STRATOSPHERE; TEMPERATURES; MESOPAUSE; MODEL</t>
  </si>
  <si>
    <t>Wind observations obtained between 1995 and 2011 using the MF radar at Davis have been used to demonstrate the modifying role the quasi-biennial oscillation (QBO) plays on some aspects of interhemispheric coupling identified by previous authors. The response of the meridional wind in the southern summer polar MLT to changes in winter stratospheric planetary wave activity is shown to change sign according to the phase of the QBO. The time delay associated with the coupling is also shown to vary with QBO phase, with an eastward QBO providing a more rapid response. Coupling to the MLT meridional winds is strongest in January. Parts of the mechanism currently proposed have been tested using UKMO assimilated observations. The signatures of some aspects of this mechanism are present in the data. However, some differences to the mechanism are also apparent, in particular the effectiveness of the mechanism near the equator. An explanation for the QBO modulation of the MLT wind response to interhemispheric coupling is proposed on the basis of these differences.</t>
  </si>
  <si>
    <t>[Murphy, D. J.; Alexander, S. P.] Australian Antarctic Div, Dept Sustainabil Environm Water Populat &amp; Communi, Kingston, Tas 7050, Australia; [Vincent, R. A.] Univ Adelaide, Dept Phys &amp; Math Phys, Adelaide, SA 5001, Australia</t>
  </si>
  <si>
    <t>Australian Antarctic Division; University of Adelaide</t>
  </si>
  <si>
    <t>Murphy, DJ (corresponding author), Australian Antarctic Div, Dept Sustainabil Environm Water Populat &amp; Communi, 203 Channel Hwy, Kingston, Tas 7050, Australia.</t>
  </si>
  <si>
    <t>damian.murphy@aad.gov.au</t>
  </si>
  <si>
    <t>Vincent, Robert A/E-5450-2013</t>
  </si>
  <si>
    <t>Vincent, Robert A/0000-0001-6559-6544; Murphy, Damian/0000-0003-1738-5560; Alexander, Simon/0000-0001-6823-8857</t>
  </si>
  <si>
    <t>Australian Antarctic Science Advisory Committee [674]; Australian Research Council [DP0346394]; Australian Research Council [DP0346394] Funding Source: Australian Research Council</t>
  </si>
  <si>
    <t>Australian Antarctic Science Advisory Committee; Australian Research Council(Australian Research Council); Australian Research Council(Australian Research Council)</t>
  </si>
  <si>
    <t>Operational and research activities associated with the Davis MF radar have been supported by Australian Antarctic Science Advisory Committee grant 674 and Australian Research Council grant DP0346394. The authors are grateful for the efforts of the many engineers that have supported the operation of the radar at Davis since its installation. The technical support provided by Atmospheric Radar Systems is also acknowledged. The thoughtful comments of the three reviewers have helped to improve this manuscript and we thank them for their contribution.</t>
  </si>
  <si>
    <t>APR 28</t>
  </si>
  <si>
    <t>D08114</t>
  </si>
  <si>
    <t>10.1029/2011JD016865</t>
  </si>
  <si>
    <t>932UM</t>
  </si>
  <si>
    <t>WOS:000303316000001</t>
  </si>
  <si>
    <t>Wolff, EW; Bigler, M; Curran, MAJ; Dibb, JE; Frey, MM; Legrand, M; McConnell, JR</t>
  </si>
  <si>
    <t>Wolff, E. W.; Bigler, M.; Curran, M. A. J.; Dibb, J. E.; Frey, M. M.; Legrand, M.; McConnell, J. R.</t>
  </si>
  <si>
    <t>The Carrington event not observed in most ice core nitrate records</t>
  </si>
  <si>
    <t>SOLAR PROTON EVENTS; GREENLAND ICE; POLAR ICE; FOREST-FIRES; VEGETATION EMISSIONS; ODD NITROGEN; IDENTIFICATION; ANTARCTICA; ACIDS</t>
  </si>
  <si>
    <t>The Carrington Event of 1859 is considered to be among the largest space weather events of the last 150 years. We show that only one out of 14 well-resolved ice core records from Greenland and Antarctica has a nitrate spike dated to 1859. No sharp spikes are observed in the Antarctic cores studied here. In Greenland numerous spikes are observed in the 40 years surrounding 1859, but where other chemistry was measured, all large spikes have the unequivocal signal, including co-located spikes in ammonium, formate, black carbon and vanillic acid, of biomass burning plumes. It seems certain that most spikes in an earlier core, including that claimed for 1859, are also due to biomass burning plumes, and not to solar energetic particle (SEP) events. We conclude that an event as large as the Carrington Event did not leave an observable, widespread imprint in nitrate in polar ice. Nitrate spikes cannot be used to derive the statistics of SEPs. Citation: Wolff, E. W., M. Bigler, M. A. J. Curran, J. E. Dibb, M. M. Frey, M. Legrand, and J. R. McConnell (2012), The Carrington event not observed in most ice core nitrate records, Geophys. Res. Lett., 39, L08503, doi: 10.1029/2012GL051603.</t>
  </si>
  <si>
    <t>[Wolff, E. W.; Frey, M. M.] British Antarctic Survey, Cambridge CB3 0ET, England; [Bigler, M.] Univ Bern, Inst Phys, Bern, Switzerland; [Bigler, M.] Univ Bern, Oeschger Ctr Climate Change Res, Bern, Switzerland; [Curran, M. A. J.] Antarctic Climate &amp; Ecosyst Cooperat Res Ctr, Hobart, Tas, Australia; [Curran, M. A. J.] Australian Antarctic Div, Kingston, Tas, Australia; [Dibb, J. E.] Univ New Hampshire, Inst Study Earth Oceans &amp; Space, Durham, NH 03824 USA; [Dibb, J. E.] Univ New Hampshire, Dept Earth Sci, Durham, NH 03824 USA; [Frey, M. M.] Univ Calif Merced, Sch Engn, Merced, CA USA; [Legrand, M.] Lab Glaciol &amp; Geophys Environm, St Martin Dheres, France; [McConnell, J. R.] Univ Nevada, Desert Res Inst, Reno, NV 89506 USA</t>
  </si>
  <si>
    <t>UK Research &amp; Innovation (UKRI); Natural Environment Research Council (NERC); NERC British Antarctic Survey; University of Bern; University of Bern; Antarctic Climate &amp; Ecosystems Cooperative Research Centre (ACE CRC); Australian Antarctic Division; University System Of New Hampshire; University of New Hampshire; University System Of New Hampshire; University of New Hampshire; University of California System; University of California Merced; Nevada System of Higher Education (NSHE); University of Nevada Reno; Desert Research Institute NSHE</t>
  </si>
  <si>
    <t>Wolff, EW (corresponding author), British Antarctic Survey, Madingley Rd, Cambridge CB3 0ET, England.</t>
  </si>
  <si>
    <t>ewwo@bas.ac.uk</t>
  </si>
  <si>
    <t>Frey, Markus/G-1756-2012; Legrand, Michel/AAU-4678-2020; Wolff, Eric W/D-7925-2014; Bigler, Matthias/HTT-3872-2023</t>
  </si>
  <si>
    <t>Frey, Markus/0000-0003-0535-0416; Wolff, Eric W/0000-0002-5914-8531; Bigler, Matthias/0000-0003-0184-4013</t>
  </si>
  <si>
    <t>International Space Studies Institute in Bern, Switzerland; Natural Environment Research Council; Arctic Section of the U.S. NSF; Directorate For Geosciences; Div Atmospheric &amp; Geospace Sciences [1135432] Funding Source: National Science Foundation; Office of Polar Programs (OPP); Directorate For Geosciences [1023672] Funding Source: National Science Foundation; NERC [bas0100024] Funding Source: UKRI; Natural Environment Research Council [bas0100024] Funding Source: researchfish</t>
  </si>
  <si>
    <t>International Space Studies Institute in Bern, Switzerland; Natural Environment Research Council(UK Research &amp; Innovation (UKRI)Natural Environment Research Council (NERC)); Arctic Section of the U.S. NSF; Directorate For Geosciences; Div Atmospheric &amp; Geospace Sciences(National Science Foundation (NSF)NSF - Directorate for Geosciences (GEO)); Office of Polar Programs (OPP); Directorate For Geosciences(National Science Foundation (NSF)NSF - Directorate for Geosciences (GEO)); NERC(UK Research &amp; Innovation (UKRI)Natural Environment Research Council (NERC)); Natural Environment Research Council(UK Research &amp; Innovation (UKRI)Natural Environment Research Council (NERC))</t>
  </si>
  <si>
    <t>The authors thank the many scientists and engineers involved in collection and analysis of the cores discussed here. We thank Ken McCracken for providing the original GISP2 H-core data. The inspiration for this paper arose from a team meeting sponsored by the International Space Studies Institute in Bern, Switzerland. EWW is funded by the Natural Environment Research Council through the British Antarctic Survey Polar Science for Planet Earth Programme. Collection and analysis of the D4 and Zoe cores was funded by grants to JRM from the Arctic Section of the U.S. NSF. The NEEM core was provided courtesy of NEEM, directed and organized by the Center of Ice and Climate at the Niels Bohr Institute and US NSF, Office of Polar Programs. It is supported by funding agencies and institutions in 14 nations.</t>
  </si>
  <si>
    <t>L08503</t>
  </si>
  <si>
    <t>10.1029/2012GL051603</t>
  </si>
  <si>
    <t>933AM</t>
  </si>
  <si>
    <t>Green Published, Green Accepted</t>
  </si>
  <si>
    <t>WOS:000303331600007</t>
  </si>
  <si>
    <t>Durack, PJ; Wijffels, SE; Matear, RJ</t>
  </si>
  <si>
    <t>Durack, Paul J.; Wijffels, Susan E.; Matear, Richard J.</t>
  </si>
  <si>
    <t>Ocean Salinities Reveal Strong Global Water Cycle Intensification During 1950 to 2000</t>
  </si>
  <si>
    <t>SCIENCE</t>
  </si>
  <si>
    <t>HYDROLOGICAL CYCLE; PRECIPITATION; CLIMATE; ATMOSPHERE; TRENDS</t>
  </si>
  <si>
    <t>Fundamental thermodynamics and climate models suggest that dry regions will become drier and wet regions will become wetter in response to warming. Efforts to detect this long-term response in sparse surface observations of rainfall and evaporation remain ambiguous. We show that ocean salinity patterns express an identifiable fingerprint of an intensifying water cycle. Our 50-year observed global surface salinity changes, combined with changes from global climate models, present robust evidence of an intensified global water cycle at a rate of 8 +/- 5% per degree of surface warming. This rate is double the response projected by current-generation climate models and suggests that a substantial (16 to 24%) intensification of the global water cycle will occur in a future 2 degrees to 3 degrees warmer world.</t>
  </si>
  <si>
    <t>[Durack, Paul J.; Wijffels, Susan E.; Matear, Richard J.] CSIRO Marine &amp; Atmospher Res, Ctr Australian Weather &amp; Climate Res, Hobart, Tas 7001, Australia; [Durack, Paul J.] Univ Tasmania, Inst Marine &amp; Antarctic Studies, Hobart, Tas 7001, Australia; [Durack, Paul J.; Wijffels, Susan E.; Matear, Richard J.] CSIRO, Hobart, Tas 7001, Australia; [Durack, Paul J.] Lawrence Livermore Natl Lab, Program Climate Model Diag &amp; Intercomparison, Livermore, CA 94550 USA</t>
  </si>
  <si>
    <t>Commonwealth Scientific &amp; Industrial Research Organisation (CSIRO); University of Tasmania; Commonwealth Scientific &amp; Industrial Research Organisation (CSIRO); United States Department of Energy (DOE); Lawrence Livermore National Laboratory</t>
  </si>
  <si>
    <t>Durack, PJ (corresponding author), CSIRO Marine &amp; Atmospher Res, Ctr Australian Weather &amp; Climate Res, GPO Box 1538, Hobart, Tas 7001, Australia.</t>
  </si>
  <si>
    <t>pauldurack@llnl.gov</t>
  </si>
  <si>
    <t>Wijffels, Susan E/I-8215-2012; Bindoff, Nathaniel Lee/IVV-0333-2023; Durack, Paul James/A-8758-2010; matear, richard/C-5133-2011</t>
  </si>
  <si>
    <t>Bindoff, Nathaniel Lee/0000-0001-5662-9519; Durack, Paul James/0000-0003-2835-1438; matear, richard/0000-0002-3225-0800; Wijffels, Susan/0000-0002-4717-0811</t>
  </si>
  <si>
    <t>Department of Climate Change and Energy Efficiency; Bureau of Meteorology; CSIRO; QMS-University of Tasmania; CSIRO's Wealth from Oceans Flagship; U.S. Department of Energy [DE-AC52-07NA27344]</t>
  </si>
  <si>
    <t>Department of Climate Change and Energy Efficiency; Bureau of Meteorology(Bureau of Meteorology - Australia); CSIRO(Commonwealth Scientific &amp; Industrial Research Organisation (CSIRO)); QMS-University of Tasmania; CSIRO's Wealth from Oceans Flagship; U.S. Department of Energy(United States Department of Energy (DOE))</t>
  </si>
  <si>
    <t>This work has been undertaken as part of the Australian Climate Change Science Program, funded jointly by the Department of Climate Change and Energy Efficiency, the Bureau of Meteorology, and CSIRO. P.J.D. was supported by a joint QMS-University of Tasmania Ph.D. scholarship in Quantitative Marine Science (QMS) with support from CSIRO's Wealth from Oceans Flagship. Work undertaken at Lawrence Livermore National Laboratory is supported by the U.S. Department of Energy under contract DE-AC52-07NA27344. We acknowledge the modeling groups, the Program for Climate Model Diagnosis and Intercomparison (PCMDI) and the WCRP's Working Group on Coupled Modelling (WGCM), for their roles in making available the WCRP CMIP3 multimodel data set. We thank numerous colleagues from CSIRO, the Centre for Australian Weather and Climate Research (CAWCR), and the University of Tasmania for valuable feedback and input into this project. CAWCR is a partnership between CSIRO and the Australian Bureau of Meteorology. We also thank J. Durack of the University of California at Berkeley, S. Griffies of the Geophysical Fluid Dynamics Laboratory (GFDL), and R. Colman of CAWCR for helpful comments with early drafts of this manuscript. We acknowledge J. Fasullo of the National Center for Atmospheric Research, R. Schmitt of Woods Hole Oceanographic Institution, and an anonymous third reviewer for their feedback, which strongly improved the manuscript. Observed salinity change data can be downloaded from the CSIRO Ocean Change Web site at www.cmar.csiro.au/oceanchange. P. J. D. conceived the study, completed the analysis, and shared responsibility for writing the manuscript. S. E. W. assisted in the analysis and shared responsibility for writing the manuscript. R. J. M. undertook the idealized model simulations. All authors contributed to the final version of the manuscript.</t>
  </si>
  <si>
    <t>AMER ASSOC ADVANCEMENT SCIENCE</t>
  </si>
  <si>
    <t>1200 NEW YORK AVE, NW, WASHINGTON, DC 20005 USA</t>
  </si>
  <si>
    <t>0036-8075</t>
  </si>
  <si>
    <t>1095-9203</t>
  </si>
  <si>
    <t>Science</t>
  </si>
  <si>
    <t>APR 27</t>
  </si>
  <si>
    <t>10.1126/science.1212222</t>
  </si>
  <si>
    <t>931QC</t>
  </si>
  <si>
    <t>WOS:000303233400042</t>
  </si>
  <si>
    <t>Pritchard, HD; Ligtenberg, SRM; Fricker, HA; Vaughan, DG; van den Broeke, MR; Padman, L</t>
  </si>
  <si>
    <t>Pritchard, H. D.; Ligtenberg, S. R. M.; Fricker, H. A.; Vaughan, D. G.; van den Broeke, M. R.; Padman, L.</t>
  </si>
  <si>
    <t>Antarctic ice-sheet loss driven by basal melting of ice shelves</t>
  </si>
  <si>
    <t>CIRCUMPOLAR DEEP-WATER; INFLOW; TRENDS; OCEAN</t>
  </si>
  <si>
    <t>Accurate prediction of global sea-level rise requires that we understand the cause of recent, widespread and intensifying(1,2) glacier acceleration along Antarctic ice-sheet coastal margins(3). Atmospheric and oceanic forcing have the potential to reduce the thickness and extent of floating ice shelves, potentially limiting their ability to buttress the flow of grounded tributary glaciers(4). Indeed, recent ice-shelf collapse led to retreat and acceleration of several glaciers on the Antarctic Peninsula(5). But the extent and magnitude of ice-shelf thickness change, the underlying causes of such change, and its link to glacier flow rate are so poorly understood that its future impact on the ice sheets cannot yet be predicted(3). Here we use satellite laser altimetry and modelling of the surface firn layer to reveal the circum-Antarctic pattern of ice-shelf thinning through increased basal melt. We deduce that this increased melt is the primary control of Antarctic ice-sheet loss, through a reduction in buttressing of the adjacent ice sheet leading to accelerated glacier flow(2). The highest thinning rates occur where warm water at depth can access thick ice shelves via submarine troughs crossing the continental shelf. Wind forcing could explain the dominant patterns of both basal melting and the surface melting and collapse of Antarctic ice shelves, through ocean upwelling in the Amundsen(6) and Bellingshausen(7) seas, and atmospheric warming on the Antarctic Peninsula(8). This implies that climate forcing through changing winds influences Antarctic ice-sheet mass balance, and hence global sea level, on annual to decadal timescales.</t>
  </si>
  <si>
    <t>[Pritchard, H. D.; Vaughan, D. G.] British Antarctic Survey, Nat Environm Res Council, Cambridge CB3 0ET, England; [Ligtenberg, S. R. M.; van den Broeke, M. R.] Univ Utrecht, Inst Marine &amp; Atmospher Res, NL-3508 TA Utrecht, Netherlands; [Fricker, H. A.] Univ Calif San Diego, Scripps Inst Oceanog, La Jolla, CA 92093 USA; [Padman, L.] Earth &amp; Space Res, Corvallis, OR 97333 USA</t>
  </si>
  <si>
    <t>UK Research &amp; Innovation (UKRI); Natural Environment Research Council (NERC); NERC British Antarctic Survey; Utrecht University; University of California System; University of California San Diego; Scripps Institution of Oceanography</t>
  </si>
  <si>
    <t>Pritchard, HD (corresponding author), British Antarctic Survey, Nat Environm Res Council, Madingley Rd, Cambridge CB3 0ET, England.</t>
  </si>
  <si>
    <t>h.pritchard@bas.ac.uk</t>
  </si>
  <si>
    <t>Van den Broeke, Michiel R./F-7867-2011; Ligtenberg, Stefan/AAF-8290-2020; Vaughan, David/C-8348-2011; Pritchard, Hamish Daniel/AAU-4696-2021; Padman, Laurence/AAH-3808-2021</t>
  </si>
  <si>
    <t>Van den Broeke, Michiel R./0000-0003-4662-7565; Vaughan, David/0000-0002-9065-0570; Fricker, Helen Amanda/0000-0002-0921-1432; Padman, Laurence/0000-0003-2010-642X</t>
  </si>
  <si>
    <t>European Union [226375]; Natural Environment Research Council [bas0100027] Funding Source: researchfish; NERC [bas0100027] Funding Source: UKRI</t>
  </si>
  <si>
    <t>European Union(European Union (EU)); Natural Environment Research Council(UK Research &amp; Innovation (UKRI)Natural Environment Research Council (NERC)); NERC(UK Research &amp; Innovation (UKRI)Natural Environment Research Council (NERC))</t>
  </si>
  <si>
    <t>This work was supported by funding from the ice2sea programme from the European Union 7th Framework Programme, grant number 226375. This is ice2sea contribution number 056. We thank NASA's ICESat Science Project for distribution of the ICESat data (see http://icesat.gsfc.nasa.gov and http://nsidc.org/data/icesat). We also thank T. Urban for providing ICESat bias corrections and R. Arthern for assistance with error assessment. This paper is ESR contribution 146.</t>
  </si>
  <si>
    <t>NATURE PORTFOLIO</t>
  </si>
  <si>
    <t>BERLIN</t>
  </si>
  <si>
    <t>HEIDELBERGER PLATZ 3, BERLIN, 14197, GERMANY</t>
  </si>
  <si>
    <t>APR 26</t>
  </si>
  <si>
    <t>10.1038/nature10968</t>
  </si>
  <si>
    <t>931FF</t>
  </si>
  <si>
    <t>WOS:000303200400048</t>
  </si>
  <si>
    <t>Motoba, T; Hosokawa, K; Kadokura, A; Sato, N</t>
  </si>
  <si>
    <t>Motoba, Tetsuo; Hosokawa, Keisuke; Kadokura, Akira; Sato, Natsuo</t>
  </si>
  <si>
    <t>Magnetic conjugacy of northern and southern auroral beads</t>
  </si>
  <si>
    <t>SUBSTORM ONSET</t>
  </si>
  <si>
    <t>Auroral beads, i.e., azimuthally arrayed bright spots resembling a pearl necklace, have recently drawn attention as a possible precursor of auroral substorms. We used simultaneous, ground-based, all-sky camera observations from a geomagnetically conjugate Iceland-Syowa Station pair to demonstrate that the auroral beads, whose wavelength is similar to 30-50 km, evolve synchronously in the northern and southern hemispheres and have remarkable interhemispheric similarities. In both hemispheres: 1) they appeared almost at the same time; 2) their longitudinal wave number was similar similar to 300-400, corresponding bead separation being similar to 1 degrees in longitude; 3) they started developing into a larger scale spiral form at the same time; 4) their propagation speeds and their temporal evolution were almost identical. These interhemispheric similarities provide strong evidence that there is a common driver in the magnetotail equatorial region that controls the major temporal evolution of the auroral beads; thus, the magnetosphere plays a primary role in structuring the initial brightening arc in this scale size. Citation: Motoba, T., K. Hosokawa, A. Kadokura, and N. Sato (2012), Magnetic conjugacy of northern and southern auroral beads, Geophys. Res. Lett., 39, L08108, doi:10.1029/2012GL051599.</t>
  </si>
  <si>
    <t>[Motoba, Tetsuo; Kadokura, Akira; Sato, Natsuo] Natl Inst Polar Res, Tachikawa, Tokyo 1908518, Japan; [Hosokawa, Keisuke] Univ Electrocommun, Dept Commun Engn &amp; Informat, Chofu, Tokyo 182, Japan</t>
  </si>
  <si>
    <t>Research Organization of Information &amp; Systems (ROIS); National Institute of Polar Research (NIPR) - Japan; University of Electro-Communications - Japan</t>
  </si>
  <si>
    <t>Motoba, T (corresponding author), Natl Inst Polar Res, 10-3 Midori Cho, Tachikawa, Tokyo 1908518, Japan.</t>
  </si>
  <si>
    <t>motoba.tetsuo@nipr.ac.jp</t>
  </si>
  <si>
    <t>Motoba, Tetsuo/S-4554-2017</t>
  </si>
  <si>
    <t>Motoba, Tetsuo/0000-0002-8138-7897</t>
  </si>
  <si>
    <t>Inter-university Upper atmosphere Global Observation NETwork (IUGONET); Ministry of Education, Culture, Sports, Science and Technology of Japan; NIPR; [21403007]; Directorate For Geosciences; Div Atmospheric &amp; Geospace Sciences [1104338] Funding Source: National Science Foundation; Grants-in-Aid for Scientific Research [21403007] Funding Source: KAKEN</t>
  </si>
  <si>
    <t>Inter-university Upper atmosphere Global Observation NETwork (IUGONET); Ministry of Education, Culture, Sports, Science and Technology of Japan(Ministry of Education, Culture, Sports, Science and Technology, Japan (MEXT)); NIPR(National Institute of Polar Research (NIPR) - Japan); ; Directorate For Geosciences; Div Atmospheric &amp; Geospace Sciences(National Science Foundation (NSF)NSF - Directorate for Geosciences (GEO)); Grants-in-Aid for Scientific Research(Ministry of Education, Culture, Sports, Science and Technology, Japan (MEXT)Japan Society for the Promotion of ScienceGrants-in-Aid for Scientific Research (KAKENHI))</t>
  </si>
  <si>
    <t>This work was partially supported by a Grant-in-Aid for Scientific Research B (21403007) and the Inter-university Upper atmosphere Global Observation NETwork (IUGONET) project funded by the Ministry of Education, Culture, Sports, Science and Technology of Japan. The production of this paper was supported by an NIPR publication subsidy. Ground-based observations in Iceland were conducted by an international collaboration between the National Institute of Polar Research (NIPR), Japan, and the University of Iceland, Iceland. Special thanks are due to the 52nd Japanese Antarctic Research Expedition (JARE) members for carrying out the optical operation at Syowa Station. The THEMIS FGM data were obtained through the CDAWeb (http://cdaweb.gsfc.nasa.gov/). The provisional AU and AL indices were obtained from WDC for geomagnetism, Kyoto.</t>
  </si>
  <si>
    <t>APR 25</t>
  </si>
  <si>
    <t>L08108</t>
  </si>
  <si>
    <t>10.1029/2012GL051599</t>
  </si>
  <si>
    <t>933AF</t>
  </si>
  <si>
    <t>WOS:000303330900006</t>
  </si>
  <si>
    <t>Sun, JQ; Wang, HJ</t>
  </si>
  <si>
    <t>Sun, Jianqi; Wang, Huijun</t>
  </si>
  <si>
    <t>Changes of the connection between the summer North Atlantic Oscillation and the East Asian summer rainfall</t>
  </si>
  <si>
    <t>SEA-SURFACE TEMPERATURE; WAVE-ACTIVITY FLUX; INTERANNUAL VARIABILITY; ANTARCTIC OSCILLATION; INDIAN MONSOON; RIVER VALLEY; CLIMATE; ENSO; NAO; SHIFT</t>
  </si>
  <si>
    <t>In this study, the relationship between the summer North Atlantic Oscillation (SNAO) and the East Asian summer rainfall was statistically diagnosed based on the European Centre for Medium-Range Weather Forecasts (ECMWF) 40-year and interim reanalysis data (ERA-40 and ERA-Interim) as well as precipitation data from the Global Precipitation Climatology Centre (GPCC). The results show that the decadal change of the SNAO pattern around the late 1970s significantly enhanced its connection with summer rainfall over central and northern East Asia. Over the period before the late 1970s, the SNAO-related circulations were dominant over the North Atlantic region. Consequently, there was a weak connection between the SNAO and the East Asian summer rainfall. However, over the period after the late 1970s, the SNAO pattern experienced a decadal change, with the southern center shifting eastward. Such changes in the SNAO pattern can alter the stationary wave activity over the Eurasian Continent, producing an anomalous meridional dipole pattern over East Asia. This dipole pattern can then change the divergence circulation, vertical motion, water vapor, and total cloud cover, which would consequently provide beneficial conditions for more (less) summer rainfall over central (northern) East Asia in a positive (negative)-phase SNAO year.</t>
  </si>
  <si>
    <t>[Sun, Jianqi; Wang, Huijun] Chinese Acad Sci, Inst Atmospher Phys, Nansen Zhu Int Res Ctr, Beijing 100029, Peoples R China</t>
  </si>
  <si>
    <t>Chinese Academy of Sciences; Institute of Atmospheric Physics, CAS</t>
  </si>
  <si>
    <t>Sun, JQ (corresponding author), Chinese Acad Sci, Inst Atmospher Phys, Nansen Zhu Int Res Ctr, POB 9804, Beijing 100029, Peoples R China.</t>
  </si>
  <si>
    <t>sunjq@mail.iap.ac.cn</t>
  </si>
  <si>
    <t>Sun, Jianqi/A-7084-2016</t>
  </si>
  <si>
    <t>National Natural Science Foundation of China [40905041]; National Basic Research Program of China [2012CB955401]</t>
  </si>
  <si>
    <t>National Natural Science Foundation of China(National Natural Science Foundation of China (NSFC)); National Basic Research Program of China(National Basic Research Program of China)</t>
  </si>
  <si>
    <t>We acknowledge the ECMWF for providing the ERA-40 and ERA-Interim reanalysis data. This research was jointly supported by the project (grant 40905041) supported by National Natural Science Foundation of China and the National Basic Research Program of China (grant 2012CB955401). The paper contributes to the CLIVAR International Climate of the Twentieth Century project and the Norwegian Research Council project East-Asia DecCen.</t>
  </si>
  <si>
    <t>D08110</t>
  </si>
  <si>
    <t>10.1029/2012JD017482</t>
  </si>
  <si>
    <t>932UF</t>
  </si>
  <si>
    <t>WOS:000303315300003</t>
  </si>
  <si>
    <t>Williams, JD; Boyko, CB</t>
  </si>
  <si>
    <t>Williams, Jason D.; Boyko, Christopher B.</t>
  </si>
  <si>
    <t>The Global Diversity of Parasitic Isopods Associated with Crustacean Hosts (Isopoda: Bopyroidea and Cryptoniscoidea)</t>
  </si>
  <si>
    <t>BOPYRID ISOPOD; PROBOPYRUS-PANDALICOLA; PARALOMIS-GRANULOSA; ORTHIONE-GRIFFENIS; ARGEIA-PUGETTENSIS; PALAEMONETES-PUGIO; LIRIOPSIS-PYGMAEA; BEAGLE CHANNEL; GRASS SHRIMP; DECAPODA</t>
  </si>
  <si>
    <t>Parasitic isopods of Bopyroidea and Cryptoniscoidea (commonly referred to as epicarideans) are unique in using crustaceans as both intermediate and definitive hosts. In total, 795 epicarideans are known, representing similar to 7.7% of described isopods. The rate of description of parasitic species has not matched that of free-living isopods and this disparity will likely continue due to the more cryptic nature of these parasites. Distribution patterns of epicarideans are influenced by a combination of their definitive (both benthic and pelagic species) and intermediate (pelagic copepod) host distributions, although host specificity is poorly known for most species. Among epicarideans, nearly all species in Bopyroidea are ectoparasitic on decapod hosts. Bopyrids are the most diverse taxon (605 species), with their highest diversity in the North West Pacific (139 species), East Asian Sea (120 species), and Central Indian Ocean (44 species). The diversity patterns of Cryptoniscoidea (99 species, endoparasites of a diverse assemblage of crustacean hosts) are distinct from bopyrids, with the greatest diversity of cryptoniscoids in the North East Atlantic (18 species) followed by the Antarctic, Mediterranean, and Arctic regions (13, 12, and 8 species, respectively). Dajidae (54 species, ectoparasites of shrimp, mysids, and euphausids) exhibits highest diversity in the Antarctic (7 species) with 14 species in the Arctic and North East Atlantic regions combined. Entoniscidae (37 species, endoparasites within anomuran, brachyuran and shrimp hosts) show highest diversity in the North West Pacific (10 species) and North East Atlantic (8 species). Most epicarideans are known from relatively shallow waters, although some bopyrids are known from depths below 4000 m. Lack of parasitic groups in certain geographic areas is likely a sampling artifact and we predict that the Central Indian Ocean and East Asian Sea (in particular, the Indo-Malay-Philippines Archipelago) hold a wealth of undescribed species, reflecting our knowledge of host diversity patterns.</t>
  </si>
  <si>
    <t>[Williams, Jason D.] Hofstra Univ, Dept Biol, Hempstead, NY 11550 USA; [Boyko, Christopher B.] Amer Museum Nat Hist, Div Invertebrate Zool, New York, NY 10024 USA; [Boyko, Christopher B.] Dowling Coll, Dept Biol, Oakdale, NY USA</t>
  </si>
  <si>
    <t>Hofstra University; American Museum of Natural History (AMNH)</t>
  </si>
  <si>
    <t>Williams, JD (corresponding author), Hofstra Univ, Dept Biol, Hempstead, NY 11550 USA.</t>
  </si>
  <si>
    <t>biojdw@hofstra.edu</t>
  </si>
  <si>
    <t>e35350</t>
  </si>
  <si>
    <t>10.1371/journal.pone.0035350</t>
  </si>
  <si>
    <t>959VP</t>
  </si>
  <si>
    <t>Green Published, gold, Green Submitted</t>
  </si>
  <si>
    <t>WOS:000305345200034</t>
  </si>
  <si>
    <t>Rodger, CJ; Clilverd, MA; Kavanagh, AJ; Watt, CEJ; Verronen, PT; Raita, T</t>
  </si>
  <si>
    <t>Rodger, Craig J.; Clilverd, Mark A.; Kavanagh, Andrew J.; Watt, Clare E. J.; Verronen, Pekka T.; Raita, Tero</t>
  </si>
  <si>
    <t>Contrasting the responses of three different ground-based instruments to energetic electron precipitation</t>
  </si>
  <si>
    <t>RADIO SCIENCE</t>
  </si>
  <si>
    <t>RADIATION BELT; STORMS; IONOSPHERE; ABSORPTION; ATMOSPHERE; RIOMETER; MODEL; FLUX</t>
  </si>
  <si>
    <t>In order to make best use of the opportunities provided by space missions such as the Radiation Belt Storm Probes, we determine the response of complementary subionospheric radiowave propagation measurements (VLF), riometer absorption measurements, cosmic noise absorption, and GPS-produced total electron content (vTEC) to different energetic electron precipitation (EEP). We model the relative sensitivity and responses of these instruments to idealized monoenergetic beams of precipitating electrons, and more realistic EEP spectra chosen to represent radiation belts and substorm precipitation. In the monoenergetic beam case, we find riometers are more sensitive to the same EEP event occurring during the day than during the night, while subionospheric VLF shows the opposite relationship, and the change in vTEC is independent. In general, the subionospheric VLF measurements are much more sensitive than the other two techniques for EEP over 200 keV, responding to flux magnitudes two-three orders of magnitude smaller than detectable by a riometer. Detectable TEC changes only occur for extreme monoenergetic fluxes. For the radiation belt EEP case, clearly detectable subionospheric VLF responses are produced by daytime fluxes that are similar to 10 times lower than required for riometers, while nighttime fluxes can be 10,000 times lower. Riometers are likely to respond only to radiation belt fluxes during the largest EEP events and vTEC is unlikely to be significantly disturbed by radiation belt EEP. For the substorm EEP case both the riometer absorption and the subionospheric VLF technique respond significantly, as does the change in vTEC, which is likely to be detectable at similar to 3-4 total electron content units.</t>
  </si>
  <si>
    <t>[Rodger, Craig J.] Univ Otago, Dept Phys, Dunedin 9016, New Zealand; [Clilverd, Mark A.] British Antarctic Survey, NERC, Cambridge CB3 0ET, England; [Kavanagh, Andrew J.] Univ Lancaster, Dept Phys, Lancaster LA1 4WA, England; [Raita, Tero] Univ Oulu, Sodankyla Geophys Observ, FI-99600 Sodankyla, Finland; [Verronen, Pekka T.] Finnish Meteorol Inst, FI-00101 Helsinki, Finland; [Watt, Clare E. J.] Univ Alberta, Dept Phys, Edmonton, AB T6G 2E1, Canada</t>
  </si>
  <si>
    <t>University of Otago; UK Research &amp; Innovation (UKRI); Natural Environment Research Council (NERC); NERC British Antarctic Survey; Lancaster University; University of Oulu; Finnish Meteorological Institute; University of Alberta</t>
  </si>
  <si>
    <t>Rodger, CJ (corresponding author), Univ Otago, Dept Phys, POB 56, Dunedin 9016, New Zealand.</t>
  </si>
  <si>
    <t>crodger@physics.otago.ac.nz</t>
  </si>
  <si>
    <t>Verronen, Pekka T/G-6658-2014; Verronen, P. T./AIE-0203-2022; Rodger, Craig/A-1501-2011; Watt, Clare/C-5218-2008</t>
  </si>
  <si>
    <t>Verronen, P. T./0000-0002-3479-9071; Watt, Clare/0000-0003-3193-8993; Raita, Tero/0000-0002-0455-5746; Rodger, Craig J./0000-0002-6770-2707</t>
  </si>
  <si>
    <t>New Zealand Marsden Fund; European Union [263218]; UK Science and Technology Facilities Council [ST/G002401/1]; Canadian Space Agency; Academy of Finland [136225/SPOC]; Natural Environment Research Council [bas0100023] Funding Source: researchfish; NERC [bas0100023] Funding Source: UKRI</t>
  </si>
  <si>
    <t>New Zealand Marsden Fund(Royal Society of New ZealandMarsden Fund (NZ)); European Union(European Union (EU)); UK Science and Technology Facilities Council(UK Research &amp; Innovation (UKRI)Science &amp; Technology Facilities Council (STFC)); Canadian Space Agency(Canadian Space Agency); Academy of Finland(Research Council of Finland); Natural Environment Research Council(UK Research &amp; Innovation (UKRI)Natural Environment Research Council (NERC)); NERC(UK Research &amp; Innovation (UKRI)Natural Environment Research Council (NERC))</t>
  </si>
  <si>
    <t>C.J.R. would like to thank Lynette Finnie of Dunedin for her support. C.J.R. was supported by the New Zealand Marsden Fund. The research leading to these results has received funding from the European Union Seventh Framework Programme (FP7/2007-2013) under grant agreement 263218. A.J.K. was supported by the UK Science and Technology Facilities Council (grant ST/G002401/1), C.E.J.W. by the Canadian Space Agency, and P.T.V. by the Academy of Finland through the project 136225/SPOC (Significance of Energetic Electron Precipitation to Odd Hydrogen, Ozone, and Climate).</t>
  </si>
  <si>
    <t>0048-6604</t>
  </si>
  <si>
    <t>1944-799X</t>
  </si>
  <si>
    <t>RADIO SCI</t>
  </si>
  <si>
    <t>Radio Sci.</t>
  </si>
  <si>
    <t>RS2021</t>
  </si>
  <si>
    <t>10.1029/2011RS004971</t>
  </si>
  <si>
    <t>Astronomy &amp; Astrophysics; Geochemistry &amp; Geophysics; Meteorology &amp; Atmospheric Sciences; Remote Sensing; Telecommunications</t>
  </si>
  <si>
    <t>932VT</t>
  </si>
  <si>
    <t>Green Accepted</t>
  </si>
  <si>
    <t>WOS:000303319300002</t>
  </si>
  <si>
    <t>Yamazaki, T; Ikehara, M</t>
  </si>
  <si>
    <t>Yamazaki, Toshitsugu; Ikehara, Minoru</t>
  </si>
  <si>
    <t>Origin of magnetic mineral concentration variation in the Southern Ocean</t>
  </si>
  <si>
    <t>PALEOCEANOGRAPHY</t>
  </si>
  <si>
    <t>DEEP-SEA SEDIMENTS; ORGANIC-CARBON FLUX; BACTERIAL MAGNETITE; REMANENCE CURVES; ROCK-MAGNETISM; SCOTIA SEA; CORE; COMPONENTS; PATAGONIA; PACIFIC</t>
  </si>
  <si>
    <t>In the Southern Ocean, magnetic mineral concentration increases in glacial periods. The variation pattern closely resembles eolian dust flux records from Antarctic ice cores, but the cause of the linkage remains unclear, as the dust flux is too small for the source of terrigenous materials in the Southern Ocean. We have conducted an environmental magnetic study of late Pleistocene sediments from the south Indian Ocean to investigate the origin of the magnetic concentration changes. Biogenic magnetites can be detected using the characteristics of almost no magnetostatic interactions and narrow coercivity distribution, reflecting occurrence of single-domain magnetites in a chain. We interpret that a non-interacting component on first-order reversal curve diagrams and low-coercivity components with small dispersion from isothermal remanent magnetization (IRM) component analyses represent biogenic magnetites, and that the interacting and middle-coercivity components represent terrigenous maghemites. The ratio of anhysteretic remanent magnetization susceptibility to saturation IRM reflects relative abundance of the biogenic and terrigenous components. It was revealed that biogenic magnetites are a dominant constituent of the magnetic minerals. In glacials, the abundance of both biogenic and terrigenous components increased with increased proportions of the latter. Increased ocean productivity in glacials is suggested from increased proportions of biogenic magnetites with elongated morphologies, indicative of less-oxic conditions, and increased sedimentation rates. These observations suggest that the increased magnetic concentration in glacials in the Southern Ocean may be explained by iron fertilization; the production of biogenic magnetites was enhanced associated with increased ocean productivity, which was fueled by increased eolian dust flux.</t>
  </si>
  <si>
    <t>[Yamazaki, Toshitsugu] Natl Inst Adv Ind Sci &amp; Technol, Geol Survey Japan, Tsukuba, Ibaraki 3058567, Japan; [Ikehara, Minoru] Kochi Univ, Ctr Adv Marine Core Res, Nanko Ku, Kochi 7838502, Japan</t>
  </si>
  <si>
    <t>National Institute of Advanced Industrial Science &amp; Technology (AIST); Kochi University</t>
  </si>
  <si>
    <t>Yamazaki, T (corresponding author), Natl Inst Adv Ind Sci &amp; Technol, Geol Survey Japan, 1-1-1 Higashi, Tsukuba, Ibaraki 3058567, Japan.</t>
  </si>
  <si>
    <t>toshi-yamazaki@aist.go.jp</t>
  </si>
  <si>
    <t>Ikehara, Minoru/0000-0002-2695-4713</t>
  </si>
  <si>
    <t>Japan Society for the Promotion of Science [19340156, 14540458]; Grants-in-Aid for Scientific Research [23244102, 14540458, 19340156] Funding Source: KAKEN</t>
  </si>
  <si>
    <t>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</si>
  <si>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Emi Kariya and Etsuko Usuda for help with the magnetic measurements, Noriko Yoshizawa and Akira Takatsuki for conducting TEM observation under R&amp;D Support Project of Transmission Electron Microscopy of AIST, and Naomi Harada for providing extra samples for the TEM observation. We also thank Michiyo Kobayashi for stable isotope measurements in Kochi University, and two reviewers, Fabio Florind and Ramon Egli, for constructive comments. The coring and onboard measurements were carried out with cooperation of Naomi Harada, Katsunori Kimoto, and onboard scientists, marine technicians, and crew of R/V Mirai MR03-K04 Leg 6. This study was partly supported by the Grant-in-Aid for Scientific Research ((B) 19340156, (C) 14540458) of the Japan Society for the Promotion of Science.</t>
  </si>
  <si>
    <t>0883-8305</t>
  </si>
  <si>
    <t>1944-9186</t>
  </si>
  <si>
    <t>Paleoceanography</t>
  </si>
  <si>
    <t>APR 24</t>
  </si>
  <si>
    <t>PA2206</t>
  </si>
  <si>
    <t>10.1029/2011PA002271</t>
  </si>
  <si>
    <t>Geosciences, Multidisciplinary; Oceanography; Paleontology</t>
  </si>
  <si>
    <t>Geology; Oceanography; Paleontology</t>
  </si>
  <si>
    <t>932VP</t>
  </si>
  <si>
    <t>WOS:000303318900001</t>
  </si>
  <si>
    <t>McKay, R; Naish, T; Carter, L; Riesselman, C; Dunbar, R; Sjunneskog, C; Winter, D; Sangiorgi, F; Warren, C; Pagani, M; Schouten, S; Willmott, V; Levy, R; DeConto, R; Powell, RD</t>
  </si>
  <si>
    <t>McKay, Robert; Naish, Tim; Carter, Lionel; Riesselman, Christina; Dunbar, Robert; Sjunneskog, Charlotte; Winter, Diane; Sangiorgi, Francesca; Warren, Courtney; Pagani, Mark; Schouten, Stefan; Willmott, Veronica; Levy, Richard; DeConto, Robert; Powell, Ross D.</t>
  </si>
  <si>
    <t>Antarctic and Southern Ocean influences on Late Pliocene global cooling</t>
  </si>
  <si>
    <t>glacial history; West Antarctic Ice Sheet; Late Neogene; paleooceanography; paleoclimate</t>
  </si>
  <si>
    <t>MAJOR DIATOM TAXA; ICE-SHEET EXPANSION; ROSS SEA; TROPICAL PACIFIC; WEST; BIOGEOGRAPHY; GLACIATION; SEDIMENTS; ATLANTIC; RECORD</t>
  </si>
  <si>
    <t>The influence of Antarctica and the Southern Ocean on Late Pliocene global climate reconstructions has remained ambiguous due to a lack of well-dated Antarctic-proximal, paleoenvironmental records. Here we present ice sheet, sea-surface temperature, and sea ice reconstructions from the ANDRILL AND-1B sediment core recovered from beneath the Ross Ice Shelf. We provide evidence for a major expansion of an ice sheet in the Ross Sea that began at similar to 3.3 Ma, followed by a coastal sea surface temperature cooling of similar to 2.5 degrees C, a stepwise expansion of sea ice, and polynya-style deep mixing in the Ross Sea between 3.3 and 2.5 Ma. The intensification of Antarctic cooling resulted in strengthened westerly winds and invigorated ocean circulation. The associated northward migration of Southern Ocean fronts has been linked with reduced Atlantic Meridional Overturning Circulation by restricting surface water connectivity between the ocean basins, with implications for heat transport to the high latitudes of the North Atlantic. While our results do not exclude low-latitude mechanisms as drivers for Pliocene cooling, they indicate an additional role played by southern high-latitude cooling during development of the bipolar world.</t>
  </si>
  <si>
    <t>[McKay, Robert; Naish, Tim; Carter, Lionel] Victoria Univ Wellington, Antarctic Res Ctr, Wellington 6140, New Zealand; [Riesselman, Christina] Stanford Univ, Dept Geog &amp; Environm Sci, Stanford, CA 94305 USA; [Dunbar, Robert] Stanford Univ, Dept Environm Earth Syst Sci, Stanford, CA 94305 USA; [Sjunneskog, Charlotte] Florida State Univ, Antarctic Marine Geol Res Facil, Tallahassee, FL 32306 USA; [Winter, Diane] Rhithron Associates Inc, Missoula, MT 59804 USA; [Sangiorgi, Francesca] Univ Utrecht, Lab Palaeobot &amp; Palynol, Fac Geosci, Dept Earth Sci, NL-U3584 CD Utrecht, Netherlands; [Warren, Courtney; Pagani, Mark] Yale Univ, Dept Geol &amp; Geophys, New Haven, CT 06520 USA; [Schouten, Stefan; Willmott, Veronica] NIOZ Royal Netherlands Inst Sea Res, Dept Marine Organ Biogeochem, NL-1790 AB Den Burg, Netherlands; [Levy, Richard] GNS Sci, Lower Hutt 5040, New Zealand; [DeConto, Robert] Univ Massachusetts, Dept Geosci, Amherst, MA 01003 USA; [Powell, Ross D.] No Illinois Univ, Dept Geol &amp; Environm Geosci, De Kalb, IL 60115 USA</t>
  </si>
  <si>
    <t>Victoria University Wellington; Stanford University; Stanford University; State University System of Florida; Florida State University; Utrecht University; Yale University; Utrecht University; Royal Netherlands Institute for Sea Research (NIOZ); GNS Science - New Zealand; University of Massachusetts System; University of Massachusetts Amherst; Northern Illinois University</t>
  </si>
  <si>
    <t>McKay, R (corresponding author), Victoria Univ Wellington, Antarctic Res Ctr, POB 600, Wellington 6140, New Zealand.</t>
  </si>
  <si>
    <t>robert.mckay@vuw.ac.nz</t>
  </si>
  <si>
    <t>Willmott Puig, Veronica/AGN-3478-2022; McKay, Robert/N-2449-2015; Riesselman, Christina R/H-5037-2012; Pagani, Mark/B-3233-2008; Levy, Richard H/E-2477-2011</t>
  </si>
  <si>
    <t>Willmott Puig, Veronica/0000-0002-6552-8901; McKay, Robert/0000-0002-5602-6985; Levy, Richard/0000-0002-8783-0167; Sangiorgi, Francesca/0000-0003-4233-6154; Naish, Tim/0000-0002-1185-9932; Dunbar, Robert/0000-0002-9728-5609; Riesselman, Christina/0000-0002-2436-4306</t>
  </si>
  <si>
    <t>US National Science Foundation; NZ Royal Society; Italian Antarctic Research Programme; German Research Foundation; Alfred Wegener Institute for Polar and Marine Research</t>
  </si>
  <si>
    <t>US National Science Foundation(National Science Foundation (NSF)); NZ Royal Society(Royal Society of New Zealand); Italian Antarctic Research Programme; German Research Foundation(German Research Foundation (DFG)); Alfred Wegener Institute for Polar and Marine Research</t>
  </si>
  <si>
    <t>The scientific studies for ANDRILL are jointly supported by the US National Science Foundation, the NZ Royal Society of New Zealand Marsden Fund, the Italian Antarctic Research Programme, the German Research Foundation, and the Alfred Wegener Institute for Polar and Marine Research.</t>
  </si>
  <si>
    <t>1091-6490</t>
  </si>
  <si>
    <t>10.1073/pnas.1112248109</t>
  </si>
  <si>
    <t>931WD</t>
  </si>
  <si>
    <t>WOS:000303249100024</t>
  </si>
  <si>
    <t>Edgar, GJ</t>
  </si>
  <si>
    <t>Edgar, Graham J.</t>
  </si>
  <si>
    <t>New Leptocheliidae (Crustacea: Tanaidacea: Tanaidomorpha) from Australian seagrass and macro-algal habitats, and a redescription of the poorly-known Leptochelia ignota from Sydney Harbour</t>
  </si>
  <si>
    <t>Tanaidaceans; crustaceans; Leptocheliidae; Leptochelia; Parakonarus; Poorea; systematics; new species; new genus; seagrass; Australia</t>
  </si>
  <si>
    <t>PERACARIDA; ASSEMBLAGES; ISLANDS; GENERA; SEX</t>
  </si>
  <si>
    <t>Australia possesses a rich fauna of leptocheliid tanaidaceans (Crustacea: Tanaidacea: Leptocheliidae), including many species that currently remain undescribed. As an addition to the 13 leptocheliid species known to date from Australian waters, a new genus (Poorea n. gen.) and five new species collected from shallow macrophyte habitats are diagnosed (Parakonarus robertsoni n. sp., Leptochelia evansi n. sp., Leptochelia gadgeti n. sp., Poorea wrighti n. sp. and Poorea johannesi n. sp.). Leptochelia nobbi is transferred to the genus Poorea, Leptochelia fairgo to Parakonarus, and a redescription provided for the enigmatic tanaidacean Leptochelia ignota on the basis of specimens collected near the Sydney type locality. A key is provided to Australian leptocheliid species.</t>
  </si>
  <si>
    <t>Univ Tasmania, Inst Marine &amp; Antarctic Studies, Hobart, Tas, Australia</t>
  </si>
  <si>
    <t>Edgar, GJ (corresponding author), Univ Tasmania, Inst Marine &amp; Antarctic Studies, GPO Box 252-49, Hobart, Tas, Australia.</t>
  </si>
  <si>
    <t>g.edgar@utas.edu.au</t>
  </si>
  <si>
    <t>Edgar, Graham/AAY-3797-2020; Edgar, Graham/C-8341-2013</t>
  </si>
  <si>
    <t>Edgar, Graham/0000-0003-0833-9001; Edgar, Graham/0000-0003-0833-9001</t>
  </si>
  <si>
    <t>Australian Biological Resources Surveys</t>
  </si>
  <si>
    <t>For her skill and dedication in drawing figures, I am indebted to Susan Laurie-Bourque. I also greatly appreciate the advice of Graham Bird, and information, encouragement and access to museum collections provided by Gary Poore, Jim Lowry, Stephen Keable and Peter Davie. The study was supported by a grant from Australian Biological Resources Surveys.</t>
  </si>
  <si>
    <t>940BN</t>
  </si>
  <si>
    <t>WOS:000303865100001</t>
  </si>
  <si>
    <t>Durban, JW; Pitman, RL</t>
  </si>
  <si>
    <t>Durban, J. W.; Pitman, R. L.</t>
  </si>
  <si>
    <t>Antarctic killer whales make rapid, round-trip movements to subtropical waters: evidence for physiological maintenance migrations?</t>
  </si>
  <si>
    <t>BIOLOGY LETTERS</t>
  </si>
  <si>
    <t>migration; killer whales; Antarctica</t>
  </si>
  <si>
    <t>SELECTION; INSIGHTS</t>
  </si>
  <si>
    <t>Killer whales (Orcinus orca) are important predators in high latitudes, where their ecological impact is mediated through their movements. We used satellite telemetry to provide the first evidence of migration for killer whales, characterized by fast (more than 12 km h(-1), 6.5 knots) and direct movements away from Antarctic waters by six of 12 type B killer whales tagged when foraging near the Antarctic Peninsula, including all tags transmitting for more than three weeks. Tags on five of these whales revealed consistent movements to subtropical waters (30-37 degrees S) off Uruguay and Brazil, in surface water temperatures ranging from -1.98 degrees C to 24.2 degrees C; one 109 day track documented a nonstop round trip of almost 9400 km (5075 nmi) in just 42 days. Although whales travelled slower in the warmest waters, there was no obvious interruption in swim speed or direction to indicate calving or prolonged feeding. Furthermore, these movements were aseasonal, initiating over 80 days between February and April; one whale returned to within 40 km of the tagging site at the onset of the austral winter in June. We suggest that these movements may represent periodic maintenance migrations, with warmer waters allowing skin regeneration without the high cost of heat loss: a physiological constraint that may also affect other whales.</t>
  </si>
  <si>
    <t>[Durban, J. W.; Pitman, R. L.] Natl Marine Fisheries Serv, Protected Resources Div, SW Fisheries Sci Ctr, Natl Ocean &amp; Atmospher Adm, La Jolla, CA 92037 USA</t>
  </si>
  <si>
    <t>Durban, JW (corresponding author), Natl Marine Fisheries Serv, Protected Resources Div, SW Fisheries Sci Ctr, Natl Ocean &amp; Atmospher Adm, 3333 N Torrey Pines Court, La Jolla, CA 92037 USA.</t>
  </si>
  <si>
    <t>john.durban@noaa.gov</t>
  </si>
  <si>
    <t>National Geographical Society</t>
  </si>
  <si>
    <t>Field efforts were supported by Lindblad Expeditions, BBC Natural History Unit and a grant from the National Geographical Society. J. and D. Poncet ran shipboard operations; R. Andrews advised on tagging; H. Fearnbach and S. Martin provided field assistance.</t>
  </si>
  <si>
    <t>ROYAL SOC</t>
  </si>
  <si>
    <t>6-9 CARLTON HOUSE TERRACE, LONDON SW1Y 5AG, ENGLAND</t>
  </si>
  <si>
    <t>1744-9561</t>
  </si>
  <si>
    <t>BIOL LETTERS</t>
  </si>
  <si>
    <t>Biol. Lett.</t>
  </si>
  <si>
    <t>APR 23</t>
  </si>
  <si>
    <t>10.1098/rsbl.2011.0875</t>
  </si>
  <si>
    <t>Biology; Ecology; Evolutionary Biology</t>
  </si>
  <si>
    <t>Life Sciences &amp; Biomedicine - Other Topics; Environmental Sciences &amp; Ecology; Evolutionary Biology</t>
  </si>
  <si>
    <t>905VK</t>
  </si>
  <si>
    <t>Green Published, hybrid</t>
  </si>
  <si>
    <t>WOS:000301304000031</t>
  </si>
  <si>
    <t>Trevena, A; Jones, G</t>
  </si>
  <si>
    <t>Trevena, Anne; Jones, Graham</t>
  </si>
  <si>
    <t>DMS flux over the Antarctic sea ice zone</t>
  </si>
  <si>
    <t>MARINE CHEMISTRY</t>
  </si>
  <si>
    <t>DMS; DMSP; DMS flux; Pack ice; Fast ice; Melting sea ice; East Antarctica</t>
  </si>
  <si>
    <t>SOUTHERN-OCEAN; ALGAL PIGMENTS; PHYTOPLANKTON BIOMASS; COCCOLITHOPHORE BLOOM; DIMETHYLSULFIDE DMS; EASTERN ANTARCTICA; GAS-EXCHANGE; WEDDELL SEA; DIMETHYLSULPHONIOPROPIONATE; SUMMER</t>
  </si>
  <si>
    <t>This study presents concentrations of dimethylsulphide (DMS) and its precursor compound dimethylsulphoniopropionate (DMSP), and chlorophyll a in a variety of sea ice and seawater habitats from pack and fast ice in the Antarctic sea ice zone (ASIZ) of eastern Antarctica. Estimated hot spot seawater DMS concentrations released during sea ice melting in October and derived from a total DMSP (DMSPt)-sea ice depth relationship and application of a DMSPt:DMS conversion ratio, predict that sea ice derived DMS of the order of 20-50 nM is associated with DMSPt released from melting sea ice of 0.4 m thickness. In November and December, melting of large areas of ice less than 0.6 m thick could release larger amounts of DMS around 50-80 nM and 150-270 nM, respectively. In addition. DMSPt released from 1.0 to 1.2 m thick ice in December could result in hot spot concentrations of DMS of around 100 nM. DMS flux in November and mid to late December was highest in pack ice &gt; fast ice &gt; ice edge (pack ice= 54 mu mol m(-2) d(-1); (range 1-325); fast ice = 16 mu mol m(-2) d(-1). (range 10-50); ice edge = 12 (range 1.2-26) and 23 mu mol m(-2) d(-1)). In ice-free seawater in the Davis area from January to February, although dissolved DMS concentrations were low, DMS fluxes were high due to high wind speeds (DMS = 3 nM; DMS flux =27 mu mol m(-2) d(-1) (range 1-101)). DMS concentrations and flux from a fast ice tide crack (DMS = 12 nM; DMS flux 6-81 mu mol m(-2) d(-1)), and two days following fast ice breakout from the Davis region DMS concentrations (12 nM) and DMS flux (45-84 mu mol m(-2) d(-1)) also indicated that fast ice was a significant source of DMS to the atmosphere of this region. In contrast DMS flux from a fast ice melt-pool was low (DMS flux 0.5-7 mu mol m(-2) d(-1)). These measurements support the suggestion that during sea ice melting during late spring to early summer (November-December), the ASIZ is an area of high DMS (P) production from various sources, leading to very high and variable fluxes of DMS to the atmosphere of this region. As sea ice melts in late November voids in sea ice become larger enabling sea ice to vent DMS directly to the atmosphere, as well as being released from sea ice melting. At most sea ice sites DMS often displayed non-detectable to elevated concentrations of DMS (mean 11 nM) in the surface 0-0.1 m. Using average DMS concentrations from a range of studies we estimate that DMS flux from ASIZ in November is about 23 mu mol m(-2) d(-1), much lower than what we have estimated from pack ice using a DMSPt:DMS conversion ratio technique (54 mu mol m(-2) d(-1)). The difference (31 mu mol m(-2) d(-1)) could reflect venting or degassing of DMS directly from pack ice to the Antarctic atmosphere. Depth-integrated sea ice DMS concentrations varied with time of day, with elevated DMS concentrations (18-30 nM) in the cores during the later part of the day (i.e. 16.00-20.00 h), whilst close to mid-day (11.00-12.00 h) concentrations were much lower (2-9 nM). The lower depth-integrated DMS concentrations found in pack ice in November could suggest that large amounts of DMS are vented from pack ice close to mid-day when temperatures and wind speeds often increase. Varying DMSPt-chlorophyll a correlations in the sea ice highlight how varying biological activity affects DMSP concentrations, and suggest that variations in biological activity in sea ice also influence DMS flux. (C) 2012 Published by Elsevier B.V.</t>
  </si>
  <si>
    <t>[Trevena, Anne; Jones, Graham] So Cross Univ, Sch Environm Sci &amp; Engn, Lismore, NSW 2480, Australia</t>
  </si>
  <si>
    <t>Southern Cross University</t>
  </si>
  <si>
    <t>Jones, G (corresponding author), So Cross Univ, Sch Environm Sci &amp; Engn, Lismore, NSW 2480, Australia.</t>
  </si>
  <si>
    <t>gjones@scu.edu.au</t>
  </si>
  <si>
    <t>Jones, Graham/0000-0002-2815-6395</t>
  </si>
  <si>
    <t>Antarctic Scientific Advisory Committee (ASAC); Queen's Trust for Young Australians (Queensland Branch)</t>
  </si>
  <si>
    <t>The enormous logistics afforded Anne Trevena (AT) was made possible thanks to Australian National Antarctic Research Expeditions. Many fellow ANARE boffins and expeditioner's gave advice, company and entertainment to AT under sometimes difficult circumstances. Though there were many who contributed, special thanks for assistance in the field go to Andrew Davidson, Paul Thomson, Nick Gust, Chris Cunningham and Stephen Koch. Dr Simon Wright (AAD) is especially thanked for assistance with chlorophyll a analysis whilst AT worked under his supervision at the Australian Antarctic Division. This research was supported by a grant to GJ by the Antarctic Scientific Advisory Committee (ASAC), and to AT by The Queen's Trust for Young Australians (Queensland Branch), with supplementary support from Brian and Marlene Trevena, and Stephen Koch.</t>
  </si>
  <si>
    <t>0304-4203</t>
  </si>
  <si>
    <t>1872-7581</t>
  </si>
  <si>
    <t>MAR CHEM</t>
  </si>
  <si>
    <t>Mar. Chem.</t>
  </si>
  <si>
    <t>APR 20</t>
  </si>
  <si>
    <t>10.1016/j.marchem.2012.03.001</t>
  </si>
  <si>
    <t>Chemistry, Multidisciplinary; Oceanography</t>
  </si>
  <si>
    <t>Chemistry; Oceanography</t>
  </si>
  <si>
    <t>960FX</t>
  </si>
  <si>
    <t>WOS:000305374500007</t>
  </si>
  <si>
    <t>Davis, EF; Anderson, CB; Valenzuela, AEJ; Cabello, JL; Soto, N</t>
  </si>
  <si>
    <t>Davis, Ernesto F.; Anderson, Christopher B.; Valenzuela, Alejandro E. J.; Cabello, Jose L.; Soto, Nicolas</t>
  </si>
  <si>
    <t>American mink (Neovison vison) trapping in the Cape Horn Biosphere Reserve: enhancing current trap systems to control an invasive predator</t>
  </si>
  <si>
    <t>ANNALES ZOOLOGICI FENNICI</t>
  </si>
  <si>
    <t>MUSTELA-VISON; ARCHIPELAGO; IMPACTS</t>
  </si>
  <si>
    <t>Improvement of invasive American mink (Neovison vison) trapping methods in the Cape Horn Archipelago is a priority for wildlife managers. We assessed the use of cubby sets (16 x 16 x 30 cm plywood boxes) containing body gripping lethal traps to control mink along the Beagle Channel. We compared effectiveness, selectivity and weather condition resistance between two cubby set designs: (i) open front, and (ii) restricted entrance (lidded with a 6 cm aperture). The effectiveness of bait was evaluated between fresh versus canned fish. Thirteen minks and no non-target species were captured with the restricted entrance systems, as compared with three minks and 25 non-target individuals (six species) in open front cubby sets. Fresh fish resulted in more captures than canned fish, and lids made traps less susceptible to false activation. Traps inside restricted entrance cubby sets, baited with fresh fish were found to be most suitable for mink control and/or eradication efforts.</t>
  </si>
  <si>
    <t>[Davis, Ernesto F.; Cabello, Jose L.] Univ Magallanes, Subantarctic Conservat &amp; Management Masters Progr, Punta Arenas, Region Magallan, Chile; [Anderson, Christopher B.] Univ N Texas, Dept Biol Sci, Denton, TX 76203 USA; [Valenzuela, Alejandro E. J.] Consejo Nacl Invest Cient &amp; Tecn, Ctr Austral Invest Cient, Tierra Del Fuego, Antartida e Isl, Argentina; [Cabello, Jose L.; Soto, Nicolas] Div Protecc Recursos Nat Renovables, Serv Agr Ganadero Magallanes &amp; Antartica Chilena, Punta Arenas, Region Magallan, Chile</t>
  </si>
  <si>
    <t>Universidad de Magallanes; University of North Texas System; University of North Texas Denton; Consejo Nacional de Investigaciones Cientificas y Tecnicas (CONICET)</t>
  </si>
  <si>
    <t>Davis, EF (corresponding author), Univ Magallanes, Subantarctic Conservat &amp; Management Masters Progr, Av Bulnes 01855,Casilla 113-D, Punta Arenas, Region Magallan, Chile.</t>
  </si>
  <si>
    <t>ernesto.davis@umag.cl</t>
  </si>
  <si>
    <t>Anderson, Christopher/V-4882-2019</t>
  </si>
  <si>
    <t>Anderson, Christopher/0000-0001-8120-5689</t>
  </si>
  <si>
    <t>SAG-Magallanes; Chilean Antarctic Region; FONDEMA; OSARA (Omora Sub-Antarctic Research Alliance)</t>
  </si>
  <si>
    <t>The present study was funded by SAG-Magallanes and the Chilean Antarctic Region. Traps were purchased by SAG's Harmful Fauna Control Program, which was financed by the Magallanes Development Fund (FONDEMA). OSARA (Omora Sub-Antarctic Research Alliance) supported this project as part of its invasive species long-term socio-ecological research line in southern South America. The authors thank Cristian Soto Mayorga, provincial SAG officer in Puerto Williams, for his assistance during field work. Clive Craik and an anonymous reviewer provided valuable comments to improve an earlier version of this manuscript.</t>
  </si>
  <si>
    <t>FINNISH ZOOLOGICAL BOTANICAL PUBLISHING BOARD</t>
  </si>
  <si>
    <t>UNIV HELSINKI</t>
  </si>
  <si>
    <t>P O BOX 26, FI-00014 UNIV HELSINKI, FINLAND</t>
  </si>
  <si>
    <t>0003-455X</t>
  </si>
  <si>
    <t>1797-2450</t>
  </si>
  <si>
    <t>ANN ZOOL FENN</t>
  </si>
  <si>
    <t>Ann. Zool. Fenn.</t>
  </si>
  <si>
    <t>1-2</t>
  </si>
  <si>
    <t>10.5735/086.049.0102</t>
  </si>
  <si>
    <t>Ecology; Zoology</t>
  </si>
  <si>
    <t>Environmental Sciences &amp; Ecology; Zoology</t>
  </si>
  <si>
    <t>933JB</t>
  </si>
  <si>
    <t>WOS:000303355600002</t>
  </si>
  <si>
    <t>Jagannadham, MV; Chowdhury, C</t>
  </si>
  <si>
    <t>Jagannadham, Medicharla Venkata; Chowdhury, Chiranjit</t>
  </si>
  <si>
    <t>Differential expression of membrane proteins helps Antarctic Pseudomonas syringae to acclimatize upon temperature variations</t>
  </si>
  <si>
    <t>JOURNAL OF PROTEOMICS</t>
  </si>
  <si>
    <t>Antarctic bacterium; Acclimatization; Cold adaptation; Membrane proteins; MALDI TOF/TOF; LC-ESI MS/MS</t>
  </si>
  <si>
    <t>MICROCOCCUS-ROSEUS STRAIN; MAJOR CAROTENOID PIGMENT; PSYCHROTROPHIC BACTERIUM; ESCHERICHIA-COLI; 2-DIMENSIONAL ELECTROPHORESIS; SUBCELLULAR-LOCALIZATION; SYNTHETIC MEMBRANES; PROTEOMIC ANALYSIS; ADAPTATION; IDENTIFICATION</t>
  </si>
  <si>
    <t>Antarctic bacteria are adapted to the extremely low temperature. The transcriptional and translational machineries of these bacteria are adapted to the sub-zero degrees of temperature. Studies directed towards identifying the changes in the protein profiles during changes in the growth temperatures of an Antarctic bacterium Pseudomonas syringae Lz4W may help in understanding the molecular basis of cold adaptation. In this study, subcellular fractionation methods of proteins were used for the enrichment and identification of proteins including low abundance proteins. The membrane proteins of the bacterium P. syringae Lz4W were prepared employing sucrose density gradient method. The proteins were separated through 2D gel-electrophoresis with the pH ranges 3-10, 4-7 and 5-8 using the detergent, amidosulfobetaine (ASB-14). The proteins separated on the 1D SDS PAGE and 2D gels were identified with the help of LC-ESI MS/MS and MALDI TOF TOF using bio-informatic programs MASCOT and SEQUEST. Since the genome sequence of P. syringae Lz4W is not available, the proteins are identified by using the genome database of the Pseudomonas sp. available at NCBI. The present studies focus on identifying temperature dependent expression of proteins by employing LC-MS/MS method and the functional significance of these proteins is discussed. (C) 2012 Elsevier B.V. All rights reserved.</t>
  </si>
  <si>
    <t>[Jagannadham, Medicharla Venkata; Chowdhury, Chiranjit] CSIR Ctr Cellular &amp; Mol Biol, Hyderabad 500007, Andhra Pradesh, India</t>
  </si>
  <si>
    <t>Council of Scientific &amp; Industrial Research (CSIR) - India; CSIR - Centre for Cellular &amp; Molecular Biology (CCMB)</t>
  </si>
  <si>
    <t>Jagannadham, MV (corresponding author), CSIR Ctr Cellular &amp; Mol Biol, Uppal Rd, Hyderabad 500007, Andhra Pradesh, India.</t>
  </si>
  <si>
    <t>jagan@ccmb.res.in</t>
  </si>
  <si>
    <t>Chowdhury, Chiranjit/N-4637-2017</t>
  </si>
  <si>
    <t>Chowdhury, Chiranjit/0000-0003-2026-5324</t>
  </si>
  <si>
    <t>Department of Biotechnology, Govt. of India [BT/PR7383/BRB/10/474/2006]</t>
  </si>
  <si>
    <t>Department of Biotechnology, Govt. of India(Department of Biotechnology (DBT) India)</t>
  </si>
  <si>
    <t>MVJ acknowledges Department of Biotechnology, Govt. of India for the financial support (BT/PR7383/BRB/10/474/2006) and authors are also thankful to Ms Aparna Jagannath for her technical help and Dr C. Sivakama Sundari for the comments and criticism on the manuscript.</t>
  </si>
  <si>
    <t>1874-3919</t>
  </si>
  <si>
    <t>1876-7737</t>
  </si>
  <si>
    <t>J PROTEOMICS</t>
  </si>
  <si>
    <t>J. Proteomics</t>
  </si>
  <si>
    <t>APR 18</t>
  </si>
  <si>
    <t>10.1016/j.jprot.2012.02.033</t>
  </si>
  <si>
    <t>Biochemical Research Methods</t>
  </si>
  <si>
    <t>941PJ</t>
  </si>
  <si>
    <t>WOS:000303974800019</t>
  </si>
  <si>
    <t>Mekik, FA; Anderson, RF; Loubere, P; François, R; Richaud, M</t>
  </si>
  <si>
    <t>Mekik, Figen A.; Anderson, Robert F.; Loubere, Paul; Francois, Roger; Richaud, Mathieu</t>
  </si>
  <si>
    <t>The mystery of the missing deglacial carbonate preservation maximum</t>
  </si>
  <si>
    <t>QUATERNARY SCIENCE REVIEWS</t>
  </si>
  <si>
    <t>Deglaciation; Calcite preservation; Organic carbon to calcite rain ratio; Sediment focusing</t>
  </si>
  <si>
    <t>GLACIAL-INTERGLACIAL CHANGES; DEEP-SEA; ATMOSPHERIC CO2; EQUATORIAL PACIFIC; CALCIUM-CARBONATE; CACO3 COMPENSATION; ICE CORE; CLIMATE; OCEAN; SEDIMENTS</t>
  </si>
  <si>
    <t>A leading hypothesis for lower atmospheric CO2 levels during glacial periods invokes increased ocean stratification with a corresponding shift of dissolved inorganic carbon and nutrients from intermediate depths to deep waters. If the rapid deglacial rise in atmospheric CO2 (similar to 17-10 ka) were caused by a breakdown of this stratification and increased ventilation of deep water masses, then one consequence would be increased CaCO3 preservation in deep sea sediments. We present down core records of CaCO3 preservation for the last 21,000 years from 31 cores in the tropical and subtropical Pacific, Atlantic and Indian Oceans. Our preservation records are based on a multi-proxy approach involving a new CaCO3 dissolution proxy (the Globorotalia menardii Fragmentation Index), size normalized foraminifer shell weights and Th-230-normalized CaCO3 accumulation rates. In some cores our proxy records add to the growing body of evidence in support of the hypothesized breakdown of glacial stratification. However, in most cores the expected deglacial increase in CaCO3 preservation is missing. Accepting that the deglacial hypothesis is well supported by other evidence, here we explore processes and conditions that erased the expected CaCO3 signal from our records including: (1) variations in the ratio of organic carbon to CaCO3 flux in the eastern equatorial Pacific, (2) very low sedimentation rates and bioturbation in the western equatorial Pacific and (3) increased northward penetration of Antarctic Bottom Water in the equatorial Atlantic. (c) 2012 Elsevier Ltd. All rights reserved.</t>
  </si>
  <si>
    <t>[Mekik, Figen A.] Grand Valley State Univ, Dept Geol, Allendale, MI 49401 USA; [Anderson, Robert F.] Columbia Univ, Lamont Doherty Earth Observ, Palisades, NY 10964 USA; [Loubere, Paul] No Illinois Univ, Dept Geol &amp; Environm Geosci, De Kalb, IL 60115 USA; [Francois, Roger] Univ British Columbia, Dept Earth &amp; Ocean Sci, Vancouver, BC V5Z 1M9, Canada; [Richaud, Mathieu] Calif State Univ Fresno, Dept Earth &amp; Environm Sci, Fresno, CA 93740 USA</t>
  </si>
  <si>
    <t>Grand Valley State University; Columbia University; Northern Illinois University; University of British Columbia; California State University System; California State University Fresno</t>
  </si>
  <si>
    <t>Mekik, FA (corresponding author), Grand Valley State Univ, Dept Geol, Allendale, MI 49401 USA.</t>
  </si>
  <si>
    <t>mekikf@gvsu.edu</t>
  </si>
  <si>
    <t>Mekik, Figen/AAH-4765-2019</t>
  </si>
  <si>
    <t>Anderson, Robert/0000-0002-8472-2494; richaud, mathieu/0000-0003-2049-571X</t>
  </si>
  <si>
    <t>NSF [OCE0326686, OCE0825280]; NASA Michigan Space Grant Consortium; Directorate For Geosciences; Division Of Ocean Sciences [0962077] Funding Source: National Science Foundation; Division Of Ocean Sciences; Directorate For Geosciences [0825280] Funding Source: National Science Foundation</t>
  </si>
  <si>
    <t>NSF(National Science Foundation (NSF)); NASA Michigan Space Grant Consortium; Directorate For Geosciences; Division Of Ocean Sciences(National Science Foundation (NSF)NSF - Directorate for Geosciences (GEO)); Division Of Ocean Sciences; Directorate For Geosciences(National Science Foundation (NSF)NSF - Directorate for Geosciences (GEO))</t>
  </si>
  <si>
    <t>We extend many thanks to core curators at Oregon State University (June Padman and Bobbi Conard), Lamont Doherty Earth Observatory (Rusty Lotti-Bond) and the Ocean Drilling Program for providing us with samples. Special thanks to Dan McCorkle and Ellen Roosen at Woods Hole Oceanographic Institution for speedily providing us with samples for cores from the Ontong-Java Plateau. Also many thanks to Andy Ridgwell for very stimulating discussions and Tom Marchitto for providing us with data. Lastly, we would like to thank three anonymous reviewers whose thoughtful comments improved our manuscript. This work was supported by grants to Mekik from NSF (OCE0326686 and OCE0825280) and from the NASA Michigan Space Grant Consortium, Seed Grant, 2001.</t>
  </si>
  <si>
    <t>0277-3791</t>
  </si>
  <si>
    <t>QUATERNARY SCI REV</t>
  </si>
  <si>
    <t>Quat. Sci. Rev.</t>
  </si>
  <si>
    <t>APR 16</t>
  </si>
  <si>
    <t>10.1016/j.quascirev.2012.01.024</t>
  </si>
  <si>
    <t>935VL</t>
  </si>
  <si>
    <t>WOS:000303550200005</t>
  </si>
  <si>
    <t>Ciappa, A; Pietranera, L; Budillon, G</t>
  </si>
  <si>
    <t>Ciappa, Achille; Pietranera, Luca; Budillon, Giorgio</t>
  </si>
  <si>
    <t>Observations of the Terra Nova Bay (Antarctica) polynya by MODIS ice surface temperature imagery from 2005 to 2010</t>
  </si>
  <si>
    <t>REMOTE SENSING OF ENVIRONMENT</t>
  </si>
  <si>
    <t>Terra Nova Bay polynya; MODIS ice surface temperature; Ross Sea; Antarctic polynyas</t>
  </si>
  <si>
    <t>KATABATIC WIND REGIME; ROSS SEA; HEAT-FLUX; THICKNESS; AVHRR; SIMULATION; CLIMATE; COAST</t>
  </si>
  <si>
    <t>Ice surface temperature (IST) imagery from the thermal infrared bands of the satellite-borne Moderate Resolution Imaging Spectroradiometer (MODIS) has been used to analyze the activity of the Terra Nova Bay polynya from 2005 to 2010. In clear sky conditions, the shape of the open water area of the polynya (i.e. the portion of the ocean free of sea-ice) is revealed by the skin sea-ice temperatures close to the water freezing point provided by the MODIS-derived IST product. The swaths of the MODIS sensors onboard Terra and Aqua satellites over the Terra Nova Bay consist of about 5500 scenes per year, useful to estimate the cloud cover too. The open water area was extracted from clear sky scenes and from scenes affected by fog but providing continuity of the shape of the polynya. Using about 40% of the available swaths, the polynya was detected for more than 80% of the sea-ice period with a revisit time below 24 h and for more than 50% with a revisit time below 3 h. The open water area was extracted using thresholds of IST based on the IST values detected within the open water area and within the band of sea-ice surrounding the polynya, obtained scene by scene. An ice free area larger than 100 km(2) was observed near the Nansen Ice Shelf for more than 70% of time (larger than 500 km2 for 50% of time). The mean annual open water area, around 900 km(2), was close to the lower limit of the reported range except during 2006, around 600 km(2), due to the limited activity in the second half of the cold season. The largest extents, between 6000 and 8500 km(2), occurred in different periods of the Antarctic winter and exceeded maxima estimated in previous studies by thermal infrared data. Polynya openings developed from a few hours to several days, in the latter case sustained by subsequent katabatic events visible in the IST sequence. Peaks of growing rate above 300 km(2)/h were observed during intense katabatic events with gusts of 50 m/s. The fluctuations of the open water area resulted well correlated with wind records available from local Automatic Weather Stations within the main katabatic routes, and followed katabatic events at intervals between 0 and 6 h. The analysis of the IST data set derived from the thermal infrared bands of MODIS provides new polynya observations of high horizontal resolution (1 km) and frequent revisit time during the winter season, complementing previously available observations with passive microwave imagery. (C) 2012 Elsevier Inc. All rights reserved.</t>
  </si>
  <si>
    <t>[Ciappa, Achille; Pietranera, Luca] e GEOS Telepazio, Earth Observat, Rome, Italy; [Budillon, Giorgio] Univ Parthenope, Dip Sci Ambiente, Naples, Italy</t>
  </si>
  <si>
    <t>Parthenope University Naples</t>
  </si>
  <si>
    <t>Ciappa, A (corresponding author), e GEOS Telepazio, Earth Observat, Rome, Italy.</t>
  </si>
  <si>
    <t>achille.ciappa@fastwebnet.it</t>
  </si>
  <si>
    <t>Budillon, Giorgio/O-5348-2014</t>
  </si>
  <si>
    <t>Budillon, Giorgio/0000-0003-1756-2221</t>
  </si>
  <si>
    <t>0034-4257</t>
  </si>
  <si>
    <t>1879-0704</t>
  </si>
  <si>
    <t>REMOTE SENS ENVIRON</t>
  </si>
  <si>
    <t>Remote Sens. Environ.</t>
  </si>
  <si>
    <t>10.1016/j.rse.2011.12.017</t>
  </si>
  <si>
    <t>Environmental Sciences; Remote Sensing; Imaging Science &amp; Photographic Technology</t>
  </si>
  <si>
    <t>Environmental Sciences &amp; Ecology; Remote Sensing; Imaging Science &amp; Photographic Technology</t>
  </si>
  <si>
    <t>913QJ</t>
  </si>
  <si>
    <t>WOS:000301892200015</t>
  </si>
  <si>
    <t>le Roex, AP; Chevallier, L; Verwoerd, WJ; Barends, R</t>
  </si>
  <si>
    <t>le Roex, A. P.; Chevallier, L.; Verwoerd, W. J.; Barends, R.</t>
  </si>
  <si>
    <t>Petrology and geochemistry of Marion and Prince Edward Islands, Southern Ocean: Magma chamber processes and source region characteristics</t>
  </si>
  <si>
    <t>JOURNAL OF VOLCANOLOGY AND GEOTHERMAL RESEARCH</t>
  </si>
  <si>
    <t>Marion and Prince Edward Islands; Geochemistry; Petrogenesis; Southern Ocean; Basalt</t>
  </si>
  <si>
    <t>KERGUELEN ARCHIPELAGO BASALTS; TRACE ELEMENT FRACTIONATION; SCIENTIFIC DRILLING PROJECT; HILLS VOLCANIC PROVINCE; SOUTHWEST INDIAN RIDGE; ICELAND MANTLE PLUME; MID-ATLANTIC RIDGE; ISOTOPE GEOCHEMISTRY; EXTRACTION CHROMATOGRAPHY; TRANSITIONAL BASALTS</t>
  </si>
  <si>
    <t>New bulk rock geochemical data on an extensive suite of samples from the Marion and Prince Edward Islands, located in the Southern Ocean at similar to 37 degrees 45'E, 46 degrees 55'S, show highly coherent major and trace element variations. Rock types are dominated by alkali basalt, with lesser hawaiite and minor mugearite and benmoreite. Prince Edward Island has in addition rare trachytes exposed on the plateau, and xenoliths of comenditic rhyolite pumice were found in a basalt flow of the 1980 eruption on Marion Island. Lavas from Prince Edward Island differ from those erupted on Marion Island by having subtly distinct incompatible trace element ratios (e.g. Zr/Nb = 9.1 vs 6.7; Ba/Nb = 7.8 vs 6.7; Ce/Pb = 31 vs 36), and lower Sr-87/Sr-86 (0.70302) and higher Nd-143/Nd-144 (0.51300) isotope ratios than found on Marion Island (0.70336-0.70349; 0.51292-0.51295). The two islands are indistinguishable in terms of Pb isotope ratios (Pb-206/Pb-204 = 18.61-18.75, Pb-207/Pb-204 = 15.54-15.56). Quantitative modelling suggests that the range in rock types found on each island can be ascribed to extensive low pressure crystal fractionation of phenocryst phases. For example, hawaiite can be related to the more primitive alkali basalts by some 24% fractional crystallisation of olivine, clinopyroxene, plagioclase and minor FeTi-oxides, whereas the more evolved mugearites and benmoreites require, respectively a further 36% and 24% fractional crystallisation to account for their felsic compositions. The trachytes of Prince Edward Island appear to represent the residual 28% magma following extensive crustal fractionation of dominantly clinopyroxene, plagioclase and FeTi-oxide with minor apatite. None of the sampled lavas have compositions characteristic of true primary magmas, but the least evolved, with Mg# similar to 63, appear to have experienced as much as 18% olivine fractionation from a primary magma with similar to 15 wt.% MgO. The rhyolite pumice is distinct in composition from Bouvet rhyolite or South Sandwich Island pumice and may belong to an earlier, submarine eruption at or near Marion Island. The enriched incompatible element ratios (Zr/Nb = 6-9; La/Yb-n = 10.6; Y/Nb = 0.73) and radiogenic Sr-87/Sr-86 and unradiogenic Nd-143/Nd-144 isotope ratios show that the lavas erupted on Marion and Prince Edward Islands resulted from melting an enriched mantle source, consistent with derivation from an upwelling deep mantle plume. Pb isotope ratios (Delta 8/4Pb similar to 33) confirm the absence of any DUPAL signature in the source region of these magmas. (C) 2012 Elsevier B.V. All rights reserved.</t>
  </si>
  <si>
    <t>[le Roex, A. P.; Barends, R.] Univ Cape Town, Dept Geol Sci, ZA-7701 Rondebosch, South Africa; [Chevallier, L.; Verwoerd, W. J.] Univ Stellenbosch, Dept Earth Sci, ZA-7600 Stellenbosch, South Africa</t>
  </si>
  <si>
    <t>University of Cape Town; Stellenbosch University</t>
  </si>
  <si>
    <t>le Roex, AP (corresponding author), Univ Cape Town, Dept Geol Sci, ZA-7701 Rondebosch, South Africa.</t>
  </si>
  <si>
    <t>anton.leroex@uct.ac.za</t>
  </si>
  <si>
    <t>South African National Antarctic Programme; South African National Research Foundation</t>
  </si>
  <si>
    <t>South African National Antarctic Programme; South African National Research Foundation(National Research Foundation - South Africa)</t>
  </si>
  <si>
    <t>This research was funded through the South African National Antarctic Programme (LC and WJV) and the South African National Research Foundation (AlR). Petrus le Roux is thanked for his assistance in acquiring the isotope data. Constructive comments from Bill White and Alison Koleszar are greatly appreciated.</t>
  </si>
  <si>
    <t>0377-0273</t>
  </si>
  <si>
    <t>J VOLCANOL GEOTH RES</t>
  </si>
  <si>
    <t>J. Volcanol. Geotherm. Res.</t>
  </si>
  <si>
    <t>APR 15</t>
  </si>
  <si>
    <t>10.1016/j.jvolgeores.2012.01.009</t>
  </si>
  <si>
    <t>935VU</t>
  </si>
  <si>
    <t>WOS:000303551100002</t>
  </si>
  <si>
    <t>Biskaborn, BK; Herzschuh, U; Bolshiyanov, D; Savelieva, L; Diekmann, B</t>
  </si>
  <si>
    <t>Biskaborn, Boris K.; Herzschuh, U.; Bolshiyanov, D.; Savelieva, L.; Diekmann, B.</t>
  </si>
  <si>
    <t>Environmental variability in northeastern Siberia during the last ∼13,300 yr inferred from lake diatoms and sediment-geochemical parameters</t>
  </si>
  <si>
    <t>PALAEOGEOGRAPHY PALAEOCLIMATOLOGY PALAEOECOLOGY</t>
  </si>
  <si>
    <t>Fragilaria; Holocene Thermal Maximum; Arctic Yakutia; XRF; Framboidal pyrite</t>
  </si>
  <si>
    <t>LATE HOLOCENE CLIMATE; LENA RIVER DELTA; VERKHOYANSK MOUNTAINS; POLLEN RECORD; HISTORY; ASSEMBLAGES; COMMUNITIES; TEMPERATURE; VEGETATION; ECOSYSTEM</t>
  </si>
  <si>
    <t>In northeastern Siberia, Russia, a 1.2 m sediment core was retrieved and radiocarbon dated from a small and shallow lake located at the western side of the lower Lena River (N 69 degrees 24', E 123 degrees 50', 81 m a.s.l.). The objective of this paper is to reconstruct the palaeoenvironmental variability and to infer major palaeoclimate trends that have occurred since similar to 13.3 cal. kyr BP. We analysed the diatom assemblages, sedimentology (grain-size, total organic carbon (TOC), total nitrogen (TN)), and the elemental and mineralogical composition using x-ray fluorescence (XRF) and X-ray diffractometry (XRD) of the sediment core. Our results show parallel changes in the diatom species composition and sediment characteristics. Enhanced minerogenic sediment input and the occurrence of pyrite is indicative of a cold period between similar to 12.7 and 11.6 cal. kyr BP. The diatom data enable a qualitative inference about the local ecological conditions to be made, and reveal an oligotrophic lake system with alkaline and cold conditions during the earliest Holocene. Moderately warmer climates are inferred for the period from similar to 9.1 to 5.7 cal. kyr BP. The major shift in the diatom assemblage, from dominance of small benthic fragilarioid taxa to a more complex diatom flora with an influx of several achnanthoid and naviculoid diatom species, occurred after a transitional period of about 1400 yr (7.1 to 5.7 cal. kyr BP) at similar to 5.7 cal. kyr BP, indicating a circumneutral and warmer hydrological regime during the Holocene thermal maximum (HTM). Diatom valve concentrations declined starting similar to 2.8 cal. kyr BP, but have been rising again since &lt;= 600 cal. yr BP. This has occurred in parallel to the increased presence of acidophilous diatom taxa (e.g. Eunotia spp.) and decreased presence of small benthic fragilarioid species in the most recent sediments, which is interpreted as the result of neoglacial cooling and subsequent recent climate warming. Our findings are compared to other lake-inferred climate reconstructions along the Lena River. We conclude that the timing and spatial variability of the HTM in the lower Lena River area reveal a temporal delay from north to south. (C) 2012 Elsevier B.V. All rights reserved.</t>
  </si>
  <si>
    <t>[Biskaborn, Boris K.; Herzschuh, U.; Diekmann, B.] Alfred Wegener Inst Polar &amp; Marine Res, D-14473 Potsdam, Germany; [Bolshiyanov, D.] Arctic &amp; Antarctic Res Inst, St Petersburg 199226, Russia; [Savelieva, L.] St Petersburg State Univ, St Petersburg, Russia</t>
  </si>
  <si>
    <t>Helmholtz Association; Alfred Wegener Institute, Helmholtz Centre for Polar &amp; Marine Research; Arctic &amp; Antarctic Research Institute; Saint Petersburg State University</t>
  </si>
  <si>
    <t>Biskaborn, BK (corresponding author), Alfred Wegener Inst Polar &amp; Marine Res, Telegrafenberg A43,Bldg A43-118, D-14473 Potsdam, Germany.</t>
  </si>
  <si>
    <t>boris.biskaborn@awi.de</t>
  </si>
  <si>
    <t>Biskaborn, Boris K./D-2419-2011; Savelieva, Larisa/H-9135-2013</t>
  </si>
  <si>
    <t>Biskaborn, Boris K./0000-0003-2378-0348; Herzschuh, Ulrike/0000-0003-0999-1261; Savelieva, Larisa/0000-0003-2749-7603; Diekmann, Bernhard/0000-0001-5129-3649</t>
  </si>
  <si>
    <t>POLMAR graduate school associated with the Alfred Wegener Institute for Polar and Marine Research</t>
  </si>
  <si>
    <t>This study was financed by the POLMAR graduate school associated with the Alfred Wegener Institute for Polar and Marine Research. Parts of our work were conducted in the laboratories of the University of Potsdam and GFZ Potsdam. We would like to thank two anonymous reviewers for their helpful comments on an earlier version of this paper. We thank Paul Hamilton for help with interpreting SEM pictures of Staurosira taxa. The first author thanks Olga Palagushkina and Ludmila Pestryakova for help with identifying diatom species using a light microscope. We further thank Roland Oberhansli for his cooperation during the XRF analyses and we also thank all participants in the helicopter expedition for their dedication. Candace O'Connor is thanked for English proof-reading.</t>
  </si>
  <si>
    <t>0031-0182</t>
  </si>
  <si>
    <t>1872-616X</t>
  </si>
  <si>
    <t>PALAEOGEOGR PALAEOCL</t>
  </si>
  <si>
    <t>Paleogeogr. Paleoclimatol. Paleoecol.</t>
  </si>
  <si>
    <t>10.1016/j.palaeo.2012.02.003</t>
  </si>
  <si>
    <t>Geography, Physical; Geosciences, Multidisciplinary; Paleontology</t>
  </si>
  <si>
    <t>Physical Geography; Geology; Paleontology</t>
  </si>
  <si>
    <t>931LN</t>
  </si>
  <si>
    <t>WOS:000303221500003</t>
  </si>
  <si>
    <t>Hambrey, MJ; Glasser, NF</t>
  </si>
  <si>
    <t>Hambrey, Michael J.; Glasser, Neil F.</t>
  </si>
  <si>
    <t>Discriminating glacier thermal and dynamic regimes in the sedimentary record</t>
  </si>
  <si>
    <t>SEDIMENTARY GEOLOGY</t>
  </si>
  <si>
    <t>Glacial sediments; Thermal regime; Temperate glaciers; Polythermal glaciers; Cold glaciers; Clast shape</t>
  </si>
  <si>
    <t>TEMPERATE VALLEY GLACIER; SNOWBALL EARTH HYPOTHESIS; THRUST-BLOCK MORAINES; ROSS ICE SHELF; SUBGLACIAL TILL; MEDIAL MORAINES; GLACIOMARINE SEDIMENTS; DEBRIS ENTRAINMENT; TIDEWATER GLACIER; BASAL ICE</t>
  </si>
  <si>
    <t>This paper provides a description and evaluation of the sedimentary fades and environments associated with a range of glacier thermal and dynamic regimes, with additional consideration given to the tectonic context. New and previously published data are evaluated together, and are presented from modern terrestrial and marine glacial sedimentary environments in order to identify a set of criteria that can be used to discriminate between different glacier thermal regimes and dynamic styles in the sedimentary record. Sedimentological data are presented from a total of 28 glaciers in 11 geographical areas that represent a wide range of contemporary thermal, dynamic and topographic regimes. In the context of landsystems, representatives from terrestrial environments include temperate glaciers in the European Alps, Patagonia, New Zealand, the Cordillera Blanca (Peru), cold glaciers in the Dry Valleys of Antarctica and the Antarctic Peninsula region, and polythermal valley glaciers in Svalbard, northern Sweden, the Yukon and the Khumbu Himal (Nepal). The glaciomarine environment is illustrated by data from cold and polythermal glacier margins on the East Antarctic continental shelf, and from a polythermal tidewater glacier in Svalbard, along with general observations from temperate glaciers in Alaska. These data show that temperate glacial systems, particularly in high-relief areas, are dominated by rockfall and avalanche processes, although sediments are largely reworked by glaciofluvial processes. Debris in polythermal glaciers is both thermally and topographically influenced. In areas of moderate relief, debris is mainly of basal glacial origin, and the resulting facies association is dominated by diamicton. In high-relief areas such as the Himalaya, the debris load in polythermal glaciers is dominated by rockfall and avalanche inputs, resulting in extensive accumulations of sandy boulder-gravel. Cold glaciers are dominated by basal debris-entrainment, but sediments are little modified from the source materials, which are typically sandy boulder-gravel from older till, and sand (from glaciofluvial, glaciolacustrine and aeolian sources). Similar facies associations, but with different facies geometry and thickness occur in equivalent glaciomarine settings. Application of these concepts can aid the interpretation of glacier thermal regime (and hence palaeoclimate) in Quaternary and ancient glacial systems. (C) 2012 Elsevier B.V. All rights reserved.</t>
  </si>
  <si>
    <t>[Hambrey, Michael J.; Glasser, Neil F.] Aberystwyth Univ, Ctr Glaciol, Inst Geog &amp; Earth Sci, Aberystwyth SY23 3DB, Ceredigion, Wales</t>
  </si>
  <si>
    <t>Aberystwyth University</t>
  </si>
  <si>
    <t>Hambrey, MJ (corresponding author), Aberystwyth Univ, Ctr Glaciol, Inst Geog &amp; Earth Sci, Aberystwyth SY23 3DB, Ceredigion, Wales.</t>
  </si>
  <si>
    <t>mjh@aber.ac.uk</t>
  </si>
  <si>
    <t>Glasser, Neil F/C-1971-2012</t>
  </si>
  <si>
    <t>Glasser, Neil/0000-0002-8245-2670</t>
  </si>
  <si>
    <t>UK Natural Environment Research Council; Aberystwyth university; Liverpool John Moores university; Alfred Wegener Institut (Bremerhaven), Antarctica New Zealand; British Antarctic Survey; University of Otago, New Zealand; NERC [NE/J008672/1, NE/H004963/1] Funding Source: UKRI; Natural Environment Research Council [NE/J008672/1, NE/H004963/1] Funding Source: researchfish</t>
  </si>
  <si>
    <t>UK Natural Environment Research Council(UK Research &amp; Innovation (UKRI)Natural Environment Research Council (NERC)); Aberystwyth university; Liverpool John Moores university; Alfred Wegener Institut (Bremerhaven), Antarctica New Zealand; British Antarctic Survey; University of Otago, New Zealand; NERC(UK Research &amp; Innovation (UKRI)Natural Environment Research Council (NERC)); Natural Environment Research Council(UK Research &amp; Innovation (UKRI)Natural Environment Research Council (NERC))</t>
  </si>
  <si>
    <t>We are grateful to the referees Peter Barrett and Matthew Bennett for their insightful comments on the manuscript. We also thank our field companions Matthew Bennett, Garry Clarke, Kevin Crawford, James Etienne, Werner Ehrmann, Sean Fitzsimons, Bryn Hubbard, David Huddart, Gerhard Kuhn, Duncan Quincey, Shaun Richardson and John Smellie. Nick Midgley and Becky Goodsell kindly provided additional data from Midre Lovenbreen (Svalbard) and Haut Glacier d'Arolla (Swiss Alps) respectively. Much of the work was funded by the UK Natural Environment Research Council, and Aberystwyth and Liverpool John Moores universities. The Antarctic components of the modern data-set were undertaken with the support of the Alfred Wegener Institut (Bremerhaven), Antarctica New Zealand and the British Antarctic Survey. A substantial part of this paper was written during the tenure of a William Evans Fellowship at the University of Otago, New Zealand (MJH) and secondment to the Climate Change Consortium of Wales (C3W).</t>
  </si>
  <si>
    <t>0037-0738</t>
  </si>
  <si>
    <t>1879-0968</t>
  </si>
  <si>
    <t>SEDIMENT GEOL</t>
  </si>
  <si>
    <t>Sediment. Geol.</t>
  </si>
  <si>
    <t>10.1016/j.sedgeo.2012.01.008</t>
  </si>
  <si>
    <t>921AY</t>
  </si>
  <si>
    <t>WOS:000302451600001</t>
  </si>
  <si>
    <t>Ascione, G; de Pascale, D; De Santi, C; Pedone, C; Dathan, NA; Monti, SM</t>
  </si>
  <si>
    <t>Ascione, Giuseppina; de Pascale, Donatella; De Santi, Concetta; Pedone, Carlo; Dathan, Nina Alayne; Monti, Simona Maria</t>
  </si>
  <si>
    <t>Native expression and purification of hormone-sensitive lipase from Psychrobacter sp TA144 enhances protein stability and activity</t>
  </si>
  <si>
    <t>BIOCHEMICAL AND BIOPHYSICAL RESEARCH COMMUNICATIONS</t>
  </si>
  <si>
    <t>Lipase; Psychrophile; Trehalose; Benzyl alcohol; Molecular chaperones; Protein stability</t>
  </si>
  <si>
    <t>RECOMBINANT PROTEINS; ESCHERICHIA-COLI; SOLUBLE EXPRESSION; OSMOLYTES; CHAPERONE; BETAINE</t>
  </si>
  <si>
    <t>Psychrobacter, a micro-organism originally isolated from Antarctic sea water, expresses an extremely active hormone-sensitive lipase (HSL) which catalyzes the hydrolysis of fatty acid esters at very low temperature and is therefore of great potential industrial and pharmaceutical interest. An insoluble form of the entire enzyme has previously been cloned and expressed in Escherichia coli, subsequently refolded and shown to be active, whilst a shorter but completely inactive version, lacking the N-terminal 98 amino acids has been expressed in soluble form. In this study the entire enzyme has been expressed as a fully soluble protein in E. coli in the presence of either the osmolyte trehalose, plus high salt concentration, or the membrane fluidizer benzyl alcohol. Trehalose promotes protein mono-dispersion by increasing the viscosity of the growth medium for bacterial cells, thereby helping circumvent protein aggregation, whilst the heat-shock inducer benzyl alcohol stimulates the production of a network of endogenous chaperones which actively prevent protein misfolding, whilst also converting recombinant aggregates to native, correctly folded proteins. The resultant recombinant protein proved to be more stable than its previously expressed counterpart, as shown by CD and enzymatic activity data which proved the enzyme to be more active at a higher temperature than its refolded counterpart. By light scattering analysis it was shown that the newly expressed protein was monomeric. The stability of the full length native protein will help in understanding the structure of PsyHSL and the role of its regulatory N-terminal for eventual application in a myriad of biotechnological processes. (C) 2012 Elsevier Inc. All rights reserved.</t>
  </si>
  <si>
    <t>[Ascione, Giuseppina; Pedone, Carlo; Dathan, Nina Alayne; Monti, Simona Maria] CNR, Inst Biostruct &amp; Bioimaging, I-80134 Naples, Italy; [de Pascale, Donatella; De Santi, Concetta] CNR, Inst Prot Biochem, I-80131 Naples, Italy</t>
  </si>
  <si>
    <t>Consiglio Nazionale delle Ricerche (CNR); Istituto di Biostrutture e Bioimmagini (IBB-CNR); Consiglio Nazionale delle Ricerche (CNR); Istituto di Biochimica delle Proteine (IBP-CNR)</t>
  </si>
  <si>
    <t>Dathan, NA (corresponding author), CNR, Inst Biostruct &amp; Bioimaging, Via Mezzocannone 16, I-80134 Naples, Italy.</t>
  </si>
  <si>
    <t>nina.dathan@unina.it</t>
  </si>
  <si>
    <t>Monti, Simona M/J-5214-2012; MONTI, SIMONA MARIA/GQQ-0129-2022</t>
  </si>
  <si>
    <t>MONTI, SIMONA MARIA/0000-0001-9647-7089</t>
  </si>
  <si>
    <t>italian PRIN [2008F5A3AF_001]</t>
  </si>
  <si>
    <t>italian PRIN(Ministry of Education, Universities and Research (MIUR)Research Projects of National Relevance (PRIN))</t>
  </si>
  <si>
    <t>This work was supported in part by italian PRIN grant 2008F5A3AF_001 (to G.A.).</t>
  </si>
  <si>
    <t>0006-291X</t>
  </si>
  <si>
    <t>1090-2104</t>
  </si>
  <si>
    <t>BIOCHEM BIOPH RES CO</t>
  </si>
  <si>
    <t>Biochem. Biophys. Res. Commun.</t>
  </si>
  <si>
    <t>APR 13</t>
  </si>
  <si>
    <t>10.1016/j.bbrc.2012.03.028</t>
  </si>
  <si>
    <t>Biochemistry &amp; Molecular Biology; Biophysics</t>
  </si>
  <si>
    <t>932EV</t>
  </si>
  <si>
    <t>WOS:000303274100010</t>
  </si>
  <si>
    <t>Fogt, RL; Wovrosh, AJ; Langen, RA; Simmonds, I</t>
  </si>
  <si>
    <t>Fogt, Ryan L.; Wovrosh, Alex J.; Langen, Ryan A.; Simmonds, Ian</t>
  </si>
  <si>
    <t>The characteristic variability and connection to the underlying synoptic activity of the Amundsen-Bellingshausen Seas Low</t>
  </si>
  <si>
    <t>SOUTHERN ANNULAR MODE; TRACKING METHODS; ICE; OSCILLATION; HEMISPHERE; PACIFIC; CLIMATE; TRENDS; OCEAN; CIRCULATION</t>
  </si>
  <si>
    <t>Recent studies have noted an asymmetrical climate change across Antarctica, with significant warming in West Antarctica and the Antarctica Peninsula, and primarily insignificant trends in East Antarctica. Due to its proximity, variations in the position and intensity of the Amundsen-Bellingshausen Seas Low (ABSL) are a suspected atmospheric mechanism. Here, we investigate the ABSL to understand its characteristic variability and underlying synoptic-scale influences, based on three reanalysis data sets. The ABSL is defined as the minimum monthly pressure in the 45 degrees-75 degrees S, 180 degrees-60 degrees W domain. Using this criterion, a significant north-south and east-west progression is noted in the climatological (1979-2001 average) ABSL, which is strongly tied to the location of the maximum cyclone system density and minimum cyclone central pressures. More than 550 cyclones a year were identified in the vicinity of the ABSL; during spring, significant trends in their central pressures are noted in the Ross Sea. The implied changes in temperature advection by these stronger systems are consistent with the warming in West Antarctica. The strongest cyclone events (i.e., the ten with the deepest central pressures) also demonstrate a connection to the climatological ABSL, albeit weaker. Moreover, these strong cyclone events are significantly linked to the Southern Annular Mode (SAM), particularly in their annual frequency and location/steering in the summer. This shows that large-scale forcing, such as from the SAM, may influence the strongest cyclones in the region and could allow for the prediction of such events.</t>
  </si>
  <si>
    <t>[Fogt, Ryan L.; Wovrosh, Alex J.; Langen, Ryan A.] Ohio Univ, Scalia Lab Atmospher Anal, Athens, OH 45701 USA; [Fogt, Ryan L.; Wovrosh, Alex J.; Langen, Ryan A.] Ohio Univ, Dept Geog, Athens, OH 45701 USA; [Simmonds, Ian] Univ Melbourne, Sch Earth Sci, Melbourne, Vic 3010, Australia</t>
  </si>
  <si>
    <t>University System of Ohio; Ohio University; University System of Ohio; Ohio University; University of Melbourne; Melbourne Bioinformatics</t>
  </si>
  <si>
    <t>Fogt, RL (corresponding author), Ohio Univ, Scalia Lab Atmospher Anal, 122 Clippinger Labs, Athens, OH 45701 USA.</t>
  </si>
  <si>
    <t>fogtr@ohio.edu</t>
  </si>
  <si>
    <t>Fogt, Ryan L/B-6989-2008</t>
  </si>
  <si>
    <t>Fogt, Ryan L/0000-0002-5398-3990; Simmonds, Ian/0000-0002-4479-3255</t>
  </si>
  <si>
    <t>National Science Foundation Office of Polar Programs [ANT-0944168]; Australian Research Council; Australian Antarctic Science Advisory Committee; Directorate For Geosciences; Office of Polar Programs (OPP) [0944168] Funding Source: National Science Foundation</t>
  </si>
  <si>
    <t>National Science Foundation Office of Polar Programs(National Science Foundation (NSF)NSF - Directorate for Geosciences (GEO)); Australian Research Council(Australian Research Council); Australian Antarctic Science Advisory Committee; Directorate For Geosciences; Office of Polar Programs (OPP)(National Science Foundation (NSF)NSF - Directorate for Geosciences (GEO))</t>
  </si>
  <si>
    <t>R.L.F., A.J.W., and R.A.L. all acknowledge support from the National Science Foundation Office of Polar Programs grant ANT-0944168. Part of this work was made possible by grants to I.S. from the Australian Research Council and the Australian Antarctic Science Advisory Committee. The NOAA Earth System Research Laboratory Physical Sciences Division is thanked for providing the NNR data, ECMWF is thanked for providing ERA-40 data, and the Japanese Meteorological Agency is thanked for providing JRA-25.</t>
  </si>
  <si>
    <t>D07111</t>
  </si>
  <si>
    <t>10.1029/2011JD017337</t>
  </si>
  <si>
    <t>927AK</t>
  </si>
  <si>
    <t>WOS:000302876800004</t>
  </si>
  <si>
    <t>Fretwell, PT; LaRue, MA; Morin, P; Kooyman, GL; Wienecke, B; Ratcliffe, N; Fox, AJ; Fleming, AH; Porter, C; Trathan, PN</t>
  </si>
  <si>
    <t>Fretwell, Peter T.; LaRue, Michelle A.; Morin, Paul; Kooyman, Gerald L.; Wienecke, Barbara; Ratcliffe, Norman; Fox, Adrian J.; Fleming, Andrew H.; Porter, Claire; Trathan, Phil N.</t>
  </si>
  <si>
    <t>An Emperor Penguin Population Estimate: The First Global, Synoptic Survey of a Species from Space</t>
  </si>
  <si>
    <t>CLIMATE; RESPONSES; COLONIES</t>
  </si>
  <si>
    <t>Our aim was to estimate the population of emperor penguins (Aptenodytes fosteri) using a single synoptic survey. We examined the whole continental coastline of Antarctica using a combination of medium resolution and Very High Resolution (VHR) satellite imagery to identify emperor penguin colony locations. Where colonies were identified, VHR imagery was obtained in the 2009 breeding season. The remotely-sensed images were then analysed using a supervised classification method to separate penguins from snow, shadow and guano. Actual counts of penguins from eleven ground truthing sites were used to convert these classified areas into numbers of penguins using a robust regression algorithm. We found four new colonies and confirmed the location of three previously suspected sites giving a total number of emperor penguin breeding colonies of 46. We estimated the breeding population of emperor penguins at each colony during 2009 and provide a population estimate of similar to 238,000 breeding pairs (compared with the last previously published count of 135,000-175,000 pairs). Based on published values of the relationship between breeders and non-breeders, this translates to a total population of similar to 595,000 adult birds. There is a growing consensus in the literature that global and regional emperor penguin populations will be affected by changing climate, a driver thought to be critical to their future survival. However, a complete understanding is severely limited by the lack of detailed knowledge about much of their ecology, and importantly a poor understanding of their total breeding population. To address the second of these issues, our work now provides a comprehensive estimate of the total breeding population that can be used in future population models and will provide a baseline for long-term research.</t>
  </si>
  <si>
    <t>[Fretwell, Peter T.; Ratcliffe, Norman; Fox, Adrian J.; Fleming, Andrew H.; Trathan, Phil N.] British Antarctic Survey, Cambridge CB3 0ET, England; [LaRue, Michelle A.; Morin, Paul; Porter, Claire] Univ Minnesota, Polar Geospatial Ctr, Minneapolis, MN USA; [Kooyman, Gerald L.] Univ Calif San Diego, Scripps Inst Oceanog, La Jolla, CA 92093 USA; [Wienecke, Barbara] Australian Antarctic Div, Hobart, Tas, Australia</t>
  </si>
  <si>
    <t>UK Research &amp; Innovation (UKRI); Natural Environment Research Council (NERC); NERC British Antarctic Survey; University of Minnesota System; University of Minnesota Twin Cities; University of California System; University of California San Diego; Scripps Institution of Oceanography; Australian Antarctic Division</t>
  </si>
  <si>
    <t>Fretwell, PT (corresponding author), British Antarctic Survey, Cambridge CB3 0ET, England.</t>
  </si>
  <si>
    <t>ptf@bas.ac.uk</t>
  </si>
  <si>
    <t>, gerald/0000-0002-8872-2950; Chiaradia, Andre/0000-0002-6178-4211</t>
  </si>
  <si>
    <t>National Science Foundation (NSF) [1043681, 0944220]; BAS; UK Overseas Territories Fund [BAT601]; NERC [bas0100025] Funding Source: UKRI; Natural Environment Research Council [bas0100025] Funding Source: researchfish</t>
  </si>
  <si>
    <t>National Science Foundation (NSF)(National Science Foundation (NSF)); BAS; UK Overseas Territories Fund; NERC(UK Research &amp; Innovation (UKRI)Natural Environment Research Council (NERC)); Natural Environment Research Council(UK Research &amp; Innovation (UKRI)Natural Environment Research Council (NERC))</t>
  </si>
  <si>
    <t>The authors would like to acknowledge and thank funding and provision of imagery from the National Science Foundation (NSF-#1043681 and #0944220) which funded the U.S. component of this work. Imagery for the UK analysis was funded by the BAS Ecosystems/predators work package and UK Overseas Territories Fund (BAT601). The funders had no role in study design, data collection and analysis, decision to publish, or preparation of the manuscript.</t>
  </si>
  <si>
    <t>e33751</t>
  </si>
  <si>
    <t>10.1371/journal.pone.0033751</t>
  </si>
  <si>
    <t>959UT</t>
  </si>
  <si>
    <t>Green Submitted, Green Published, Green Accepted, gold</t>
  </si>
  <si>
    <t>WOS:000305341600014</t>
  </si>
  <si>
    <t>Peters, LE; Anandakrishnan, S; Alley, RB; Voigt, DE</t>
  </si>
  <si>
    <t>Peters, L. E.; Anandakrishnan, S.; Alley, R. B.; Voigt, D. E.</t>
  </si>
  <si>
    <t>Seismic attenuation in glacial ice: A proxy for englacial temperature</t>
  </si>
  <si>
    <t>JOURNAL OF GEOPHYSICAL RESEARCH-EARTH SURFACE</t>
  </si>
  <si>
    <t>INTERNAL-FRICTION; WAVE ATTENUATION; WEST GREENLAND; ANTARCTIC ICE; FAST-FLOW; JAKOBSHAVNS-ISBRAE; SATURATED ROCKS; SHEET; MECHANISMS; VELOCITY</t>
  </si>
  <si>
    <t>Seismic attenuation alpha, or internal friction Q(-1), in glacial ice is highly sensitive to temperature, particularly near the melting point. Here we detail a technique to estimate Q and apply it to active source seismic data from Jakobshavn Isbrae, Greenland. We compare our results to measured and modeled temperature profiles of the ice in the region. We find an excellent match, with differences between seismically estimated and modeled temperatures of less than 2 degrees C. Mapping variations in seismic Q through glacial ice thus is shown to allow detailed estimation of englacial temperature profiles, which may be of special value in regions where in situ measurements are logistically difficult.</t>
  </si>
  <si>
    <t>[Peters, L. E.; Anandakrishnan, S.; Alley, R. B.; Voigt, D. E.] Penn State Univ, Dept Geosci, University Pk, PA 16802 USA; [Peters, L. E.; Anandakrishnan, S.; Alley, R. B.; Voigt, D. E.] Penn State Univ, Earth &amp; Environm Syst Inst,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</si>
  <si>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</si>
  <si>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Peters, LE (corresponding author), Penn State Univ, Dept Geosci, University Pk, PA 16802 USA.</t>
  </si>
  <si>
    <t>lpeters@geosc.psu.edu</t>
  </si>
  <si>
    <t>Anandakrishnan, Sridhar/JCN-5026-2023</t>
  </si>
  <si>
    <t>National Science Foundation [NSF-ANT-1043675]; Center for Remote Sensing of Ice Sheets (CReSIS) [NSF-OPP-0424589]</t>
  </si>
  <si>
    <t>National Science Foundation(National Science Foundation (NSF)); Center for Remote Sensing of Ice Sheets (CReSIS)</t>
  </si>
  <si>
    <t>We would like to thank H. J. Horgan, G. P. Tsoflias, and J. P. Winberry for field assistance in collecting the seismic data presented and analyzed here, along with field support from VECO Polar Services and Air Greenland. We thank CReSIS for the Jakobshavn Isbrae bed elevation data set collected by S. Gogineni et al., using airborne ice-penetrating radar with support from the National Science Foundation (NSF-OPP-0122520) and the National Aeronautics and Space Administration (NASA-NAG5-12659 and NASA-NAG5-12980). We also thank Alessio Gusmeroli, Martin Luthi, and Andrew M. Smith for constructive reviews that improved the manuscript. Funding for this work was provided by the National Science Foundation (NSF-ANT-1043675) and the Center for Remote Sensing of Ice Sheets (CReSIS) (NSF-OPP-0424589).</t>
  </si>
  <si>
    <t>2169-9003</t>
  </si>
  <si>
    <t>2169-9011</t>
  </si>
  <si>
    <t>J GEOPHYS RES-EARTH</t>
  </si>
  <si>
    <t>J. Geophys. Res.-Earth Surf.</t>
  </si>
  <si>
    <t>APR 12</t>
  </si>
  <si>
    <t>F02008</t>
  </si>
  <si>
    <t>10.1029/2011JF002201</t>
  </si>
  <si>
    <t>927GX</t>
  </si>
  <si>
    <t>Green Published, Green Accepted, Bronze</t>
  </si>
  <si>
    <t>WOS:000302896500002</t>
  </si>
  <si>
    <t>Richard, J; Morley, SA; Thorne, MAS; Peck, LS</t>
  </si>
  <si>
    <t>Richard, Joelle; Morley, Simon Anthony; Thorne, Michael A. S.; Peck, Lloyd Samuel</t>
  </si>
  <si>
    <t>Estimating Long-Term Survival Temperatures at the Assemblage Level in the Marine Environment: Towards Macrophysiology</t>
  </si>
  <si>
    <t>SCALLOP ARGOPECTEN-PURPURATUS; GOLDENROD GALL FLY; EUROPEAN MOLLUSKS; CLIMATE-CHANGE; POPULATION-DYNAMICS; POTENTIAL FECUNDITY; OXYGEN LIMITATION; THERMAL TOLERANCE; LIMITS; EVOLUTIONARY</t>
  </si>
  <si>
    <t>Defining ecologically relevant upper temperature limits of species is important in the context of environmental change. The approach used in the present paper estimates the relationship between rates of temperature change and upper temperature limits for survival in order to evaluate the maximum long-term survival temperature (Ts). This new approach integrates both the exposure time and the exposure temperature in the evaluation of temperature limits. Using data previously published for different temperate and Antarctic marine environments, we calculated Ts in each environment, which allowed us to calculate a new index: the Warming Allowance (WA). This index is defined as the maximum environmental temperature increase which an ectotherm in a given environment can tolerate, possibly with a decrease in performance but without endangering survival over seasonal or lifetime time-scales. It is calculated as the difference between maximum long-term survival temperature (Ts) and mean maximum habitat temperature. It provides a measure of how close a species, assemblage or fauna are living to their temperature limits for long-term survival and hence their vulnerability to environmental warming. In contrast to data for terrestrial environments showing that warming tolerance increases with latitude, results here for marine environments show a less clear pattern as the smallest WA value was for the Peru upwelling system. The method applied here, relating upper temperature limits to rate of experimental warming, has potential for wide application in the identification of faunas with little capacity to survive environmental warming.</t>
  </si>
  <si>
    <t>[Richard, Joelle; Morley, Simon Anthony; Thorne, Michael A. S.; Peck, Lloyd Samuel] British Antarctic Survey, Cambridge CB3 0ET, England</t>
  </si>
  <si>
    <t>UK Research &amp; Innovation (UKRI); Natural Environment Research Council (NERC); NERC British Antarctic Survey</t>
  </si>
  <si>
    <t>Richard, J (corresponding author), British Antarctic Survey, Cambridge CB3 0ET, England.</t>
  </si>
  <si>
    <t>Joelle.Richard@univ-brest.fr</t>
  </si>
  <si>
    <t>Thorne, Michael/0000-0001-7759-612X</t>
  </si>
  <si>
    <t>Natural Environment Research Council [NE/G000018/1]; Natural Environment Research Council [NE/G000018/1, bas0100025] Funding Source: researchfish; NERC [NE/G000018/1, bas0100025] Funding Source: UKRI</t>
  </si>
  <si>
    <t>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</si>
  <si>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This study was financed by the Natural Environment Research Council (grant NE/G000018/1 to Dr. Peck). The funders had no role in study design, data collection and analysis, decision to publish, or preparation of the manuscript.</t>
  </si>
  <si>
    <t>APR 11</t>
  </si>
  <si>
    <t>e34655</t>
  </si>
  <si>
    <t>10.1371/journal.pone.0034655</t>
  </si>
  <si>
    <t>959TP</t>
  </si>
  <si>
    <t>Green Published, Green Accepted, Green Submitted, gold</t>
  </si>
  <si>
    <t>WOS:000305336600045</t>
  </si>
  <si>
    <t>Johnson, GC; Schmidtko, S; Lyman, JM</t>
  </si>
  <si>
    <t>Johnson, Gregory C.; Schmidtko, Sunke; Lyman, John M.</t>
  </si>
  <si>
    <t>Relative contributions of temperature and salinity to seasonal mixed layer density changes and horizontal density gradients</t>
  </si>
  <si>
    <t>SUBTROPICAL MODE WATER; GLOBAL OCEAN; INTERANNUAL VARIABILITY; TROPICAL PACIFIC; INDIAN-OCEAN; SEA; CYCLE; ICE; DYNAMICS; HEAT</t>
  </si>
  <si>
    <t>Temperature and salinity both contribute to ocean density, including its seasonal cycle and spatial patterns in the mixed layer. Temperature and salinity profiles from the Argo Program allow construction and analysis of a global, monthly, mixed layer climatology. Temperature changes dominate the seasonal cycle of mixed layer density in most regions, but salinity changes are dominant in the tropical warm pools, Arctic, and Antarctic. Under the Intertropical Convergence Zone, temperature and salinity work in concert to increase seasonal stratification, but the seasonal density changes there are weak because the temperature and salinity changes are small. In the eastern subtropics, seasonal salinity changes partly compensate those in temperature and reduce seasonal mixed layer density changes. Besides a hemispheric seasonal reversal, the times of maximum and minimum mixed layer density exhibit regional variations. For instance, the equatorial region is more closely aligned with Southern Hemisphere timing, and much of the North Indian Ocean has a minimum density in May and June. Outside of the tropics, the maximum mixed layer density occurs later in the winter toward the poles, and the minimum earlier in the summer. Finally, at the times of maximum mixed layer density, some of the ocean has horizontal temperature and salinity gradients that work against each other to reduce the horizontal density gradient. However, on the equatorial sides of the subtropical salinity maxima, temperature and salinity gradients reinforce each other, increasing the density gradients there. Density gradients are generally stronger where either salinity or temperature gradients are dominant influences.</t>
  </si>
  <si>
    <t>[Johnson, Gregory C.; Schmidtko, Sunke; Lyman, John M.] NOAA, Pacific Marine Environm Lab, Seattle, WA 98115 USA; [Lyman, John M.] Univ Hawaii Manoa, Joint Inst Marine &amp; Atmospher Res, Honolulu, HI 96822 USA</t>
  </si>
  <si>
    <t>National Oceanic Atmospheric Admin (NOAA) - USA; University of Hawaii System; University of Hawaii Manoa</t>
  </si>
  <si>
    <t>Johnson, GC (corresponding author), NOAA, Pacific Marine Environm Lab, 7600 Sand Point Way NE,Bldg 3, Seattle, WA 98115 USA.</t>
  </si>
  <si>
    <t>gregory.c.johnson@noaa.gov</t>
  </si>
  <si>
    <t>Johnson, Gregory C/I-6559-2012; Schmidtko, Sunke/F-3355-2011</t>
  </si>
  <si>
    <t>Johnson, Gregory C/0000-0002-8023-4020; Schmidtko, Sunke/0000-0003-3272-7055; Lyman, John/0000-0002-7200-4663</t>
  </si>
  <si>
    <t>NOAA; NOAA Climate Program Office</t>
  </si>
  <si>
    <t>NOAA(National Oceanic Atmospheric Admin (NOAA) - USA); NOAA Climate Program Office(National Oceanic Atmospheric Admin (NOAA) - USA)</t>
  </si>
  <si>
    <t>NOAA Research and the NOAA Climate Program Office funded this work. The float data were collected and made freely available by the International Argo Program (part of the Global Ocean Observing System) and the national programs that contribute to it (see http://www.argo.ucsd.edu, http://argo.jcommops.org). G.C.J.'s week-long sojourn at the Helen Riaboff Whiteley Center, Friday Harbor Laboratories helped to germinate the manuscript. Comments from two anonymous reviewers and editor Frank Bryan helped to improve it. PMEL publication 3753.</t>
  </si>
  <si>
    <t>APR 10</t>
  </si>
  <si>
    <t>C04015</t>
  </si>
  <si>
    <t>10.1029/2011JC007651</t>
  </si>
  <si>
    <t>926UI</t>
  </si>
  <si>
    <t>WOS:000302857000002</t>
  </si>
  <si>
    <t>Takahashi, K; Yumoto, K; Claudepierre, SG; Sanchez, ER; Troshichev, OA; Janzhura, AS</t>
  </si>
  <si>
    <t>Takahashi, Kazue; Yumoto, Kiyohumi; Claudepierre, Seth G.; Sanchez, Ennio R.; Troshichev, Oleg A.; Janzhura, Alexander S.</t>
  </si>
  <si>
    <t>Dependence of the amplitude of Pc5-band magnetic field variations on the solar wind and solar activity</t>
  </si>
  <si>
    <t>OUTER RADIATION BELT; LOCAL TIME ASYMMETRY; ULF WAVE POWER; RELATIVISTIC ELECTRONS; MAGNETOSPHERIC PULSATIONS; GEOMAGNETIC-PULSATIONS; BOUNDARY; SUDDEN; MODEL; SPEED</t>
  </si>
  <si>
    <t>We have studied the dependence of the amplitude of magnetic field variations in the Pc5 band (1.6-6.7 mHz) on the solar wind and solar activity. Solar wind parameters considered are the bulk velocity V-sw and the variation of the solar wind dynamic pressure delta P-sw. The solar activity dependence is examined by contrasting observations made in 2001 (solar activity maximum) and 2006 (solar activity declining phase). We calculated hourly Pc5 amplitude using data from geostationary satellites at L = 6.8 and ground stations covering 1 &lt; L &lt; 9. The amplitude is positively correlated with both V-sw and delta P-sw, but the degree of correlation varies with L and magnetic local time. As measured by the correlation coefficient, the amplitude dependence on both V-sw and delta P-sw is stronger on the dayside than on the nightside, and the dependence on V-sw (delta P-sw) tends to be stronger at higher (lower) L, with the relative importance of the two solar wind parameters switching at L similar to 5. We attribute the V-sw control to the Kelvin-Helmholtz instability on the magnetopause, occurring both at high and low latitudes, and the delta P-sw control to buffeting of the magnetosphere by variation of solar wind dynamic pressure. The GOES amplitude is higher at the solar maximum at all local times and the same feature is seen on the ground in the dawn sector at L &gt; 6. A radial shift of the fast mode wave turning point, associated with the solar cycle variation of magnetosphere mass density, is a possible cause of this solar activity dependence.</t>
  </si>
  <si>
    <t>[Takahashi, Kazue] Johns Hopkins Univ, Appl Phys Lab, Laurel, MD 20723 USA; [Yumoto, Kiyohumi] Kyushu Univ, Space Environm Res Ctr, Grad Sch Sci, Fukuoka 8128581, Japan; [Claudepierre, Seth G.] Aerosp Corp, Los Angeles, CA 90009 USA; [Sanchez, Ennio R.] SRI Int, Ctr Geospace Studies, Menlo Pk, CA 94025 USA; [Troshichev, Oleg A.; Janzhura, Alexander S.] Arctic &amp; Antarctic Res Inst, St Petersburg 199397, Russia</t>
  </si>
  <si>
    <t>Johns Hopkins University; Johns Hopkins University Applied Physics Laboratory; Kyushu University; Aerospace Corporation - USA; SRI International; Arctic &amp; Antarctic Research Institute</t>
  </si>
  <si>
    <t>Takahashi, K (corresponding author), Johns Hopkins Univ, Appl Phys Lab, 11100 Johns Hopkins Rd, Laurel, MD 20723 USA.</t>
  </si>
  <si>
    <t>kazue.takahashi@jhuapl.edu; yumoto@serc.kyushu-u.ac.jp; sethclaudepierre@gmail.com; ennio.sanchez@sri.com; olegtro@aari.nw.ru; alex_j@aari.nw.ru</t>
  </si>
  <si>
    <t>Claudepierre, Seth G/A-6109-2012; Takahashi, Kazue/H-3060-2016</t>
  </si>
  <si>
    <t>Claudepierre, Seth G/0000-0001-5513-5947; Takahashi, Kazue/0000-0003-1434-4456</t>
  </si>
  <si>
    <t>Ministry of Education, Science and Culture of Japan (and Japan Society for the Promotion of Science) [12373003, 15253005, 18253005]; National Science Foundation [ATM-0646055, ATM-0855924]; Grants-in-Aid for Scientific Research [15253005, 12373003, 23540513, 22253007] Funding Source: KAKEN; Directorate For Geosciences; Div Atmospheric &amp; Geospace Sciences [0855924] Funding Source: National Science Foundation</t>
  </si>
  <si>
    <t>Ministry of Education, Science and Culture of Japan (and Japan Society for the Promotion of Science)(Ministry of Education, Culture, Sports, Science and Technology, Japan (MEXT)); National Science Foundation(National Science Foundation (NSF)); Grants-in-Aid for Scientific Research(Ministry of Education, Culture, Sports, Science and Technology, Japan (MEXT)Japan Society for the Promotion of ScienceGrants-in-Aid for Scientific Research (KAKENHI)); Directorate For Geosciences; Div Atmospheric &amp; Geospace Sciences(National Science Foundation (NSF)NSF - Directorate for Geosciences (GEO))</t>
  </si>
  <si>
    <t>The authors thank all members of the CPMN and WDC for the magnetometer data used in this study. The CPMN project is financially supported by the Ministry of Education, Science and Culture of Japan (and Japan Society for the Promotion of Science) as the Grant-in Aid for Overseas Scientific Survey (12373003, 15253005, 18253005). Work at the Johns Hopkins University Applied Physics Laboratory was supported by National Science Foundation Grants ATM-0646055 and ATM-0855924.</t>
  </si>
  <si>
    <t>A04207</t>
  </si>
  <si>
    <t>10.1029/2011JA017120</t>
  </si>
  <si>
    <t>926ZA</t>
  </si>
  <si>
    <t>WOS:000302871900001</t>
  </si>
  <si>
    <t>Bassis, JN; Walker, CC</t>
  </si>
  <si>
    <t>Bassis, J. N.; Walker, C. C.</t>
  </si>
  <si>
    <t>Upper and lower limits on the stability of calving glaciers from the yield strength envelope of ice</t>
  </si>
  <si>
    <t>PROCEEDINGS OF THE ROYAL SOCIETY A-MATHEMATICAL PHYSICAL AND ENGINEERING SCIENCES</t>
  </si>
  <si>
    <t>ice sheet; glacier; iceberg; calving; fracture; sea level</t>
  </si>
  <si>
    <t>ANTARCTIC PENINSULA; BOTTOM CREVASSES; DYNAMICS; FLOW; SHELF; ACCELERATION; GREENLAND; MECHANISM; FRICTION; STRESS</t>
  </si>
  <si>
    <t>Observations indicate that substantial changes in the dynamics of marine-terminating ice sheets and glaciers are tightly coupled to calving-induced changes in the terminus position. However, the calving process itself remains poorly understood and is not well parametrized in current numerical ice sheet models. In this study, we address this uncertainty by deriving plausible upper and lower limits for the maximum stable ice thickness at the calving face of marine-terminating glaciers, using two complementary models. The first model assumes that a combination of tensile and shear failure can render the ice cliff near the terminus unstable and/or enable pre-existing crevasses to intersect. A direct consequence of this model is that thick glaciers must terminate in deep water to stabilize the calving front, yielding a predicted maximum ice cliff height that increases with increasing water depth, consistent with observations culled from glaciers in West Greenland, Antarctica, Svalbard and Alaska. The second model considers an analogous lower limit derived by assuming that the ice is already fractured and fractures are lubricated by pore pressure. In this model, a floating ice tongue can only form when the ice entering the terminus region is relatively intact with few pre-existing, deeply penetrating crevasses.</t>
  </si>
  <si>
    <t>[Bassis, J. N.; Walker, C. C.] Univ Michigan, Dept Atmospher Ocean &amp; Space Sci, Ann Arbor, MI 48109 USA; [Bassis, J. N.] Univ Michigan, Dept Earth &amp; Environm Sci, Ann Arbor, MI 48109 USA</t>
  </si>
  <si>
    <t>University of Michigan System; University of Michigan; University of Michigan System; University of Michigan</t>
  </si>
  <si>
    <t>Bassis, JN (corresponding author), Univ Michigan, Dept Atmospher Ocean &amp; Space Sci, Ann Arbor, MI 48109 USA.</t>
  </si>
  <si>
    <t>jbassis@umich.edu</t>
  </si>
  <si>
    <t>Walker, Catherine Colello/HSG-9526-2023; Bassis, Jeremy/ABB-8628-2021</t>
  </si>
  <si>
    <t>Walker, Catherine Colello/0000-0003-4019-1000; Bassis, Jeremy/0000-0003-2946-7176</t>
  </si>
  <si>
    <t>NASA [NNX08AN59G]; NSF [ARC1064535]; Office of Polar Programs (OPP); Directorate For Geosciences [0739769] Funding Source: National Science Foundation; NASA [NNX08AN59G, 97604] Funding Source: Federal RePORTER</t>
  </si>
  <si>
    <t>NASA(National Aeronautics &amp; Space Administration (NASA)); NSF(National Science Foundation (NSF)); Office of Polar Programs (OPP); Directorate For Geosciences(National Science Foundation (NSF)NSF - Directorate for Geosciences (GEO)); NASA(National Aeronautics &amp; Space Administration (NASA))</t>
  </si>
  <si>
    <t>We are sincerely grateful for the careful reviews of the editor and two anonymous reviewers, whose comments significantly improved the clarity of this manuscript. This work was supported by NASA through grant NNX08AN59G and NSF grant ARC1064535.</t>
  </si>
  <si>
    <t>1364-5021</t>
  </si>
  <si>
    <t>1471-2946</t>
  </si>
  <si>
    <t>P ROY SOC A-MATH PHY</t>
  </si>
  <si>
    <t>Proc. R. Soc. A-Math. Phys. Eng. Sci.</t>
  </si>
  <si>
    <t>APR 8</t>
  </si>
  <si>
    <t>10.1098/rspa.2011.0422</t>
  </si>
  <si>
    <t>899MU</t>
  </si>
  <si>
    <t>WOS:000300820800001</t>
  </si>
  <si>
    <t>Nomura, D; Koga, S; Kasamatsu, N; Shinagawa, H; Simizu, D; Wada, M; Fukuchi, M</t>
  </si>
  <si>
    <t>Nomura, Daiki; Koga, Seizi; Kasamatsu, Nobue; Shinagawa, Hideo; Simizu, Daisuke; Wada, Makoto; Fukuchi, Mitsuo</t>
  </si>
  <si>
    <t>Direct measurements of DMS flux from Antarctic fast sea ice to the atmosphere by a chamber technique</t>
  </si>
  <si>
    <t>DIMETHYLSULFIDE DMS; CARBON-DIOXIDE; CO2 EXCHANGE; GAP LAYERS; FOREST; SUMMER; DYNAMICS; EFFLUX; WINTER; WATER</t>
  </si>
  <si>
    <t>We present the first direct measurements of dimethylsulfide (DMS) emissions from Antarctic sea ice to the atmosphere during the seasonal warming period obtained using a chamber technique. Estimated DMS fluxes measured over the snow and superimposed ice (ice formed by the freezing of snow meltwater) were from 0.1 to 0.3 mu mol m(-2) d(-1). The DMS fluxes measured directly over the sea-ice slush layer after removal of the snow and superimposed ice, ranged from 0.1 to 5.3 mu mol m(-2) d(-1), were large compared to those measured over the snow and superimposed ice. The DMS concentrations in slush water ranged from 1.0 to 103.7 nM. The DMS fluxes increased with increasing DMS concentrations in slush water. Our results indicate that the potential DMS flux measured over the slush layer occurred originally from the slush layer, and was dependent on the DMS concentrations in slush water. However, snow accumulation and the formation of superimposed ice over the slush layer significantly blocks the diffusion of DMS to the atmosphere, with the result that DMS tends to accumulate in the slush layer although the removal process of DMS by photolysis reaction can modify the DMS flux from the slush layer. Hence, the slush layer has the potential to release the DMS to the atmosphere and ocean when the snow and superimposed ice melts.</t>
  </si>
  <si>
    <t>[Nomura, Daiki; Kasamatsu, Nobue; Wada, Makoto; Fukuchi, Mitsuo] Natl Inst Polar Res, Tachikawa, Tokyo 1908501, Japan; [Koga, Seizi] Natl Inst Adv Ind Sci &amp; Technol, AIST Tsukuba W, Res Inst Environm Technol, Tsukuba, Ibaraki 3058569, Japan; [Shinagawa, Hideo] Univ Tsukuba, Shimoda Marine Res Ctr, Shizuoka 4150025, Japan; [Simizu, Daisuke] Hokkaido Univ, Inst Low Temp Sci, Kita Ku, Sapporo, Hokkaido 0600819, Japan</t>
  </si>
  <si>
    <t>Research Organization of Information &amp; Systems (ROIS); National Institute of Polar Research (NIPR) - Japan; National Institute of Advanced Industrial Science &amp; Technology (AIST); University of Tsukuba; Hokkaido University</t>
  </si>
  <si>
    <t>Nomura, D (corresponding author), Norwegian Polar Res Inst, Fram Ctr, N-9296 Tromso, Norway.</t>
  </si>
  <si>
    <t>daiki.nomura@npolar.no</t>
  </si>
  <si>
    <t>Koga, Seizi/L-5695-2018</t>
  </si>
  <si>
    <t>Koga, Seizi/0000-0001-6742-0403; SIMIZU, Daisuke/0000-0003-4214-6756</t>
  </si>
  <si>
    <t>Japan Society for the Promotion of Science [21810036]; National Institute of Polar Research; Grants-in-Aid for Scientific Research [21810036] Funding Source: KAKEN</t>
  </si>
  <si>
    <t>Japan Society for the Promotion of Science(Ministry of Education, Culture, Sports, Science and Technology, Japan (MEXT)Japan Society for the Promotion of Science); National Institute of Polar Research(National Institute of Polar Research (NIPR) - Japan); Grants-in-Aid for Scientific Research(Ministry of Education, Culture, Sports, Science and Technology, Japan (MEXT)Japan Society for the Promotion of ScienceGrants-in-Aid for Scientific Research (KAKENHI))</t>
  </si>
  <si>
    <t>We would like to express heartfelt thanks to Y. Motoyoshi, S. Kudoh, S. A. Chavanich, H. Shimoda, the crew of Japan Maritime Shelf-Defense Force icebreaker Shirase, and all the members of JARE-50 and -51 for their support in conducting the field work. We thank M. A. Granskog, N. Sato, T. Odate, H. Y. Inoue, S. Ushio, G. Hashida, K. Takahashi, and T. Iida for their useful comments. We also thank L. A. Miller and three anonymous reviewers for their useful comments for our manuscript. This work was partly supported by the Japan Society for the Promotion of Science (21810036) and the National Institute of Polar Research.</t>
  </si>
  <si>
    <t>APR 7</t>
  </si>
  <si>
    <t>C04011</t>
  </si>
  <si>
    <t>10.1029/2010JC006755</t>
  </si>
  <si>
    <t>921SH</t>
  </si>
  <si>
    <t>WOS:000302497300001</t>
  </si>
  <si>
    <t>Lance, VP; Strutton, PG; Vaillancourt, RD; Hargreaves, BR; Zhang, JZ; Marra, J</t>
  </si>
  <si>
    <t>Lance, Veronica P.; Strutton, Peter G.; Vaillancourt, Robert D.; Hargreaves, Bruce R.; Zhang, Jia-Zhong; Marra, John</t>
  </si>
  <si>
    <t>Primary productivity, new productivity, and their relation to carbon flux during two Southern Ocean Gas Exchange tracer experiments</t>
  </si>
  <si>
    <t>CONTINUOUS-FLOW ANALYSIS; POLAR FRONTAL ZONE; PACIFIC SECTOR; NITROGEN UPTAKE; SILICIC-ACID; PHYTOPLANKTON COMMUNITIES; IRON ENRICHMENT; ATLANTIC SECTOR; LIMITATION; GEORGIA</t>
  </si>
  <si>
    <t>Biological uptake rates of inorganic carbon and nitrate were measured during two sequential tracer release gas exchange experiments, together known as the Southern Ocean Gas Exchange Experiment (SO GasEx) in the southwest Atlantic sector of the Southern Ocean Antarctic Zone (51 degrees N, 38 degrees W). Primary productivity estimated from C-14 incubations ranged from 26.7 to 47.2 mmol C m(-2) d(-1) in the first experiment (Patch 1) and 13.7 to 39.4 mmol C m(-2) d(-1) in the second experiment (Patch 2). Nitrate-based productivity estimated from (NO3)-N-15 incubations ranged from 5.8 to 13.1 mmol C m(-2) d(-1) in Patch 1 and 1.9 to 7.1 mmol C m(-2) d(-1) in Patch 2. The average ratio of nitrate-based productivity to primary productivity (approximating the f ratio) was 0.24 in Patch 1 and 0.15 in Patch 2. Chlorophyll concentrations for both patches were less than 1 mg m(-3). Photochemical efficiency (F-v/F-m) was low (similar to 0.3) in Patch 1 and moderate (similar to 0.45) in Patch 2. Si(OH)(4) concentrations were potentially limiting (&lt;1 mmol m(-3) for Patch 1 and similar to 3 mmol m(-3) for Patch 2), while NH4+ concentrations were elevated (similar to 1 mmol m(-3) for Patch 1 and similar to 2.2 mmol m(-3) for Patch 2) compared with typical open ocean Antarctic Zone water. We hypothesize that Patch 1 productivity was regulated by the availability of Si(OH)(4), while Patch 2 productivity was regulated by grazers. Primary production and nitrate-based production (as a proxy for C export) determined here provide components for a mixed layer carbon budget from which the air-sea flux of CO2 will be quantified.</t>
  </si>
  <si>
    <t>[Lance, Veronica P.] Columbia Univ, Lamont Doherty Earth Observ, Palisades, NY USA; [Strutton, Peter G.] Univ Tasmania, Inst Marine &amp; Antarctic Studies, Hobart, Tas 7001, Australia; [Strutton, Peter G.] Australian Res Council, Ctr Excellence Climate Syst Sci, Sydney, NSW, Australia; [Vaillancourt, Robert D.] Millersville Univ Pennsylvania, Dept Earth Sci, Millersville, PA 17551 USA; [Hargreaves, Bruce R.] Lehigh Univ, Bethlehem, PA 18015 USA; [Zhang, Jia-Zhong] NOAA, Ocean Chem Div, Atlantic Oceanog &amp; Meteorol Lab, Miami, FL 33149 USA; [Marra, John] CUNY Brooklyn Coll, Brooklyn, NY 11210 USA</t>
  </si>
  <si>
    <t>Columbia University; University of Tasmania; Pennsylvania State System of Higher Education (PASSHE); Millersville University of Pennsylvania; Lehigh University; National Oceanic Atmospheric Admin (NOAA) - USA; Atlantic Oceanographic &amp; Meteorological Laboratory (AOML); City University of New York (CUNY) System; Brooklyn College (CUNY)</t>
  </si>
  <si>
    <t>Lance, VP (corresponding author), Sci Syst &amp; Applicat Inc, Lanham, MD USA.</t>
  </si>
  <si>
    <t>veronica.p.lance@nasa.gov</t>
  </si>
  <si>
    <t>Zhang, Jia-Zhong/B-7708-2008; Strutton, Peter/C-4466-2011</t>
  </si>
  <si>
    <t>Zhang, Jia-Zhong/0000-0002-1138-2556; Vaillancourt, Robert/0000-0003-1008-2380; Strutton, Peter/0000-0002-2395-9471</t>
  </si>
  <si>
    <t>NASA; NOAA</t>
  </si>
  <si>
    <t>NASA(National Aeronautics &amp; Space Administration (NASA)); NOAA(National Oceanic Atmospheric Admin (NOAA) - USA)</t>
  </si>
  <si>
    <t>Thanks go to Carlos Del Castillo for onboard filtration assistance for variable fluorescence blanks, to Charles Fischer for onboard nutrient analysis, to David Hebert for mixed layer depth discussions, to chief scientists David Ho and Chris Sabine, and for the helpful participation of the entire SO GasEx scientific crew. Recognition goes to captain and crew of the NOAA ship Ronald H. Brown. Appreciation goes to A. Gordon for valuable discussions about Southern Ocean fronts and to R. Wanninkhof for thoughtful comments on an earlier version of this manuscript. Comments from three anonymous reviewers were incorporated into manuscript revisions. This study was supported by a NASA grant to JM, RDV, BRH, and A. Subramanium; a NOAA grant to PGS; and a NOAA grant to JZZ.</t>
  </si>
  <si>
    <t>APR 6</t>
  </si>
  <si>
    <t>C00F14</t>
  </si>
  <si>
    <t>10.1029/2011JC007687</t>
  </si>
  <si>
    <t>921SE</t>
  </si>
  <si>
    <t>WOS:000302496900003</t>
  </si>
  <si>
    <t>DeConto, RM; Galeotti, S; Pagani, M; Tracy, D; Schaefer, K; Zhang, TJ; Pollard, D; Beerling, DJ</t>
  </si>
  <si>
    <t>DeConto, Robert M.; Galeotti, Simone; Pagani, Mark; Tracy, David; Schaefer, Kevin; Zhang, Tingjun; Pollard, David; Beerling, David J.</t>
  </si>
  <si>
    <t>Past extreme warming events linked to massive carbon release from thawing permafrost</t>
  </si>
  <si>
    <t>EOCENE THERMAL MAXIMUM; ATMOSPHERIC CO2; LATE PALEOCENE; CLIMATE-CHANGE; GLOBAL CARBON; METHANE; MODEL; OCEAN; HYPERTHERMALS; SENSITIVITY</t>
  </si>
  <si>
    <t>Between about 55.5 and 52 million years ago, Earth experienced a series of sudden and extreme global warming events (hyperthermals) superimposed on a long-term warming trend(1). The first and largest of these events, the Palaeocene-Eocene Thermal Maximum (PETM), is characterized by a massive input of carbon, ocean acidification(2) and an increase in global temperature of about 5 degrees C within a few thousand years(3). Although various explanations for the PETM have been proposed(4-6), a satisfactory model that accounts for the source, magnitude and timing of carbon release at the PETM and successive hyperthermals remains elusive. Here we use a new astronomically calibrated cyclostratigraphic record from central Italy(7) to show that the Early Eocene hyperthermals occurred during orbits with a combination of high eccentricity and high obliquity. Corresponding climate-ecosystem-soil simulations accounting for rising concentrations of background greenhouse gases(8) and orbital forcing show that the magnitude and timing of the PETM and subsequent hyperthermals can be explained by the orbitally triggered decomposition of soil organic carbon in circum-Arctic and Antarctic terrestrial permafrost. This massive carbon reservoir had the potential to repeatedly release thousands of petagrams (10(15) grams) of carbon to the atmosphere-ocean system, once a long-term warming threshold had been reached just before the PETM. Replenishment of permafrost soil carbon stocks following peak warming probably contributed to the rapid recovery from each event(9), while providing a sensitive carbon reservoir for the next hyperthermal(10). As background temperatures continued to rise following the PETM, the areal extent of permafrost steadily declined, resulting in an incrementally smaller available carbon pool and smaller hyperthermals at each successive orbital forcing maximum. A mechanism linking Earth's orbital properties with release of soil carbon from permafrost provides a unifying model accounting for the salient features of the hyperthermals.</t>
  </si>
  <si>
    <t>[DeConto, Robert M.; Tracy, David] Univ Massachusetts, Dept Geosci, Amherst, MA 01002 USA; [Galeotti, Simone] Univ Urbino, Earth Life &amp; Environm Sci Dept, I-61029 Urbino, Italy; [Pagani, Mark] Yale Univ, Dept Geol &amp; Geophys, New Haven, CT 06520 USA; [Schaefer, Kevin; Zhang, Tingjun] Univ Colorado, Cooperat Inst Res Environm Sci, Natl Snow &amp; Ice Data Ctr, Boulder, CO 80309 USA; [Pollard, David] Penn State Univ, Earth &amp; Environm Syst Inst, University Pk, PA 16802 USA; [Beerling, David J.] Univ Sheffield, Dept Anim &amp; Plant Sci, Sheffield S10 2TN, S Yorkshire, England; [Zhang, Tingjun] Lanzhou Univ, Minist Educ, Key Lab W Chinas Environm Syst, Lanzhou 730000, Gansu, Peoples R China</t>
  </si>
  <si>
    <t>University of Massachusetts System; University of Massachusetts Amherst; University of Urbino; Yale University; University of Colorado System; University of Colorado Boulder; Pennsylvania Commonwealth System of Higher Education (PCSHE); Pennsylvania State University; Pennsylvania State University - University Park; University of Sheffield; Lanzhou University</t>
  </si>
  <si>
    <t>ZHANG, TINGJUN/AAX-3662-2020; Pagani, Mark/B-3233-2008; Beerling, David/C-2840-2009</t>
  </si>
  <si>
    <t>Galeotti, Simone/0000-0001-9636-9344; Beerling, David/0000-0003-1869-4314; ZHANG, Tingjun/0000-0001-6974-9501</t>
  </si>
  <si>
    <t>US National Science Foundation [ATM-0513402/0513421, EAR-0628358]; Royal Society; Division Of Polar Programs; Directorate For Geosciences [0901962] Funding Source: National Science Foundation</t>
  </si>
  <si>
    <t>US National Science Foundation(National Science Foundation (NSF)); Royal Society(Royal Society); Division Of Polar Programs; Directorate For Geosciences(National Science Foundation (NSF)NSF - Directorate for Geosciences (GEO))</t>
  </si>
  <si>
    <t>This work was funded by the US National Science Foundation under award ATM-0513402/0513421 to R.M.D. and D.P., and EAR-0628358 to M.P. D.J.B. acknowledges support from a Royal Society-Wolfson Research Merit Award.</t>
  </si>
  <si>
    <t>APR 5</t>
  </si>
  <si>
    <t>10.1038/nature10929</t>
  </si>
  <si>
    <t>919QN</t>
  </si>
  <si>
    <t>WOS:000302343400039</t>
  </si>
  <si>
    <t>Bauch, D; Hölemann, JA; Dmitrenko, IA; Janout, MA; Nikulina, A; Kirillov, SA; Krumpen, T; Kassens, H; Timokhov, L</t>
  </si>
  <si>
    <t>Bauch, Dorothea; Hoelemann, Jens A.; Dmitrenko, Igor A.; Janout, Markus A.; Nikulina, Anna; Kirillov, Sergey A.; Krumpen, Thomas; Kassens, Heidemarie; Timokhov, Leo</t>
  </si>
  <si>
    <t>Impact of Siberian coastal polynyas on shelf-derived Arctic Ocean halocline waters</t>
  </si>
  <si>
    <t>LAPTEV SEA; RIVER-RUNOFF; FRESH-WATER; HYDROGRAPHY; ICE; TRANSPORT; BALANCE; MODEL</t>
  </si>
  <si>
    <t>Hydrographic and stable oxygen isotope ((H2O)-O-18/(H2O)-O-16) sampling was carried out within the West New Siberian (WNS) coastal polynyas in the southern Laptev Sea in late winters 2008 and 2009. The impact of sea ice formation on the water column was quantified by a salinity/delta O-18 mass balance. Several stations had vertically homogeneous physical properties in April/May 2008 and featured polynya-formed local bottom water with elevated signals of brine released during sea ice formation and elevated fractions of river water. The polynya-formed bottom water was fresher than surrounding bottom waters. At other stations, salinity/delta O-18 correlation showed well-defined mixing lines for bottom and surface layers. In March-April 2009, surface waters were strongly influenced by Lena River water, and local polynya activity with elevated brine signals reached to intermediate depth but did not penetrate the bottom layer in the highly stratified water column. Inventory values of sea ice formation were comparable in both years, but freshwater distributions from the preceding summers were different. Therefore, the observed difference in the impact of polynya activity on the water column is not primarily controlled by the amount of sea ice formed during winter but by preconditioning from the preceding summer. Only in years when the river plume is mostly absent in the polynya region is stratification weak and allows winter sea ice formation to reach the bottom layer. Thus summer stratification controls the influence of local polynya water on the shelf's bottom hydrography and, as bottom water is exported, impacts on the source water of shelf-derived halocline waters.</t>
  </si>
  <si>
    <t>[Bauch, Dorothea; Dmitrenko, Igor A.; Kassens, Heidemarie] GEOMAR Helmholtz Ctr Ocean Res Kiel, D-24148 Kiel, Germany; [Bauch, Dorothea; Nikulina, Anna] GEOMAR, Acad Mainz, D-24148 Kiel, Germany; [Hoelemann, Jens A.; Janout, Markus A.; Krumpen, Thomas] Alfred Wegener Inst Polar &amp; Marine Res, D-27570 Bremerhaven, Germany; [Kirillov, Sergey A.; Timokhov, Leo] Arctic &amp; Antarctic Res Inst, St Petersburg 199397, Russia</t>
  </si>
  <si>
    <t>Helmholtz Association; GEOMAR Helmholtz Center for Ocean Research Kiel; Helmholtz Association; GEOMAR Helmholtz Center for Ocean Research Kiel; Helmholtz Association; Alfred Wegener Institute, Helmholtz Centre for Polar &amp; Marine Research; Arctic &amp; Antarctic Research Institute</t>
  </si>
  <si>
    <t>Bauch, D (corresponding author), GEOMAR Helmholtz Ctr Ocean Res Kiel, Wischhofstr 1-3, D-24148 Kiel, Germany.</t>
  </si>
  <si>
    <t>Janout, Markus/AAI-7219-2020; Krumpen, Thomas/D-5163-2011; Hoelemann, Jens/N-3608-2016</t>
  </si>
  <si>
    <t>Krumpen, Thomas/0000-0001-6234-8756; Dmitrenko, Igor/0000-0001-8388-7839; Janout, Markus/0000-0003-4908-2855; Bauch, Dorothea/0000-0002-1419-9714; Hoelemann, Jens/0000-0001-5102-4086</t>
  </si>
  <si>
    <t>BMBF [03G0639D]; Roshydromet; Russian Ministry of Education and Science</t>
  </si>
  <si>
    <t>BMBF(Federal Ministry of Education &amp; Research (BMBF)); Roshydromet; Russian Ministry of Education and Science(Ministry of Education and Science, Russian Federation)</t>
  </si>
  <si>
    <t>We are grateful to all of our Russian and German colleagues who made it possible to successfully conduct our fieldwork program in the Laptev Sea coastal polynya region in late winters 2008 and 2009. This work was part of the German-Russian cooperation System Laptev Sea funded by the BMBF under grant 03G0639D as well as by Roshydromet and the Russian Ministry of Education and Science. We thank R. Newton and P. Schlosser for helpful comments.</t>
  </si>
  <si>
    <t>C00G12</t>
  </si>
  <si>
    <t>10.1029/2011JC007282</t>
  </si>
  <si>
    <t>921RZ</t>
  </si>
  <si>
    <t>Bronze, Green Accepted, Green Published</t>
  </si>
  <si>
    <t>WOS:000302496400001</t>
  </si>
  <si>
    <t>Wolff, EW</t>
  </si>
  <si>
    <t>Wolff, Eric W.</t>
  </si>
  <si>
    <t>CLIMATE CHANGE A tale of two hemispheres</t>
  </si>
  <si>
    <t>LAST GLACIAL TERMINATION</t>
  </si>
  <si>
    <t>British Antarctic Survey, Nat Environm Res Council, Cambridge CB3 0ET, England</t>
  </si>
  <si>
    <t>Wolff, EW (corresponding author), British Antarctic Survey, Nat Environm Res Council, High Cross, Cambridge CB3 0ET, England.</t>
  </si>
  <si>
    <t>Wolff, Eric W/D-7925-2014</t>
  </si>
  <si>
    <t>Wolff, Eric W/0000-0002-5914-8531</t>
  </si>
  <si>
    <t>10.1038/484041a</t>
  </si>
  <si>
    <t>WOS:000302343400025</t>
  </si>
  <si>
    <t>Shakun, JD; Clark, PU; He, F; Marcott, SA; Mix, AC; Liu, ZY; Otto-Bliesner, B; Schmittner, A; Bard, E</t>
  </si>
  <si>
    <t>Shakun, Jeremy D.; Clark, Peter U.; He, Feng; Marcott, Shaun A.; Mix, Alan C.; Liu, Zhengyu; Otto-Bliesner, Bette; Schmittner, Andreas; Bard, Edouard</t>
  </si>
  <si>
    <t>Global warming preceded by increasing carbon dioxide concentrations during the last deglaciation</t>
  </si>
  <si>
    <t>ICE CORE RECORDS; ATMOSPHERIC CO2; CLIMATE SENSITIVITY; GLACIAL MAXIMUM; ATLANTIC; OCEAN; TEMPERATURE; CALIBRATION; GREENLAND; RISE</t>
  </si>
  <si>
    <t>The covariation of carbon dioxide (CO2) concentration and temperature in Antarctic ice-core records suggests a close link between CO2 and climate during the Pleistocene ice ages. The role and relative importance of CO2 in producing these climate changes remains unclear, however, in part because the ice-core deuterium record reflects local rather than global temperature. Here we construct a record of global surface temperature from 80 proxy records and show that temperature is correlated with and generally lags CO2 during the last (that is, the most recent) deglaciation. Differences between the respective temperature changes of the Northern Hemisphere and Southern Hemisphere parallel variations in the strength of the Atlantic meridional overturning circulation recorded in marine sediments. These observations, together with transient global climate model simulations, support the conclusion that an antiphased hemispheric temperature response to ocean circulation changes superimposed on globally in-phase warming driven by increasing CO2 concentrations is an explanation for much of the temperature change at the end of the most recent ice age.</t>
  </si>
  <si>
    <t>[Shakun, Jeremy D.] Harvard Univ, Dept Earth &amp; Planetary Sci, Cambridge, MA 02138 USA; [Shakun, Jeremy D.] Columbia Univ, Lamont Doherty Earth Observ, Palisades, NY 10964 USA; [Clark, Peter U.; Marcott, Shaun A.; Mix, Alan C.; Schmittner, Andreas] Oregon State Univ, Coll Earth Ocean &amp; Atmospher Sci, Corvallis, OR 97331 USA; [He, Feng; Liu, Zhengyu] Univ Wisconsin, Ctr Climat Res, Madison, WI 53706 USA; [Liu, Zhengyu] Univ Wisconsin, Dept Atmospher &amp; Ocean Sci, Madison, WI 53706 USA; [Liu, Zhengyu] Peking Univ, Lab Ocean Atmosphere Studies, Beijing 100871, Peoples R China; [Otto-Bliesner, Bette] Natl Ctr Atmospher Res, Climate &amp; Global Dynam Div, Boulder, CO 80307 USA; [Bard, Edouard] Univ Aix Marseille, CNRS, Coll France, CEREGE, F-13545 Aix En Provence, France</t>
  </si>
  <si>
    <t>Harvard University; Columbia University; Oregon State University; University of Wisconsin System; University of Wisconsin Madison; University of Wisconsin System; University of Wisconsin Madison; Peking University; National Center Atmospheric Research (NCAR) - USA; Centre National de la Recherche Scientifique (CNRS); Aix-Marseille Universite; Universite PSL; College de France</t>
  </si>
  <si>
    <t>Shakun, JD (corresponding author), Harvard Univ, Dept Earth &amp; Planetary Sci, 20 Oxford St, Cambridge, MA 02138 USA.</t>
  </si>
  <si>
    <t>shakun@fas.harvard.edu</t>
  </si>
  <si>
    <t>Bard, Edouard/G-7717-2014; Schmittner, Andreas/O-9647-2015; he, feng/HOF-1989-2023; Otto-Bliesner, Bette/AAY-7691-2020; Marcott, Shaun A/L-7098-2015; He, Feng/B-3583-2008</t>
  </si>
  <si>
    <t>Schmittner, Andreas/0000-0002-8376-0843; Marcott, Shaun A/0000-0003-3264-0523; He, Feng/0000-0002-3355-6406</t>
  </si>
  <si>
    <t>Office of Science of the Department of Energy [DE-AC05-00OR22725]; NSF [AGS-0602395]; NOAA</t>
  </si>
  <si>
    <t>Office of Science of the Department of Energy(United States Department of Energy (DOE)); NSF(National Science Foundation (NSF)); NOAA(National Oceanic Atmospheric Admin (NOAA) - USA)</t>
  </si>
  <si>
    <t>Discussions with numerous people, including E. J. Brook, A. E. Carlson, N. G. Pisias and J. Shaman, contributed to this research. We acknowledge the palaeoclimate community for generating the proxy data sets used here. In particular, we thank S. Barker, T. Barrows, E. Calvo, J. Kaiser, A. Koutavas, Y. Kubota, V. Peck, C. Pelejero, J.-R. Petit, J. Sachs, E. Schefuss, J. Tierney and G. Wei for providing proxy data, and R. Gyllencreutz and J. Mangerud for providing unpublished results of the DATED Project on the retreat history of the Eurasian ice sheets. The NOAA NGDC and PANGAEA databases were also essential to this work. This research used resources of the Oak Ridge Leadership Computing Facility, located in the National Center for Computational Sciences at Oak Ridge National Laboratory, which is supported by the Office of Science of the Department of Energy under contract no. DE-AC05-00OR22725. NCAR is sponsored by the NSF. J.D.S. is supported by a NOAA Climate and Global Change Postdoctoral Fellowship. This research was supported by the NSF Paleoclimate Program for the Paleovar Project through grant AGS-0602395.</t>
  </si>
  <si>
    <t>10.1038/nature10915</t>
  </si>
  <si>
    <t>WOS:000302343400032</t>
  </si>
  <si>
    <t>Pautler, BG; Woods, GC; Dubnick, A; Simpson, AJ; Sharp, MJ; Fitzsimons, SJ; Simpson, MJ</t>
  </si>
  <si>
    <t>Pautler, Brent G.; Woods, Gwen C.; Dubnick, Ashley; Simpson, Andre J.; Sharp, Martin J.; Fitzsimons, Sean J.; Simpson, Myrna J.</t>
  </si>
  <si>
    <t>Molecular Characterization of Dissolved Organic Matter in Glacial Ice: Coupling Natural Abundance 1H NMR and Fluorescence Spectroscopy</t>
  </si>
  <si>
    <t>PARALLEL FACTOR-ANALYSIS; SEA-LEVEL RISE; MASS-SPECTROMETRY; ANTARCTIC ICE; ENVIRONMENTS; MARINE; CARBON; DOM; TERRESTRIAL; DEGRADATION</t>
  </si>
  <si>
    <t>Glaciers and ice sheets are the second largest freshwater reservoir in the global hydrologic cycle, and the onset of global climate warming has necessitated an assessment of their contributions to sea-level rise and the potential release of nutrients to nearby aquatic environments. In particular, the release of dissolved organic matter (DOM) from glacier melt could stimulate microbial activity in both glacial ecosystems and adjacent watersheds, but this would largely depend on the composition of the material released. Using fluorescence and H-1 NMR spectroscopy, we characterize DOM at its natural abundance in unaltered samples from a number of glaciers that differ in geographic location, thermal regime, and sample depth. Parallel factor analysis (PARAFAC) modeling of DOM fluorophores identifies components in the ice that are predominantly proteinaceous in character, while H-1 NMR spectroscopy reveals a mixture of small molecules that likely originate from native microbes. Spectrofluorescence also reveals a terrestrial contribution that was below the detection limits of NMR; however, H-1 nuclei From levoglucosan was identified in Arctic glacier ice samples. This study suggests that the bulk of the DOM from these glaciers is a mixture of biologically labile molecules derived from microbes.</t>
  </si>
  <si>
    <t>[Pautler, Brent G.; Woods, Gwen C.; Simpson, Andre J.; Simpson, Myrna J.] Univ Toronto, Environm NMR Ctr, Toronto, ON M1C 1A4, Canada; [Pautler, Brent G.; Woods, Gwen C.; Simpson, Andre J.; Simpson, Myrna J.] Univ Toronto, Dept Chem, Toronto, ON M1C 1A4, Canada; [Dubnick, Ashley; Sharp, Martin J.] Univ Alberta, Dept Earth &amp; Atmospher Sci, Edmonton, AB T6G 2E3, Canada; [Fitzsimons, Sean J.] Univ Otago, Dept Geog, Dunedin, New Zealand</t>
  </si>
  <si>
    <t>University of Toronto; University of Toronto; University of Alberta; University of Otago</t>
  </si>
  <si>
    <t>Simpson, MJ (corresponding author), Univ Toronto, Environm NMR Ctr, Toronto, ON M1C 1A4, Canada.</t>
  </si>
  <si>
    <t>myrna.simpson@utoronto.ca</t>
  </si>
  <si>
    <t>Simpson, Myrna/0000-0002-8084-411X</t>
  </si>
  <si>
    <t>Natural Science and Engineering Research Council (NSERC) of Canada; NSERC; NSERC, RTI</t>
  </si>
  <si>
    <t>Natural Science and Engineering Research Council (NSERC) of Canada(Natural Sciences and Engineering Research Council of Canada (NSERC)); NSERC(Natural Sciences and Engineering Research Council of Canada (NSERC)); NSERC, RTI(Natural Sciences and Engineering Research Council of Canada (NSERC))</t>
  </si>
  <si>
    <t>M.J. Simpson thanks the Natural Science and Engineering Research Council (NSERC) of Canada for support via a Discovery Grant. B. G. Pautler thanks NSERC for the CGS-D Scholarship. M.J. Sharp acknowledges support from NSERC in the form of Discovery and RTI grants, the Polar Continental Shelf Project for logistic support for fieldwork in Arctic Canada and Environment Canada for a Science Horizons Youth Internship for A. Dubnick. Miles Ecclestone and Candice Stuart acquired the ice cores from WG. Fieldwork in Antarctica was supported by Antarctica New Zealand.</t>
  </si>
  <si>
    <t>APR 3</t>
  </si>
  <si>
    <t>10.1021/es203942y</t>
  </si>
  <si>
    <t>926SC</t>
  </si>
  <si>
    <t>WOS:000302850400023</t>
  </si>
  <si>
    <t>Krishna, KS; Abraham, H; Sager, WW; Pringle, MS; Frey, F; Rao, DG; Levchenko, OV</t>
  </si>
  <si>
    <t>Krishna, Kolluru S.; Abraham, Honey; Sager, William W.; Pringle, Malcolm S.; Frey, Frederick; Rao, Dasari Gopala; Levchenko, Oleg V.</t>
  </si>
  <si>
    <t>Tectonics of the Ninetyeast Ridge derived from spreading records in adjacent oceanic basins and age constraints of the ridge</t>
  </si>
  <si>
    <t>JOURNAL OF GEOPHYSICAL RESEARCH-SOLID EARTH</t>
  </si>
  <si>
    <t>CENTRAL INDIAN-OCEAN; MARINE MAGNETIC-ANOMALIES; KERGUELEN HOTSPOT; DEFORMATION; EVOLUTION; PLATE; CRUST; LITHOSPHERE; KINEMATICS; ALTIMETRY</t>
  </si>
  <si>
    <t>Analysis of new and existing geophysical data for the Central Indian and Wharton Basins of the Indian Ocean were used to understand the formation and evolution of the Ninetyeast Ridge (NER), especially its relationship to the Kerguelen hot spot and the Wharton spreading ridge. Satellite gravity data and magnetic anomalies 34 through 19 define crustal isochrons and show fracture zones striking similar to N5 degrees E. One of these, at 89 degrees E, crosses the similar to N10 degrees E trending NER, impacting the NER morphology. From 77 to 43 Ma the NER lengthened at a rate of similar to 118 km/Myr, twice that of the similar to 48-58 km/Myr accretion rate of adjacent oceanic crust. This difference can be explained by southward jumps of the Wharton spreading ridge toward the hot spot, which transferred portions of crust from the Antarctic plate to the Indian plate, lengthening the NER. Magnetic anomalies document a small number of large spreading ridge jumps in the ocean crust immediately to the west of the NER, especially two leaving observable 65 and 42 Ma fossil spreading ridges. In contrast, complex magnetic anomaly progressions and morphology imply that smaller spreading ridge jumps occurred at more frequent intervals beneath the NER. Comparison of the NER dates and magnetic anomaly ages implies that the hot spot first emplaced NER volcanoes on the Indian plate at a distance from the Wharton Ridge, but as the northward drifting spreading ridge approached the hot spot, the two interacted, keeping later NER volcanism near the spreading ridge crest by spreading center jumps.</t>
  </si>
  <si>
    <t>[Krishna, Kolluru S.; Abraham, Honey] Natl Inst Oceanog, Council Sci &amp; Ind Res, Panaji 403004, Goa, India; [Sager, William W.] Texas A&amp;M Univ, Dept Oceanog, College Stn, TX 77843 USA; [Pringle, Malcolm S.; Frey, Frederick] MIT, Dept Earth &amp; Planetary Sci, Cambridge, MA 02139 USA; [Rao, Dasari Gopala] Osmania Univ, Dept Geol, Hyderabad 500007, Andhra Pradesh, India; [Levchenko, Oleg V.] Russian Acad Sci, Shirshov Inst Oceanol, Moscow 117997, Russia</t>
  </si>
  <si>
    <t>Council of Scientific &amp; Industrial Research (CSIR) - India; CSIR - National Institute of Oceanography (NIO); Texas A&amp;M University System; Texas A&amp;M University College Station; Massachusetts Institute of Technology (MIT); Osmania University; Russian Academy of Sciences; Shirshov Institute of Oceanology</t>
  </si>
  <si>
    <t>Krishna, KS (corresponding author), Natl Inst Oceanog, Council Sci &amp; Ind Res, Panaji 403004, Goa, India.</t>
  </si>
  <si>
    <t>krishna@nio.org</t>
  </si>
  <si>
    <t>Pringle, Malcolm/ABD-5663-2020</t>
  </si>
  <si>
    <t>Frey, Frederick/0000-0002-5403-5677</t>
  </si>
  <si>
    <t>National Science Foundation [OCE-0550743, OCE-05499852]; CSIR, New Delhi; DST, New Delhi through DST-RFBR [1103]</t>
  </si>
  <si>
    <t>National Science Foundation(National Science Foundation (NSF)); CSIR, New Delhi(Council of Scientific &amp; Industrial Research (CSIR) - India); DST, New Delhi through DST-RFBR</t>
  </si>
  <si>
    <t>We are indebted to captain, crew, and technicians of the R/V Roger Revelle for their efforts during the international scientific expedition (KNOX06RR) of the Ninetyeast Ridge. The field program was supported by the National Science Foundation grants OCE-0550743 and OCE-05499852. H. A. is grateful to CSIR, New Delhi, for the support of student research fellowship (NET-JRF). D. G. R. is grateful to DST, New Delhi, for supporting his research activities through DST-RFBR project 1103. We thank Jon Bull, Chuck DeMets, and the anonymous associate editor for their critical comments and suggestions on the manuscript, which improved the paper greatly. This is NIO contribution 5133.</t>
  </si>
  <si>
    <t>2169-9313</t>
  </si>
  <si>
    <t>2169-9356</t>
  </si>
  <si>
    <t>J GEOPHYS RES-SOL EA</t>
  </si>
  <si>
    <t>J. Geophys. Res.-Solid Earth</t>
  </si>
  <si>
    <t>B04101</t>
  </si>
  <si>
    <t>10.1029/2011JB008805</t>
  </si>
  <si>
    <t>921SQ</t>
  </si>
  <si>
    <t>WOS:000302498200001</t>
  </si>
  <si>
    <t>Schüller, M; Hutchings, PA</t>
  </si>
  <si>
    <t>Schueller, M.; Hutchings, P. A.</t>
  </si>
  <si>
    <t>New species of Terebellides (Polychaeta: Trichobranchidae) indicate long-distance dispersal between western South Atlantic deep-sea basins</t>
  </si>
  <si>
    <t>Argentine Basin; Brazil Basin; Diva 3; Annelida; Terebellida</t>
  </si>
  <si>
    <t>ANTARCTIC BOTTOM WATER; ANGOLA BASIN; DIVERSITY; HARPACTICOIDA; COMMUNITIES; INFORMATION; EXPEDITION; CRUSTACEA; ALIGNMENT; PATTERNS</t>
  </si>
  <si>
    <t>During the expedition DIVA 3 in summer 2009, six new species of the genus Terebellides (Trichobranchidae) were discovered from the deep Argentine and Brazil basins. Five of these (Terebellides gingko sp. n., Terebellides banalis sp. n., Terebellides bulbosa sp. n., Terebellides concertina sp. n., Terebellides diva sp. n.) are formally described herein; the sixth species is only briefly described as it was represented by only a single specimen. While most species were represented by a few specimens from a single basin, T. gingko sp. n., was found in relative high abundances in both basins. Molecular analyses of 16S rDNA sequences confirmed the long-distance distribution of this species. Although branchiae are lost in the majority of specimens found, all new species can clearly be separated from each other and Terebellides species formerly reported for shallow western South Atlantic waters by the relationships between head structures and anterior segments, and the shape of thoracic and anterior uncini, presenting evidence for a diverse and previously undescribed diversity of Trichobranchidae in the world's deep seas.</t>
  </si>
  <si>
    <t>[Schueller, M.] Ruhr Univ Bochum, D-44780 Bochum, Germany; [Hutchings, P. A.] Australian Museum, Sydney, NSW 2010, Australia</t>
  </si>
  <si>
    <t>Ruhr University Bochum; Australian Museum</t>
  </si>
  <si>
    <t>Schüller, M (corresponding author), Ruhr Univ Bochum, D-44780 Bochum, Germany.</t>
  </si>
  <si>
    <t>myriam.schueller@freenet.de; pat.hutchings@austmus.gov.au</t>
  </si>
  <si>
    <t>German Science Foundation (DFG) [SCHU 2443/2-3]</t>
  </si>
  <si>
    <t>The study was supported by funding from the German Science Foundation (DFG), fund SCHU 2443/2-3.</t>
  </si>
  <si>
    <t>APR 2</t>
  </si>
  <si>
    <t>939OU</t>
  </si>
  <si>
    <t>WOS:000303822600001</t>
  </si>
  <si>
    <t>Vijayagopal, P; Chakraborty, K; Iyyapparajanarasimapallavan, G; Anil, MK; Ignatius, B; Correya, NS; Vijayan, KK</t>
  </si>
  <si>
    <t>Vijayagopal, P.; Chakraborty, Kajal; Iyyapparajanarasimapallavan, G.; Anil, M. K.; Ignatius, Boby; Correya, Neil Scolastin; Vijayan, K. K.</t>
  </si>
  <si>
    <t>Development of live feed enrichment product for marine fish larviculture</t>
  </si>
  <si>
    <t>INDIAN JOURNAL OF FISHERIES</t>
  </si>
  <si>
    <t>Dicrateria inornata; Enrichment; Isochrysis galbana; Nanochloropsis oculata; Pavlova viridis; Phytoplankton</t>
  </si>
  <si>
    <t>POLYUNSATURATED FATTY-ACIDS; SARDINE OIL; MICROALGAE; ROTIFERS; LIPASE; LARVAE; ALGAL</t>
  </si>
  <si>
    <t>Phytoplankton cultures of Nanochloropsis oculata, Isochrysis galbana. Pavlova viridis and Dicrateria inornata, were scaled up and analysed for fatty acids. I. galbana proved to be the richest source of docosahexaenoic acid (DHA). P. viridis and D. inornata are rich in eicosapentaenoic acid (EPA). N. oculata is rich in EPA and arachidonic acid (ARA). When rotifers were enriched with 1. galbana and analysed for fatty acids at specific time intervals, DHA content increased till 30 h with a maximum DHA level of 1.13% obtained in enriched rotifers. Subsequently, development of enriched emulsions using sardine oil (90%) and fish roe (10%) as the major ingredients yielded a DHA content of 39% and EPA content of 17% and was used to enrich rotifers. The resultant enrichment level was 8.76% DHA and 2.35% EPA at six hours after which, a decline in the polyunsaturated fatty acid (PUFA) content was observed. The enrichment formulation holds promise as an import substitute.</t>
  </si>
  <si>
    <t>[Vijayagopal, P.; Chakraborty, Kajal; Iyyapparajanarasimapallavan, G.; Ignatius, Boby; Vijayan, K. K.] Cent Marine Fisheries Res Inst, Kochi 682018, Kerala, India; [Anil, M. K.] Cent Marine Fisheries Res Inst, Vizhinjam Res Ctr, Thiruvananthapuram 695521, Kerala, India; [Correya, Neil Scolastin] Natl Ctr Antarctic Ocean Res, Goa, India</t>
  </si>
  <si>
    <t>Indian Council of Agricultural Research (ICAR); ICAR - Central Marine Fisheries Research Institute; Indian Council of Agricultural Research (ICAR); ICAR - Central Marine Fisheries Research Institute; Ministry of Earth Sciences (MoES) - India; National Centre for Polar and Ocean Research (NCPOR)</t>
  </si>
  <si>
    <t>Vijayagopal, P (corresponding author), Cent Marine Fisheries Res Inst, Kochi 682018, Kerala, India.</t>
  </si>
  <si>
    <t>vgcochin@hotmail.com</t>
  </si>
  <si>
    <t>CENTRAL MARINE FISHERIES RESEARCH INST</t>
  </si>
  <si>
    <t>ERNAKULAM</t>
  </si>
  <si>
    <t>INDIAN COUNCIL AGRICULTURAL RES, DR. SALIM ALI RD, P B NO 1603, TATAPURAM P O, ERNAKULAM, COCHIN 682 014, INDIA</t>
  </si>
  <si>
    <t>0970-6011</t>
  </si>
  <si>
    <t>INDIAN J FISH</t>
  </si>
  <si>
    <t>Indian J. Fish.</t>
  </si>
  <si>
    <t>APR-JUN</t>
  </si>
  <si>
    <t>015ZH</t>
  </si>
  <si>
    <t>WOS:000309486400017</t>
  </si>
  <si>
    <t>Haisey, LG; Stroud, MA</t>
  </si>
  <si>
    <t>Haisey, Lewis G.; Stroud, Mike A.</t>
  </si>
  <si>
    <t>100 YEARS SINCE SCOTT REACHED THE POLE: A CENTURY OF LEARNING ABOUT THE PHYSIOLOGICAL DEMANDS OF ANTARCTICA</t>
  </si>
  <si>
    <t>PHYSIOLOGICAL REVIEWS</t>
  </si>
  <si>
    <t>SUSTAINED SLEEP-DEPRIVATION; ACUTE MOUNTAIN-SICKNESS; DOUBLY LABELED WATER; BROWN ADIPOSE-TISSUE; ENERGY-EXPENDITURE; COLD-EXPOSURE; PROLONGED EXERCISE; HIGH-ALTITUDE; PRACTICAL IMPLICATIONS; ENDURANCE EXERCISE</t>
  </si>
  <si>
    <t>Halsey LG, Stroud MA. 100 Years Since Scott Reached the Pole: A Century of Learning About the Physiological Demands of Antarctica. Physiol Rev 92: 521-536, 2012; doi:10.1152/physrev.00031.2011.-The 1910-1913 Terra Nova Expedition to the Antarctic, led by Captain Robert Falcon Scott, was a venture of science and discovery. It is also a well-known story of heroism and tragedy since his quest to reach the South Pole and conduct research en route, while successful was also fateful. Although Scott and his four companions hauled their sledges to the Pole, they died on their return journey either directly or indirectly from the extreme physiological stresses they experienced. One hundred years on, our understanding of such stresses caused by Antarctic extremes and how the body reacts to severe exercise, malnutrition, hypothermia, high altitude, and sleep deprivation has greatly advanced. On the centenary of Scott's expedition to the bottom of the Earth, there is still controversy surrounding whether the deaths of those five men could have, or should have, been avoided. This paper reviews present-day knowledge related to the physiology of sustained man-hauling in Antarctica and contrasts this with the comparative ignorance about these issues around the turn of the 20th century. It closes by considering whether, with modern understanding about the effects of such a scenario on the human condition, Scott could have prepared and managed his team differently and so survived the epic 1,600-mile journey. The conclusion is that by carrying rations with a different composition of macromolecules, enabling greater calorific intake at similar overall weight, Scott might have secured the lives of some of the party, and it is also possible that enhanced levels of vitamin C in his rations, albeit difficult to achieve in 1911, could have significantly improved their survival chances. Nevertheless, even with today's knowledge, a repeat attempt at his expedition would by no means be bound to succeed.</t>
  </si>
  <si>
    <t>[Haisey, Lewis G.] Univ Roehampton, London SW15 4JD, England; Southampton Univ Hosp Trust, Natl Inst Hlth Res, Biomed Res Unit Nutr, Southampton, Hants, England</t>
  </si>
  <si>
    <t>Roehampton University; University of Southampton; University Hospital Southampton NHS Foundation Trust</t>
  </si>
  <si>
    <t>Haisey, LG (corresponding author), Univ Roehampton, Holybourne Ave, London SW15 4JD, England.</t>
  </si>
  <si>
    <t>l.halsey@roehampton.ac.uk</t>
  </si>
  <si>
    <t>Halsey, Lewis/B-8498-2011</t>
  </si>
  <si>
    <t>Halsey, Lewis/0000-0002-0786-7585</t>
  </si>
  <si>
    <t>AMER PHYSIOLOGICAL SOC</t>
  </si>
  <si>
    <t>BETHESDA</t>
  </si>
  <si>
    <t>9650 ROCKVILLE PIKE, BETHESDA, MD 20814 USA</t>
  </si>
  <si>
    <t>0031-9333</t>
  </si>
  <si>
    <t>1522-1210</t>
  </si>
  <si>
    <t>PHYSIOL REV</t>
  </si>
  <si>
    <t>Physiol. Rev.</t>
  </si>
  <si>
    <t>APR</t>
  </si>
  <si>
    <t>10.1152/physrev.00031.2011</t>
  </si>
  <si>
    <t>Physiology</t>
  </si>
  <si>
    <t>976EC</t>
  </si>
  <si>
    <t>WOS:000306562500001</t>
  </si>
  <si>
    <t>Govil, P; Asthana, R; Mazumder, A; Ravindra, R</t>
  </si>
  <si>
    <t>Govil, Pawan; Asthana, Rajesh; Mazumder, Abhijit; Ravindra, Rasik</t>
  </si>
  <si>
    <t>Grain Size Distribution and its Influence on Biological Productivity During Holocene in a Fresh Water Lake in Larsemann Hills, Antarctica</t>
  </si>
  <si>
    <t>NATIONAL ACADEMY SCIENCE LETTERS-INDIA</t>
  </si>
  <si>
    <t>Larsemann Hills; Holocene; Antarctica; Fresh water lake</t>
  </si>
  <si>
    <t>BIOGENIC SILICA; SURFACE-AREA; DISSOLUTION; SEDIMENTS</t>
  </si>
  <si>
    <t>A 78 cm sediment core from one of the fresh water lake in Larsemann Hills, Antarctica was analyzed to compare the relationship between grain size and biological productivity as total organic carbon (TOC) and biogenic silica (BSi). The sediment core represented the time period of similar to 8.3 cal ka BP as ascertained by C-14 radiocarbon dates. High sand indicates glacio-fluvial deposition from similar to 8.3 to similar to 5 cal ka BP. The increased silt marks the ice melt water, aeolian flux sediment deposition from similar to 5 to recent. Interestingly, TOC showed negligible variation during similar to 8.3 to similar to 4 cal ka BP and is relatively high in the upper similar to 10 cm (similar to 4 cal ka BP) of the core. The increased TOC in the upper part of the core indicates good preservation of algal mat and incorporates with decrease in sand and increase in silt. The BSi showed positive correlation with sand content during similar to 8.3 to similar to 5 cal ka BP and negative correlation from similar to 5 to recent and this can be explained with the high and low ratio of Al:SiO2.</t>
  </si>
  <si>
    <t>[Govil, Pawan; Mazumder, Abhijit; Ravindra, Rasik] Natl Ctr Antarctic &amp; Ocean Res, Vasco Da Gama 403804, Goa, India; [Asthana, Rajesh] Geol Survey India, NIT, Faridabad 121001, India</t>
  </si>
  <si>
    <t>Ministry of Earth Sciences (MoES) - India; National Centre for Polar and Ocean Research (NCPOR); Geological Survey India</t>
  </si>
  <si>
    <t>Govil, P (corresponding author), Birbal Sahni Inst Paleobot, 53 Univ Rd, Lucknow 226007, Uttar Pradesh, India.</t>
  </si>
  <si>
    <t>pawanali@gmail.com</t>
  </si>
  <si>
    <t>Mazumder, Abhijit/0000-0001-9944-5306</t>
  </si>
  <si>
    <t>NCAOR</t>
  </si>
  <si>
    <t>Author wish to thank the Director from Birbal Sahni Institute of Palaeobotany, Lucknow for providing permission to publish these results and is grateful to NCAOR for providing logistics and financial support. The assistance by Dr. A. Bhattacharya and Dr. A. Sharma of Birbal Sahni Institute of Palaeobotany in collection of core at Larsemann Hills is gratefully acknowledged. Thanks are also due to the 26th Indian Scientific Expedition to Antarctica summer team members for their immense help.</t>
  </si>
  <si>
    <t>SPRINGER INDIA</t>
  </si>
  <si>
    <t>NEW DELHI</t>
  </si>
  <si>
    <t>7TH FLOOR, VIJAYA BUILDING, 17, BARAKHAMBA ROAD, NEW DELHI, 110 001, INDIA</t>
  </si>
  <si>
    <t>0250-541X</t>
  </si>
  <si>
    <t>2250-1754</t>
  </si>
  <si>
    <t>NATL ACAD SCI LETT</t>
  </si>
  <si>
    <t>Natl. Acad. Sci. Lett.-India</t>
  </si>
  <si>
    <t>10.1007/s40009-012-0013-2</t>
  </si>
  <si>
    <t>971AZ</t>
  </si>
  <si>
    <t>WOS:000306175500011</t>
  </si>
  <si>
    <t>Pastor, MV; Peña-Izquierdo, J; Pelegrí, JL; Marrero-Díaz, A</t>
  </si>
  <si>
    <t>Pastor, M. V.; Pena-Izquierdo, J.; Pelegri, J. L.; Marrero-Diaz, A.</t>
  </si>
  <si>
    <t>Meridional changes in water mass distributions off NW Africa during November 2007/2008</t>
  </si>
  <si>
    <t>CIENCIAS MARINAS</t>
  </si>
  <si>
    <t>optimum multiparameter analysis; eastern subtropical North Atlantic; central waters; intermediate waters; deep waters</t>
  </si>
  <si>
    <t>OPTIMUM MULTIPARAMETER ANALYSIS; NORTH-ATLANTIC; EASTERN BOUNDARY; CIRCULATION; VARIABILITY; SALINITY; REGION; OXYGEN; OCEAN</t>
  </si>
  <si>
    <t>An optimum multiparameter analysis was applied to a data set for the eastern boundary of the North Atlantic subtropical gyre, gathered during November of two consecutive years and spanning from 16 to 36 degrees N. This data set covers over 20 degrees of latitude with good meridional and zonal resolution over the whole coastal transition zone. The contribution from six water types in the depth range between 100 and 2000 m is solved. In the 100 to 700 m depth range the central waters of southern and northern origin meet abruptly at the Cape Verde Frontal Zone. This front traditionally has been reported to stretch from Cape Blanc, at about 21.5 degrees N, to the Cape Verde Islands, but in our case it penetrates as far as 24 degrees N over the continental slope. South of 21 degrees N latitude we actually find a less saline and more oxygenated variety of South Atlantic Central Water, which we ascribe to less diluted equatorial waters. In the 700 to 1500 m depth range the dominant water type is a diluted form of Antarctic Intermediate Water (AAIW), whose influence smoothly disappears north of the Canary Islands as it is replaced by Mediterranean Water (MW); at latitudes where both water masses coexist, we observe MW offshore while AAIW is found near-shore. North Atlantic Deep Water is the dominating water type below about 1300/1700 m depth south/north of the Canary Islands; this abrupt change in depth suggests the existence of different paths for the deep waters reaching both sides of the archipelago.</t>
  </si>
  <si>
    <t>[Pastor, M. V.; Pena-Izquierdo, J.; Pelegri, J. L.] CSIC, Inst Ciencies Mar, E-08003 Barcelona, Spain; [Marrero-Diaz, A.] Univ Las Palmas Gran Canaria, Las Palmas Gran Canaria 35017, Canary Islands, Spain</t>
  </si>
  <si>
    <t>Consejo Superior de Investigaciones Cientificas (CSIC); CSIC - Centro Mediterraneo de Investigaciones Marinas y Ambientales (CMIMA); CSIC - Instituto de Ciencias del Mar (ICM); Universidad de Las Palmas de Gran Canaria</t>
  </si>
  <si>
    <t>Pastor, MV (corresponding author), CSIC, Inst Ciencies Mar, Passeig Maritim Barceloneta 37-49, E-08003 Barcelona, Spain.</t>
  </si>
  <si>
    <t>mpastor@icm.csic.es</t>
  </si>
  <si>
    <t>Pelegrí, Josep L/L-5815-2014; Marrero-Díaz, Ángeles/H-2175-2015; Pena-Izquierdo, Jesus/L-5851-2015</t>
  </si>
  <si>
    <t>Pelegrí, Josep L/0000-0003-0661-2190; Marrero-Díaz, Ángeles/0000-0001-7697-0036; Pena-Izquierdo, Jesus/0000-0002-9231-989X; Pastor, Maria V/0000-0002-5693-5521</t>
  </si>
  <si>
    <t>Ministry of Science and Innovation (MSI, Spain) through projects CANOA [CTM2005-00444/MAR]; MOC2 [CTM2008-06438-C02-01]; JAE-Predoc Assistantship from the Council for Scientific Research (CSIC, Spain); FPI; MSI</t>
  </si>
  <si>
    <t>Ministry of Science and Innovation (MSI, Spain) through projects CANOA; MOC2; JAE-Predoc Assistantship from the Council for Scientific Research (CSIC, Spain); FPI(Spanish Government); MSI</t>
  </si>
  <si>
    <t>This research was supported by the Ministry of Science and Innovation (MSI, Spain) through projects CANOA (CTM2005-00444/MAR) and MOC2 (CTM2008-06438-C02-01). MVP was supported by a JAE-Predoc Assistantship from the Council for Scientific Research (CSIC, Spain), and JPI was supported by a FPI grant from MSI. We would like to acknowledge the support received from the crew of R/V Garcia del Cid and R/V Sarmiento de Gamboa. We are deeply grateful to all of them, especially the captains E Otal and D Dominguez, and the technicians JA Pozo, J Salvador, and M Lloret. We would also like to thank FF Perez for providing useful comments during the OMP analysis and E Vazquez for the dissolved oxygen measurements. We are thankful to the two anonymous reviewers for many useful suggestions and the handling editor, MG Coto, for carefully revising the manuscript.</t>
  </si>
  <si>
    <t>INST INVESTIGACIONES OCEANOLOGICAS, U A B C</t>
  </si>
  <si>
    <t>BAJA CALIFORNIA</t>
  </si>
  <si>
    <t>APARTADO POSTAL 423, ENSENADA, BAJA CALIFORNIA 22800, MEXICO</t>
  </si>
  <si>
    <t>0185-3880</t>
  </si>
  <si>
    <t>CIENC MAR</t>
  </si>
  <si>
    <t>Cienc. Mar.</t>
  </si>
  <si>
    <t>1B</t>
  </si>
  <si>
    <t>10.7773/cm.v38i1B.1831</t>
  </si>
  <si>
    <t>963AS</t>
  </si>
  <si>
    <t>Green Submitted, gold</t>
  </si>
  <si>
    <t>WOS:000305593100007</t>
  </si>
  <si>
    <t>Rial, JA</t>
  </si>
  <si>
    <t>Rial, J. A.</t>
  </si>
  <si>
    <t>SYNCHRONIZATION OF POLAR CLIMATE VARIABILITY OVER THE LAST ICE AGE: IN SEARCH OF SIMPLE RULES AT THE HEART OF CLIMATE'S COMPLEXITY</t>
  </si>
  <si>
    <t>AMERICAN JOURNAL OF SCIENCE</t>
  </si>
  <si>
    <t>Polar climate synchronization; Greenland-Antarctica teleconnection; climatic oscillators; complex systems; coupled Polar Regions; polar phase shift; dynamic paleoclimatology</t>
  </si>
  <si>
    <t>OCEAN-ATMOSPHERE MODEL; NORTH-ATLANTIC; GLACIAL CLIMATE; THERMOHALINE CIRCULATION; STOCHASTIC RESONANCE; LATE PLEISTOCENE; SOUTHERN-OCEAN; SEE-SAW; OSCILLATIONS; HEINRICH</t>
  </si>
  <si>
    <t>Evidence is presented supporting the hypothesis of polar synchronization, which states that during the last ice age, and likely in earlier times, millennial-scale temperature changes of the north and south Polar Regions were coupled and synchronized. The term synchronization as used here describes how two or more coupled nonlinear oscillators adjust their (initially different) natural rhythms to a common frequency and constant relative phase. In the case of the Polar Regions heat and mass transfer through the intervening ocean and atmosphere provided the coupling. As a working hypothesis, polar synchronization brings new insights into the dynamic processes that link Greenland's Dansgaard-Oeschger (DO) abrupt temperature fluctuations to Antarctic temperature variability. It is shown that, consistent with the presence of polar synchronization, the time series of the most representative abrupt climate events of the last glaciation recorded in Greenland and Antarctica can be transformed into one another by a pi/2 phase shift, with Antarctica temperature variations leading Greenland's. This, plus the fact that remarkable close simulations of the time series are obtained with a model consisting of a few nonlinear differential equations suggest the intriguing possibility that there are simple rules governing the complex behavior of global paleoclimate.</t>
  </si>
  <si>
    <t>Univ N Carolina, Dept Geol Sci, Chapel Hill, NC 27599 USA</t>
  </si>
  <si>
    <t>University of North Carolina; University of North Carolina Chapel Hill</t>
  </si>
  <si>
    <t>Rial, JA (corresponding author), Univ N Carolina, Dept Geol Sci, Chapel Hill, NC 27599 USA.</t>
  </si>
  <si>
    <t>jar@email.unc.edu</t>
  </si>
  <si>
    <t>J. S. McDonnell Foundation (21st Century Science Initiative on Complex systems); National Science Foundation; National Geographic Research Council; Div Atmospheric &amp; Geospace Sciences; Directorate For Geosciences [1102918] Funding Source: National Science Foundation</t>
  </si>
  <si>
    <t>J. S. McDonnell Foundation (21st Century Science Initiative on Complex systems); National Science Foundation(National Science Foundation (NSF)); National Geographic Research Council; Div Atmospheric &amp; Geospace Sciences; Directorate For Geosciences(National Science Foundation (NSF)NSF - Directorate for Geosciences (GEO))</t>
  </si>
  <si>
    <t>This research is supported by grants from the J. S. McDonnell Foundation (21st Century Science Initiative on Complex systems), the National Science Foundation (Paleoclimate and P2C2 programs), and the National Geographic Research Council. Technical help by Yue Zhang, Raj Saha and Dr. Jeseung Oh in several aspects of the research is gratefully acknowledged. All data used in this paper was provided by the National Snow and Ice Data Center, University of Colorado at Boulder, and the WDC-A for Paleoclimatology, National Geophysical Data Center, Boulder, Colorado.</t>
  </si>
  <si>
    <t>AMER JOURNAL SCIENCE</t>
  </si>
  <si>
    <t>NEW HAVEN</t>
  </si>
  <si>
    <t>YALE UNIV, PO BOX 208109, NEW HAVEN, CT 06520-8109 USA</t>
  </si>
  <si>
    <t>0002-9599</t>
  </si>
  <si>
    <t>1945-452X</t>
  </si>
  <si>
    <t>AM J SCI</t>
  </si>
  <si>
    <t>Am. J. Sci.</t>
  </si>
  <si>
    <t>10.2475/04.2012.02</t>
  </si>
  <si>
    <t>960FN</t>
  </si>
  <si>
    <t>WOS:000305373500002</t>
  </si>
  <si>
    <t>Carcione, JM; Picotti, S</t>
  </si>
  <si>
    <t>Carcione, Jose M.; Picotti, Stefano</t>
  </si>
  <si>
    <t>Reflection and transmission coefficients of a fracture in transversely isotropic media</t>
  </si>
  <si>
    <t>STUDIA GEOPHYSICA ET GEODAETICA</t>
  </si>
  <si>
    <t>fracture; anisotropy; reflection coefficient; boundary condition; attenuation</t>
  </si>
  <si>
    <t>WAVE-PROPAGATION; SCATTERING; INTERFACE; CRACK; ANISOTROPY</t>
  </si>
  <si>
    <t>We obtain the reflection and transmission coefficients at a fracture in transversely isotropic media, whose symmetry axis is perpendicular to the fracture surface. We consider dissimilar upper and lower media. The fracture is modeled as an interface with boundary discontinuities in the displacement and the particle velocity. The stress components are proportional to the displacement and velocity discontinuities through the specific stiffnesses and specific viscosities, respectively. The stiffness introduces frequency-dependence and phase changes in the fracture response and the viscosity is related to the energy loss. We also calculate the energy balance at the fracture and the dissipated energy. The theory is illustrated by computing the reflection coefficient of a fracture present in the Antarctic ice cap. In this case, the reflection coefficient decreases with increasing incidence angle and then approaches 1 at grazing angle.</t>
  </si>
  <si>
    <t>[Carcione, Jose M.; Picotti, Stefano] Ist Nazl Oceanog &amp; Geofis Sperimentale OGS, I-34010 Trieste, Italy</t>
  </si>
  <si>
    <t>Istituto Nazionale di Oceanografia e di Geofisica Sperimentale</t>
  </si>
  <si>
    <t>Carcione, JM (corresponding author), Ist Nazl Oceanog &amp; Geofis Sperimentale OGS, Borgo Grotta Gigante 42C, I-34010 Trieste, Italy.</t>
  </si>
  <si>
    <t>jcarcione@inogs.it</t>
  </si>
  <si>
    <t>Carcione, Jose M/T-9660-2019</t>
  </si>
  <si>
    <t>Carcione, Jose M/0000-0002-2839-705X; picotti, stefano/0000-0001-7341-1095</t>
  </si>
  <si>
    <t>0039-3169</t>
  </si>
  <si>
    <t>1573-1626</t>
  </si>
  <si>
    <t>STUD GEOPHYS GEOD</t>
  </si>
  <si>
    <t>Stud. Geophys. Geod.</t>
  </si>
  <si>
    <t>10.1007/s11200-011-9034-4</t>
  </si>
  <si>
    <t>958EB</t>
  </si>
  <si>
    <t>WOS:000305218200001</t>
  </si>
  <si>
    <t>Tiwari, S; Jain, A; Sarkar, S; Jain, S; Gwal, AK</t>
  </si>
  <si>
    <t>Tiwari, Sunita; Jain, Amit; Sarkar, Shivalika; Jain, Sudhir; Gwal, A. K.</t>
  </si>
  <si>
    <t>Ionospheric irregularities at Antarctic using GPS measurements</t>
  </si>
  <si>
    <t>JOURNAL OF EARTH SYSTEM SCIENCE</t>
  </si>
  <si>
    <t>GPS; scintillation; VTEC; polar patches</t>
  </si>
  <si>
    <t>PHASE FLUCTUATIONS; HIGH-LATITUDES; REGION; SCINTILLATION; PATCHES</t>
  </si>
  <si>
    <t>The purpose of this work is to study the behaviour of the ionospheric scintillation at high latitude during geomagnetically quiet and disturbed conditions which is one of the most relevant themes in the space weather studies. Scintillation is a major problem in navigation application using GPS and in satellite communication at high latitudes. Severe amplitude fading and strong scintillation affect the reliability of GPS navigational system and satellite communication. To study the effects of the ionospheric scintillations, GPS receiver installed at Antarctic station Maitri (Geog. 70.76A degrees S; 11.74A degrees E) was used. The data is collected by using GISTM 4004A, NOVATEL'S GPS receiver during March 2008. Studies show that percentage occurrence of phase scintillation is well correlated with geomagnetic activity during the observation period. The result also shows that very intense scintillations can degrade GPS based location determination due to loss of lock of satellites. These findings indicate that the dependence of scintillations and irregularity occurrence on geomagnetic activity is associated with the magnetic local time (MLT). Large number of patches are reported and their activity depends on the magnetic activity index.</t>
  </si>
  <si>
    <t>[Tiwari, Sunita; Sarkar, Shivalika; Gwal, A. K.] Barkatullah Univ, Dept Phys, Space Sci Lab, Bhopal, India; [Jain, Amit; Jain, Sudhir] Govt MLB Girls PG Coll, Dept Phys, Bhopal, India</t>
  </si>
  <si>
    <t>Barkatullah University</t>
  </si>
  <si>
    <t>Tiwari, S (corresponding author), Barkatullah Univ, Dept Phys, Space Sci Lab, Bhopal, India.</t>
  </si>
  <si>
    <t>suni_tiwari@yahoo.co.in</t>
  </si>
  <si>
    <t>National Centre for Antarctic and Ocean Research (NCAOR), Goa; Ministry of Earth Science, Government of India; University Grants Commission, New Delhi</t>
  </si>
  <si>
    <t>National Centre for Antarctic and Ocean Research (NCAOR), Goa; Ministry of Earth Science, Government of India; University Grants Commission, New Delhi(University Grants Commission, India)</t>
  </si>
  <si>
    <t>The authors thank the National Centre for Antarctic and Ocean Research (NCAOR), Goa, and the Ministry of Earth Science, Government of India for the support under the Antarctic Space Weather Program. The authors also thank the National Space Science Data Center (NSSDC) for the software used for calculating the auroral oval position and thank the model's author, Holzworth and Meng. The authors, Sunita Tiwari and Shivalika Sarkar acknowledge the University Grants Commission, New Delhi for providing Research Fellowship in science and Dr D S Kothari for postdoctoral fellowship, respectively to carry on this research work. Data of IMF Bz and Kp is downloaded from www.spidr/ngdc.noaa.gov/spidr website.</t>
  </si>
  <si>
    <t>INDIAN ACAD SCIENCES</t>
  </si>
  <si>
    <t>BANGALORE</t>
  </si>
  <si>
    <t>C V RAMAN AVENUE, SADASHIVANAGAR, P B #8005, BANGALORE 560 080, INDIA</t>
  </si>
  <si>
    <t>2347-4327</t>
  </si>
  <si>
    <t>0973-774X</t>
  </si>
  <si>
    <t>J EARTH SYST SCI</t>
  </si>
  <si>
    <t>J. Earth Syst. Sci.</t>
  </si>
  <si>
    <t>10.1007/s12040-012-0168-8</t>
  </si>
  <si>
    <t>Geosciences, Multidisciplinary; Multidisciplinary Sciences</t>
  </si>
  <si>
    <t>Geology; Science &amp; Technology - Other Topics</t>
  </si>
  <si>
    <t>950PG</t>
  </si>
  <si>
    <t>WOS:000304660600007</t>
  </si>
  <si>
    <t>Szostek, KL; Becker, PH</t>
  </si>
  <si>
    <t>Szostek, K. Lesley; Becker, Peter H.</t>
  </si>
  <si>
    <t>Terns in trouble: demographic consequences of low breeding success and recruitment on a common tern population in the German Wadden Sea</t>
  </si>
  <si>
    <t>JOURNAL OF ORNITHOLOGY</t>
  </si>
  <si>
    <t>Seabird; Breeding success; Recruitment; Age-dependent survival; Demography; Multi-state model</t>
  </si>
  <si>
    <t>STERNA-HIRUNDO; CAPTURE-RECAPTURE; REPRODUCTIVE SUCCESS; ANTARCTIC SEABIRD; ADULT SURVIVAL; ROSEATE TERNS; ARRIVAL DATE; DYNAMICS; AGE; CLIMATE</t>
  </si>
  <si>
    <t>The nationally endangered breeding population of Common Terns Sterna hirundo in the German Wadden Sea has been rapidly declining in recent years. In an attempt to identify the causes for this decline we analysed the demography of the Jade Bay population based on the Banter See colony. This colony has been intensively studied for over 18 years and has been declining in recent years. We estimated apparent survival rates of breeders and non-breeders of different ages using multi-state capture recapture models based on individual life histories. The population growth rates of the Banter See colony and Lower Saxony population were estimated, and possible future trajectories were projected using a matrix model approach. Adult survival rates (0.9) have remained constant, but since 2002 subadult survival has decreased significantly (0.36-0.28). We found significantly lower breeding success as well as lower and delayed recruitment. These changes in vital rates probably caused the shift in the Banter See colony growth rate from an increasing phase before 2002 to a declining phase after and most likely occurred due to low pelagic prey fish stocks in the North Sea, the most important food source for terns in the Wadden Sea. Should the population decline continue at the current rates, the Banter See colony could decrease by 11% and the Lower Saxony Wadden Sea population by an alarming 57% between 2009 and 2015.</t>
  </si>
  <si>
    <t>[Szostek, K. Lesley; Becker, Peter H.] Inst Avian Res Vogelwarte Helgoland, D-26386 Wilhelmshaven, Germany</t>
  </si>
  <si>
    <t>Szostek, KL (corresponding author), Inst Avian Res Vogelwarte Helgoland, Vogelwarte 21, D-26386 Wilhelmshaven, Germany.</t>
  </si>
  <si>
    <t>lesley.szostek@ifv-vogelwarte.de</t>
  </si>
  <si>
    <t>Deutsche Forschungsgemeinschaft DFG [BE 916/9]</t>
  </si>
  <si>
    <t>Deutsche Forschungsgemeinschaft DFG(German Research Foundation (DFG))</t>
  </si>
  <si>
    <t>We thank the numerous field workers, without whom a project of this scale would not be feasible, for their tireless efforts over the years. Eric Stienen and three anonymous reviewers provided valuable comments on the manuscript. We are grateful to the conservation and research community Der Mellumrat e. V. (Varel-Dangast), Niedersachsisches Landesamt fur Okologie, Nationalparkverwaltung Niedersachsisches Wattenmeer for providing the Lower Saxony population counts. This project was funded by Deutsche Forschungsgemeinschaft DFG (BE 916/9). Permission was granted by the regional authorities Bezirksregierung Weser-Ems, Stadt Wilhelmshaven and Nds. Landesamt fur Verbraucherschutz nod Lebensmittelsicherheit Oldenburg, respectively.</t>
  </si>
  <si>
    <t>2193-7192</t>
  </si>
  <si>
    <t>2193-7206</t>
  </si>
  <si>
    <t>J ORNITHOL</t>
  </si>
  <si>
    <t>J. Ornithol.</t>
  </si>
  <si>
    <t>10.1007/s10336-011-0745-7</t>
  </si>
  <si>
    <t>951QI</t>
  </si>
  <si>
    <t>WOS:000304734700008</t>
  </si>
  <si>
    <t>Kurbatova, LE; Ochyra, R</t>
  </si>
  <si>
    <t>Kurbatova, Lyubov E.; Ochyra, Ryszard</t>
  </si>
  <si>
    <t>Two noteworthy additions to the moss flora of the Schirmacher Oasis in continental Antarctica</t>
  </si>
  <si>
    <t>CRYPTOGAMIE BRYOLOGIE</t>
  </si>
  <si>
    <t>Antarctica; austral polar biome; Bryophyta; distribution; Dronning Maud Land; Grimmia; Grimmiaceae; Hennediella; Pottiaceae</t>
  </si>
  <si>
    <t>REGIONAL BRYOPHYTE RECORDS; TORTULA; LAND</t>
  </si>
  <si>
    <t>Two species of moss, Grimmia plagiopodia Hedw. (Grimmiaceae) and Hennediella antarctica (Angstr.) Ochyra et Matteri (Pottiaceae), are recorded for the first time from the Schirmacher Oasis in continental Antarctica. The latter species has so far been known only from Enderby Land and its geographical range is now extended to Dronning Maud Land. Both species are briefly characterised and their Antarctic distribution is mapped. Accordingly, the moss flora of Dronning Maud Sector of Antarctica consists of 13 species, 12 of which are known to occur in the Schirmacher Oasis. One species, Pohlia wilsonii (Mitt.) Ochyra, found in a lake in the Schirmacher Oasis has yet to be confirmed.</t>
  </si>
  <si>
    <t>[Ochyra, Ryszard] Polish Acad Sci, Inst Bot, Lab Bryol, PL-31512 Krakow, Poland; [Kurbatova, Lyubov E.] Russian Acad Sci, Komarov Bot Inst, St Petersburg 197376, Russia</t>
  </si>
  <si>
    <t>Polish Academy of Sciences; Russian Academy of Sciences; Komarov Botanical Institute, Russian Academy of Sciences</t>
  </si>
  <si>
    <t>Ochyra, R (corresponding author), Polish Acad Sci, Inst Bot, Lab Bryol, Ul Lubicz 46, PL-31512 Krakow, Poland.</t>
  </si>
  <si>
    <t>korablik.novo@gmail.com; r.ochyra@botany.pl</t>
  </si>
  <si>
    <t>Ochyra, Ryszard/0000-0002-2541-0722</t>
  </si>
  <si>
    <t>Russian Foundation for Basic Research [11-04-01247-a]; Ministry of Science and Higher Education of the Polish Government [N N 303 469338]; Institute of Botany of the Polish Academy of Sciences</t>
  </si>
  <si>
    <t>Russian Foundation for Basic Research(Russian Foundation for Basic Research (RFBR)Spanish Government); Ministry of Science and Higher Education of the Polish Government; Institute of Botany of the Polish Academy of Sciences</t>
  </si>
  <si>
    <t>The authors thank Rod Seppelt, Kingston, Tasmania, Ronald I. Lewis Smith, Moffat, Scotland and Tamas Pocs, Eger, Hungary, for their valuable comment on the manuscript and Katarzyna Bilyk, Krakow, for generating distribution maps. The research was financially supported by grants from the Russian Foundation for Basic Research (project 11-04-01247-a) for L. E. Kurbatova and from the Ministry of Science and Higher Education of the Polish Government (N N 303 469338) and partly through the statutory fund of the Institute of Botany of the Polish Academy of Sciences for the second author.</t>
  </si>
  <si>
    <t>ADAC-CRYPTOGAMIE</t>
  </si>
  <si>
    <t>12 RUE DE BUFFON, 75005 PARIS, FRANCE</t>
  </si>
  <si>
    <t>1290-0796</t>
  </si>
  <si>
    <t>CRYPTOGAMIE BRYOL</t>
  </si>
  <si>
    <t>Cryptogam. Bryol.</t>
  </si>
  <si>
    <t>10.7872/cryb.v33.iss2.2012.159</t>
  </si>
  <si>
    <t>947LB</t>
  </si>
  <si>
    <t>WOS:000304430400008</t>
  </si>
  <si>
    <t>Fabón, G; Monforte, L; Tomás-Las-Heras, R; Martínez-Abaigar, J; Núñez-Olivera, E</t>
  </si>
  <si>
    <t>Fabon, Gabriel; Monforte, Laura; Tomas-Las-Heras, Rafael; Martinez-Abaigar, Javier; Nunez-Olivera, Encarnacion</t>
  </si>
  <si>
    <t>Cell compartmentation of UV-absorbing compounds in two aquatic mosses under enhanced UV-B</t>
  </si>
  <si>
    <t>UV-B radiation; UV-absorbing compounds; Ozone depletion; Mosses; Compartmentation; Vacuoles; Cell walls</t>
  </si>
  <si>
    <t>EXSERTIFOLIA SUBSP CORDIFOLIA; UNCINATA HEDW. LOESKE; DNA-DAMAGE; CHLOROPHYLL FLUORESCENCE; ULTRAVIOLET-RADIATION; ANTARCTIC MOSSES; BRYOPHYTES; LIVERWORT; RESPONSES; PHOTOSYNTHESIS</t>
  </si>
  <si>
    <t>The effects of enhanced UV-B radiation on UV-absorbing compounds (UVAC), the maximum quantum yield of photosystem 11 (F-v/F-m). DNA integrity, and the sclerophylly index, were analyzed in the mosses Bryum pseudotriquetrum and Fontinalis antipyretica. The study was performed for 31 days under laboratory conditions. Enhanced UV-B increased the bulk level of the vacuolar soluble UVAC (SUVAC) in both mosses and the concentration of two different soluble kaempferols in B. pseudotriquetrum. However, enhanced UV-B had no effect on the bulk level of cell wall-bound insoluble UVAC (WUVAC) in both mosses and the concentration of insoluble p-coumaric acid in F. antipyretica. Thus, the insoluble fraction would be less UV-B-responsive than the soluble one. This probably happened because (1) the constitutively high bulk level of WUVAC (and noticeably higher than that of SUVAC) would already provide a sufficiently effective protection; and (2) WUVAC would be relatively immobilized in the cell wall, which would limit the reaction capacity of these compounds to UV-B. The protective mechanisms developed by both mosses could not totally prevent UV-B damage, which was indicated by the modest decrease of F-v/F-m and the increase in DNA damage. We discuss the ecological and phylogenetic implications of the differences in UVAC compartmentation between liverworts and mosses.</t>
  </si>
  <si>
    <t>[Fabon, Gabriel; Monforte, Laura; Tomas-Las-Heras, Rafael; Martinez-Abaigar, Javier; Nunez-Olivera, Encarnacion] Univ La Rioja, Logrono 26006, La Rioja, Spain</t>
  </si>
  <si>
    <t>Universidad de La Rioja</t>
  </si>
  <si>
    <t>Martínez-Abaigar, J (corresponding author), Univ La Rioja, Complejo Cient Tecnol,Avda Madre Dios 51, Logrono 26006, La Rioja, Spain.</t>
  </si>
  <si>
    <t>javier.martinez@unirioja.es</t>
  </si>
  <si>
    <t>Tomas-Las-Heras, Rafael/M-2754-2018; Martinez-Abaigar, Javier/L-7000-2014; Monforte, Laura/P-3410-2014; Nunez-Olivera, Encarnacion/L-7164-2014</t>
  </si>
  <si>
    <t>Tomas-Las-Heras, Rafael/0000-0002-8496-7280; Martinez-Abaigar, Javier/0000-0002-9762-9862; Monforte, Laura/0000-0002-7062-5650; Nunez-Olivera, Encarnacion/0000-0002-7221-3852</t>
  </si>
  <si>
    <t>Ministerio de Ciencia e Innovacion of Spain [CGL2008-04450]</t>
  </si>
  <si>
    <t>Ministerio de Ciencia e Innovacion of Spain(Spanish Government)</t>
  </si>
  <si>
    <t>We are grateful to the Ministerio de Ciencia e Innovacion of Spain (Project CGL2008-04450) for financial support. Gabriel Fabon benefited from the Projects Colabora 2008/04 and 2009/07 (Gobierno de La Rioja, Spain). Laura Monforte benefited from a grant of the Gobierno de La Rioja (PRED2010/16). The Gobierno de La Rioja authorized our work in the Natural Park of Sierra Cebollera. The present work is integrated in the COST (European Cooperation in Science and Technology) Action FA0906 of the European Union UV-B radiation: a specific regulator of plant growth and food quality in a changing climate.</t>
  </si>
  <si>
    <t>1776-0992</t>
  </si>
  <si>
    <t>10.7872/cryb.v33.iss2.2012.169</t>
  </si>
  <si>
    <t>WOS:000304430400009</t>
  </si>
  <si>
    <t>Chen, H; Zheng, Z; Chen, P; Wu, XG; Zhao, G</t>
  </si>
  <si>
    <t>Chen Hao; Zheng Zhou; Chen Peng; Wu Xiang Gen; Zhao Ge</t>
  </si>
  <si>
    <t>Inhibitory Effect of Extracellular Polysaccharide EPS-II from Pseudoalteromonas on Candida adhesion to Cornea in vitro</t>
  </si>
  <si>
    <t>BIOMEDICAL AND ENVIRONMENTAL SCIENCES</t>
  </si>
  <si>
    <t>Extracellular polysaccharide EPS-II; Candida albicans; Cornea; Adhesion; Inhibitory effect</t>
  </si>
  <si>
    <t>FUNGAL KERATITIS; PATHOGENIC FUNGI; ADHERENCE; CELLS; DERIVATIVES; EXPRESSION</t>
  </si>
  <si>
    <t>Objective Fungal keratitis (FK) is a vision-threatening infection, whose treatment requires more effective and safer anti-fungal agent exploitation urgently. With this aim, we focused on the effect of an extracellular polysaccharide on fungal adhesion to human corneal epithelial cells. Methods We performed the cytotoxicity assays of the extracellular polysaccharide EPS-II from an antarctic bacterium Pseudoaltermonas and evaluated its inhibitory effect on Candida albicans cells' adherence to human corneal epithelial cells (HCECs). Results EPS-II, which displayed minor cytotoxicity but also promoted proliferation of HCECs, could inhibit the adherence of yeast cells to HCECs in a dose-dependent manner. EPS-II could also suppress the subsequent PI3K/AKT signaling pathway, and thereby decrease the expression of early inflammatory cytokines. Conclusions Extracellular polysaccharide EPS-II was suggested as a new natural agent for attenuating FK.</t>
  </si>
  <si>
    <t>[Chen Hao; Chen Peng; Wu Xiang Gen; Zhao Ge] Shandong Eye Inst, Shandong Prov Key Lab Ophthalmol, State Key Lab Cultivat Base, Qingdao 266071, Shandong, Peoples R China; [Zheng Zhou] State Ocean Adm, Inst Oceanog 1, Key Lab Marine Bioact Subst, Qingdao 266061, Shandong, Peoples R China</t>
  </si>
  <si>
    <t>Shandong First Medical University &amp; Shandong Academy of Medical Sciences; First Institute of Oceanography, Ministry of Natural Resources</t>
  </si>
  <si>
    <t>Zhao, G (corresponding author), Shandong Eye Inst, Shandong Prov Key Lab Ophthalmol, State Key Lab Cultivat Base, Qingdao 266071, Shandong, Peoples R China.</t>
  </si>
  <si>
    <t>cathyge@163.com</t>
  </si>
  <si>
    <t>Zheng, Zhou/JJD-0602-2023; Zhao, Ge/GYU-4064-2022</t>
  </si>
  <si>
    <t>Zhao, Ge/0000-0002-4789-6946</t>
  </si>
  <si>
    <t>National Natural Scientific Foundation [81000369]; Doctor Foundation of Shandong Province [BS2009SW018]</t>
  </si>
  <si>
    <t>National Natural Scientific Foundation(National Natural Science Foundation of China (NSFC)); Doctor Foundation of Shandong Province</t>
  </si>
  <si>
    <t>This work was partially supported by the National Natural Scientific Foundation (81000369) and the Doctor Foundation of Shandong Province (BS2009SW018).</t>
  </si>
  <si>
    <t>CHINESE CENTER DISEASE CONTROL &amp; PREVENTION</t>
  </si>
  <si>
    <t>155 CHANGBAI RD, CHANGPING DISTRICT, BEIJING, 102206, PEOPLES R CHINA</t>
  </si>
  <si>
    <t>0895-3988</t>
  </si>
  <si>
    <t>BIOMED ENVIRON SCI</t>
  </si>
  <si>
    <t>Biomed. Environ. Sci.</t>
  </si>
  <si>
    <t>10.3967/0895-3988.2012.02.013</t>
  </si>
  <si>
    <t>Environmental Sciences; Public, Environmental &amp; Occupational Health</t>
  </si>
  <si>
    <t>Environmental Sciences &amp; Ecology; Public, Environmental &amp; Occupational Health</t>
  </si>
  <si>
    <t>948IG</t>
  </si>
  <si>
    <t>WOS:000304496200013</t>
  </si>
  <si>
    <t>Gusev, GA</t>
  </si>
  <si>
    <t>Gusev, G. A.</t>
  </si>
  <si>
    <t>On the attenuation of radio Cherenkov radiation from a cascade in a solid medium at ultrahigh energies</t>
  </si>
  <si>
    <t>BULLETIN OF THE LEBEDEV PHYSICS INSTITUTE</t>
  </si>
  <si>
    <t>cascade; cosmic rays; Cherenkov radiation; ultrahigh energies; neutrino; ionization; electron-hole plasma; ice; lunar regolith; radiation shielding by plasma</t>
  </si>
  <si>
    <t>It is shown that the effect of the formation of electron-hole plasma during ionization of a solid mediumby a cascade developing in it can shield charge-excess Cherenkov radiation in the radio range used for detecting particles by radio detectors at energies above 10(20) eV. Such a shielding effect is strong in pure Antarctic ice and is weaker in lunar regolith; hence, the LORD experiment on the detection of cascades from ultrahigh-energy cosmic rays and neutrinos by circumlunar apparatuses retains the possibility of detecting particles to energies of similar to 3 center dot 10(20) eV.</t>
  </si>
  <si>
    <t>Russian Acad Sci, PN Lebedev Phys Inst, Moscow 119991, Russia</t>
  </si>
  <si>
    <t>Russian Academy of Sciences; Russian Academy of Science Lebedev Physical Institute</t>
  </si>
  <si>
    <t>Gusev, GA (corresponding author), Russian Acad Sci, PN Lebedev Phys Inst, Leninskii Pr 53, Moscow 119991, Russia.</t>
  </si>
  <si>
    <t>gusevgag@mail.ru</t>
  </si>
  <si>
    <t>Gusev, German/M-9596-2015</t>
  </si>
  <si>
    <t>Russian Academy of Sciences</t>
  </si>
  <si>
    <t>Russian Academy of Sciences(Russian Academy of Sciences)</t>
  </si>
  <si>
    <t>This study was supported by the program of the Russian Academy of Sciences Physics of Fundamental Interactions and Astrophysics.</t>
  </si>
  <si>
    <t>PLEIADES PUBLISHING INC</t>
  </si>
  <si>
    <t>MOSCOW</t>
  </si>
  <si>
    <t>PLEIADES PUBLISHING INC, MOSCOW, 00000, RUSSIA</t>
  </si>
  <si>
    <t>1068-3356</t>
  </si>
  <si>
    <t>1934-838X</t>
  </si>
  <si>
    <t>B LEBEDEV PHYS INST+</t>
  </si>
  <si>
    <t>Bull. Lebedev Phys. Inst.</t>
  </si>
  <si>
    <t>10.3103/S1068335612040069</t>
  </si>
  <si>
    <t>Physics, Multidisciplinary</t>
  </si>
  <si>
    <t>Physics</t>
  </si>
  <si>
    <t>936HT</t>
  </si>
  <si>
    <t>WOS:000303582200006</t>
  </si>
  <si>
    <t>Ma, YH; Shen, BL; Sun, RL; Zhou, WZ; Zhang, YZ</t>
  </si>
  <si>
    <t>Ma, Yuhong; Shen, Boling; Sun, Ruilian; Zhou, Weizhi; Zhang, Yuzhong</t>
  </si>
  <si>
    <t>Lead(II) biosorption of an Antarctic sea-ice bacterial exopolysaccharide</t>
  </si>
  <si>
    <t>DESALINATION AND WATER TREATMENT</t>
  </si>
  <si>
    <t>Lead(II) biosorption; Isotherms; Kinetics; Antarctic sea-ice bacterium; Salt water; Exopolysaccharide</t>
  </si>
  <si>
    <t>AQUEOUS-SOLUTIONS; ADSORPTION; REMOVAL; KINETICS; PB(II); COPPER; WASTE; IONS; EQUILIBRIUM; DESORPTION</t>
  </si>
  <si>
    <t>Biosorption behavior and mechanism of an exopolysaccharide (EPS) secreted by a psychrotolerant bacterium Pseudoalteromonas sp. Bsi20310 isolated from Antarctic sea-ice, for lead(II) from synthetic wastewater were studied in this paper. Effects of salinity, pH and dosage of Bsi20310 EPS on biosorption characteristics for lead(II) were evaluated by batch biosorption tests. The results indicated that Bsi20310 EPS presented better biosorption performance for lead(II) in salt water than in salt-free water. The equilibrium biosorption isotherms fitted well to both Langmuir and Freundlich isotherm models. Theoretical maximum biosorption capacity of 191.90 mg g(-1) calculated according to Langmuir equation indicated that Bsi20310 EPS had a high biosorption capacity for lead(II). The kinetics of lead(II) biosorption onto Bsi20310 EPS could be better described by pseudo-second-order model than pseudo-first-order both in salt-free water and in salt water. External surface biosorption was the major biosorption mechanism while intraparticle diffusion was not the unitary rate-limiting step for the whole biosorption. Fourier transform infrared spectroscopy (FT-IR) analysis indicated that the functional groups such as -OH, C=O and C-O-C on Bsi20310 EPS may play important roles as biosorption sites in lead(II) biosorption.</t>
  </si>
  <si>
    <t>[Ma, Yuhong; Shen, Boling; Zhou, Weizhi] Shandong Univ, Sch Environm Sci &amp; Engn, Jinan 250100, Peoples R China; [Sun, Ruilian] Shandong Univ, Environm Res Inst, Jinan 250100, Peoples R China; [Zhou, Weizhi; Zhang, Yuzhong] Shandong Univ, State Key Lab Microbial Technol, Jinan 250100, Peoples R China</t>
  </si>
  <si>
    <t>Shandong University; Shandong University; Shandong University</t>
  </si>
  <si>
    <t>Zhou, WZ (corresponding author), Shandong Univ, Sch Environm Sci &amp; Engn, Jinan 250100, Peoples R China.</t>
  </si>
  <si>
    <t>wzzhou@sdu.edu.cn</t>
  </si>
  <si>
    <t>Sun, Ruilian/G-5632-2012</t>
  </si>
  <si>
    <t>National Natural Science Foundation of China [50878120, 51178255]; Shandong Key Scientific and Technological Projects of China [2010G0020606]; Jinan Innovation Projects for Universities [201004041]; Interdisciplinary Foundation of Shandong University [2009JC017]</t>
  </si>
  <si>
    <t>National Natural Science Foundation of China(National Natural Science Foundation of China (NSFC)); Shandong Key Scientific and Technological Projects of China; Jinan Innovation Projects for Universities; Interdisciplinary Foundation of Shandong University</t>
  </si>
  <si>
    <t>The authors are thankful to the supports of National Natural Science Foundation of China (50878120, 51178255), Shandong Key Scientific and Technological Projects of China (2010G0020606), Jinan Innovation Projects for Universities (201004041) and Interdisciplinary Foundation of Shandong University (2009JC017).</t>
  </si>
  <si>
    <t>DESALINATION PUBL</t>
  </si>
  <si>
    <t>HOPKINTON</t>
  </si>
  <si>
    <t>36 WALCOTT VALLEY DRIVE,, HOPKINTON, MA 01748 USA</t>
  </si>
  <si>
    <t>1944-3994</t>
  </si>
  <si>
    <t>1944-3986</t>
  </si>
  <si>
    <t>DESALIN WATER TREAT</t>
  </si>
  <si>
    <t>Desalin. Water Treat.</t>
  </si>
  <si>
    <t>1-3</t>
  </si>
  <si>
    <t>10.5004/dwt.2012.2822</t>
  </si>
  <si>
    <t>Engineering, Chemical; Water Resources</t>
  </si>
  <si>
    <t>Engineering; Water Resources</t>
  </si>
  <si>
    <t>936DJ</t>
  </si>
  <si>
    <t>WOS:000303570800028</t>
  </si>
  <si>
    <t>Tang, MAK; Motoshima, H; Watanabe, K</t>
  </si>
  <si>
    <t>Tang, Md Abul Kashem; Motoshima, Hiroyuki; Watanabe, Keiichi</t>
  </si>
  <si>
    <t>Fluorescence Studies on the Stability, Flexibility and Substrate-Induced Conformational Changes of Acetate Kinases from Psychrophilic and Mesophilic Bacteria</t>
  </si>
  <si>
    <t>PROTEIN JOURNAL</t>
  </si>
  <si>
    <t>Acetate kinase; Conformational flexibility; Conformational stability; Conformational changes; Fluorescence; Quenching</t>
  </si>
  <si>
    <t>METHANOSARCINA-THERMOPHILA; TRYPTOPHAN FLUORESCENCE; ESCHERICHIA-COLI; ACTIVE-SITE; ENZYMES; BINDING; ADAPTATIONS; DNA</t>
  </si>
  <si>
    <t>The acetate kinase from the Antarctic psychrophilic Shewanella sp. AS-11 (SAK) has a significantly higher catalytic efficiency at low temperatures when compared with that from mesophilic Escherichia coli K-12 (EAK). To examine the stability and conformational flexibility of SAK and EAK, steady state intrinsic fluorescence studies were performed. EAK contains only one Trp at a position 46, while SAK contains two Trps at positions 46 and 388. From the fluorescence emission spectra, quenching with acrylamide, Cs+ and I- at different temperatures and denaturation with guanidine-HCl, it was revealed that the SAK bears more flexible and unstable structure than that of EAK. Substrate-induced conformational changes reflect that SAK reached transition state through more conformational changes than EAK. In combination of our thermodynamic studies on the enzymatic reaction and present research findings, it can be concluded that these structural features of SAK may contribute to its high catalytic efficiency at low temperatures.</t>
  </si>
  <si>
    <t>[Tang, Md Abul Kashem; Motoshima, Hiroyuki; Watanabe, Keiichi] Saga Univ, Dept Appl Biochem &amp; Food Sci, Saga 8408502, Japan; [Tang, Md Abul Kashem; Watanabe, Keiichi] Kagoshima Univ, United Grad Sch Agr Sci, Kagoshima 890, Japan</t>
  </si>
  <si>
    <t>Saga University; Kagoshima University</t>
  </si>
  <si>
    <t>Tang, MAK (corresponding author), Saga Univ, Dept Appl Biochem &amp; Food Sci, 1 Honjo Machi, Saga 8408502, Japan.</t>
  </si>
  <si>
    <t>makashemsa@gmail.com; watakei@cc.saga-u.ac.jp</t>
  </si>
  <si>
    <t>Japan Society for the Promotion of Science [15380074]; United Graduate School of Agricultural Sciences, Kagoshima University; Grants-in-Aid for Scientific Research [15380074] Funding Source: KAKEN</t>
  </si>
  <si>
    <t>Japan Society for the Promotion of Science(Ministry of Education, Culture, Sports, Science and Technology, Japan (MEXT)Japan Society for the Promotion of Science); United Graduate School of Agricultural Sciences, Kagoshima University; Grants-in-Aid for Scientific Research(Ministry of Education, Culture, Sports, Science and Technology, Japan (MEXT)Japan Society for the Promotion of ScienceGrants-in-Aid for Scientific Research (KAKENHI))</t>
  </si>
  <si>
    <t>We would like to thank Dr. Masao Tokunaga and Dr. Yukio Nagano for their interest, encouragement, and valuable discussion. This study was supported in part by a Grant-in-Aid for Scientific Research (B) from the Japan Society for the Promotion of Science to KW (15380074) and by Rendai-student Supporting Program of the United Graduate School of Agricultural Sciences, Kagoshima University to AKT.</t>
  </si>
  <si>
    <t>1572-3887</t>
  </si>
  <si>
    <t>PROTEIN J</t>
  </si>
  <si>
    <t>Protein J.</t>
  </si>
  <si>
    <t>10.1007/s10930-012-9408-7</t>
  </si>
  <si>
    <t>934PO</t>
  </si>
  <si>
    <t>WOS:000303456800008</t>
  </si>
  <si>
    <t>Plagányi, ÉE; Butterworth, DS</t>
  </si>
  <si>
    <t>Plaganyi, Eva E.; Butterworth, Doug S.</t>
  </si>
  <si>
    <t>The Scotia Sea krill fishery and its possible impacts on dependent predators: modeling localized depletion of prey</t>
  </si>
  <si>
    <t>ECOLOGICAL APPLICATIONS</t>
  </si>
  <si>
    <t>Antarctic; ecosystem model; krill; localized depletion; multispecies model; operating model; predator-prey; uncertainty</t>
  </si>
  <si>
    <t>MANAGEMENT STRATEGY EVALUATION; FUR SEALS; FOOD; IMPLEMENTATION; AVAILABILITY; ECOSYSTEMS; DYNAMICS; RATES</t>
  </si>
  <si>
    <t>The nature and impact of fishing on predators that share a fished resource is an important consideration in ecosystem-based fisheries management. Krill (Euphausia superba) is a keystone species in the Antarctic, serving as a fundamental forage source for predators and simultaneously being subject to fishing. We developed a spatial multispecies operating model (SMOM) of krill-predator fishery dynamics to help advise on allocation of the total krill catch among 15 small-scale management units (SSMUs) in the Scotia Sea, with a goal to reduce the potential impact of fishing on krill predators. The operating model describes the underlying population dynamics and is used in simulations to compare different management options for adjusting fishing activities (e.g., a different spatial distribution of catches). The numerous uncertainties regarding the choice of parameter values pose a major impediment to constructing reliable ecosystem models. The pragmatic solution proposed here involves the use of operating models that are composed of alternative combinations of parameters that essentially try to bound the uncertainty in, for example, the choice of survival rate estimates as well as the functional relationships between predators and prey. Despite the large uncertainties, it is possible to discriminate the ecosystem impacts of different spatial fishing allocations. The spatial structure of the model is fundamental to addressing concerns of localized depletion of prey in the vicinity of land-based predator breeding colonies. Results of the model have been considered in recent management deliberations for spatial allocations of krill catches in the Scotia Sea and their associated impacts on dependent predator species.</t>
  </si>
  <si>
    <t>[Plaganyi, Eva E.; Butterworth, Doug S.] Univ Cape Town, Dept Math &amp; Appl Math, ZA-7701 Rondebosch, South Africa</t>
  </si>
  <si>
    <t>University of Cape Town</t>
  </si>
  <si>
    <t>Plagányi, ÉE (corresponding author), Marine &amp; Atmospher Res CSIRO, POB 2583, Brisbane, Qld 4001, Australia.</t>
  </si>
  <si>
    <t>Eva.Plaganyi-Lloyd@csiro.au</t>
  </si>
  <si>
    <t>Plaganyi, Eva E/C-5130-2011</t>
  </si>
  <si>
    <t>Plaganyi, Eva E/0000-0002-4740-4200</t>
  </si>
  <si>
    <t>South African National Antarctic Program (SANAP); National Research Foundation (NRF)</t>
  </si>
  <si>
    <t>We are grateful to the South African National Antarctic Program (SANAP) and National Research Foundation (NRF) which provided a research grant to fund this work and E. Plaganyi's attendance at CCAMLR's 2005-2008 WG-EMM and WG-SAM meetings. We thank David Ramm of the CCAMLR Secretariat for providing the data needed. We also thank Mitsuyo Mori, Robin Thomson, Rebecca Rademeyer, George Watters, and members of the CCAMLR working groups on Statistics, Assessments and Modelling, and on Ecosystem Monitoring and Management for their contributions in laying much of the foundation upon which this work is built. Andre Punt and an anonymous reviewer provided helpful comments and suggestions.</t>
  </si>
  <si>
    <t>1051-0761</t>
  </si>
  <si>
    <t>1939-5582</t>
  </si>
  <si>
    <t>ECOL APPL</t>
  </si>
  <si>
    <t>Ecol. Appl.</t>
  </si>
  <si>
    <t>10.1890/11-0441.1</t>
  </si>
  <si>
    <t>Ecology; Environmental Sciences</t>
  </si>
  <si>
    <t>932SY</t>
  </si>
  <si>
    <t>WOS:000303312000002</t>
  </si>
  <si>
    <t>Allard, CA; Grim, JG; Hu, M; Parker, SK; Postlethwait, JH; Detrich, HW</t>
  </si>
  <si>
    <t>Allard, C. A.; Grim, J. G.; Hu, M.; Parker, S. K.; Postlethwait, J. H.; Detrich, H. W., III</t>
  </si>
  <si>
    <t>Exploring the role of hemgn in blood and bone formation using the zebrafish and Antarctic fish models</t>
  </si>
  <si>
    <t>INTEGRATIVE AND COMPARATIVE BIOLOGY</t>
  </si>
  <si>
    <t>Annual Meeting of the Society-for-Integrative-and-Comparative-Biology (SICB)</t>
  </si>
  <si>
    <t>JAN 03-07, 2012</t>
  </si>
  <si>
    <t>Charleston, SC</t>
  </si>
  <si>
    <t>Northeastern Univ, Boston, MA USA; Univ Oregon, Eugene, OR 97403 USA</t>
  </si>
  <si>
    <t>Northeastern University; University of Oregon</t>
  </si>
  <si>
    <t>allard.co@neu.edu</t>
  </si>
  <si>
    <t>OXFORD UNIV PRESS INC</t>
  </si>
  <si>
    <t>CARY</t>
  </si>
  <si>
    <t>JOURNALS DEPT, 2001 EVANS RD, CARY, NC 27513 USA</t>
  </si>
  <si>
    <t>1540-7063</t>
  </si>
  <si>
    <t>INTEGR COMP BIOL</t>
  </si>
  <si>
    <t>Integr. Comp. Biol.</t>
  </si>
  <si>
    <t>E204</t>
  </si>
  <si>
    <t>930TV</t>
  </si>
  <si>
    <t>WOS:000303165001279</t>
  </si>
  <si>
    <t>Cohen, JH</t>
  </si>
  <si>
    <t>Cohen, J. H.</t>
  </si>
  <si>
    <t>Visual ecology of bi-lobed eyes in an Antarctic euphausiid</t>
  </si>
  <si>
    <t>[Cohen, J. H.] Univ Delaware, Newark, DE 19716 USA</t>
  </si>
  <si>
    <t>University of Delaware</t>
  </si>
  <si>
    <t>jhcohen@udel.edu</t>
  </si>
  <si>
    <t>Cohen, Jonathan/GPX-2435-2022</t>
  </si>
  <si>
    <t>E32</t>
  </si>
  <si>
    <t>WOS:000303165000128</t>
  </si>
  <si>
    <t>Enzor, LA; Place, SP</t>
  </si>
  <si>
    <t>Enzor, Laura A.; Place, Sean P.</t>
  </si>
  <si>
    <t>High Latitude Oceans in a High CO2 World: Comparative Analysis of the Metabolic Response of Antarctic Notothenioids to a Multi-Stressor Scenario</t>
  </si>
  <si>
    <t>[Enzor, Laura A.; Place, Sean P.] Univ S Carolina, Columbia, SC 29208 USA</t>
  </si>
  <si>
    <t>University of South Carolina System; University of South Carolina Columbia</t>
  </si>
  <si>
    <t>enzorl@email.sc.edu</t>
  </si>
  <si>
    <t>E241</t>
  </si>
  <si>
    <t>WOS:000303165001427</t>
  </si>
  <si>
    <t>Fields, LG; Devries, AL</t>
  </si>
  <si>
    <t>Fields, L. G.; Devries, A. L.</t>
  </si>
  <si>
    <t>Ecological physiology of the Antarctic Trematomus fishes: effect of temperature and ice on freeze avoidance</t>
  </si>
  <si>
    <t>[Fields, L. G.; Devries, A. L.] Univ Illinois, Urbana, IL 61801 USA</t>
  </si>
  <si>
    <t>University of Illinois System; University of Illinois Urbana-Champaign</t>
  </si>
  <si>
    <t>lgfield2@illinois.edu</t>
  </si>
  <si>
    <t>E57</t>
  </si>
  <si>
    <t>WOS:000303165000227</t>
  </si>
  <si>
    <t>Kanagawa, M; Murphy, DW; Webster, DR; Kawaguchi, S; King, R; Yen, J</t>
  </si>
  <si>
    <t>Kanagawa, M.; Murphy, D. W.; Webster, D. R.; Kawaguchi, S.; King, R.; Yen, J.</t>
  </si>
  <si>
    <t>Swarming to Schooling Transitions in Antarctic Krill Aggregations</t>
  </si>
  <si>
    <t>[Kanagawa, M.; Murphy, D. W.; Webster, D. R.; Kawaguchi, S.; King, R.; Yen, J.] Georgia Inst Technol, Australian Antarctic Div, Atlanta, GA 30332 USA</t>
  </si>
  <si>
    <t>University System of Georgia; Georgia Institute of Technology; Australian Antarctic Division</t>
  </si>
  <si>
    <t>marleenkanagawa@gmail.com</t>
  </si>
  <si>
    <t>E272</t>
  </si>
  <si>
    <t>WOS:000303165001550</t>
  </si>
  <si>
    <t>Kawarasaki, Y; Teets, NM; Kobelkova, A; Denlinger, DL; Lee, RE</t>
  </si>
  <si>
    <t>Kawarasaki, Y.; Teets, N. M.; Kobelkova, A.; Denlinger, D. L.; Lee, R. E.</t>
  </si>
  <si>
    <t>Rapid cold-hardening in the frozen state increases cold tolerance in the Antarctic midge, Belgica antarctica</t>
  </si>
  <si>
    <t>Miami Univ, Oxford, OH 45056 USA; Ohio State Univ, Columbus, OH 43210 USA</t>
  </si>
  <si>
    <t>University System of Ohio; Miami University; University System of Ohio; Ohio State University</t>
  </si>
  <si>
    <t>kawaray@muohio.edu</t>
  </si>
  <si>
    <t>Teets, Nicholas/IQT-5328-2023; Kawarasaki, Yuta/AAD-4032-2019; Teets, Nicholas/H-7386-2013</t>
  </si>
  <si>
    <t>Teets, Nicholas/0000-0003-0963-7457</t>
  </si>
  <si>
    <t>E273</t>
  </si>
  <si>
    <t>WOS:000303165001554</t>
  </si>
  <si>
    <t>Mcclintock, JB; Amsler, MO; Angus, RA; Challener, RC; Schram, JB; Amsler, CD; Mah, CJ; Cuce, JBBJ</t>
  </si>
  <si>
    <t>Mcclintock, J. B.; Amsler, M. O.; Angus, R. A.; Challener, R. C.; Schram, J. B.; Amsler, C. D.; Mah, C. J.; Cuce, J. Baker B. J.</t>
  </si>
  <si>
    <t>The Mg-Calcite levels of Antarctic echinoderms: implications for ocean acidification and further support for a latitudinal gradient in levels of Mg-Calcite</t>
  </si>
  <si>
    <t>Univ Alabama Birmingham, Birmingham, AL USA; Museum Nat Hist, New York, NY USA; Smithsonian Inst, Washington, DC 20560 USA; Univ S Florida, Tampa, FL 33620 USA</t>
  </si>
  <si>
    <t>University of Alabama System; University of Alabama Birmingham; Smithsonian Institution; State University System of Florida; University of South Florida</t>
  </si>
  <si>
    <t>mcclinto@uab.edu</t>
  </si>
  <si>
    <t>E292</t>
  </si>
  <si>
    <t>WOS:000303165002075</t>
  </si>
  <si>
    <t>Schram, JB; Mcclintock, JB; Amsler, CD; Baker, BJ</t>
  </si>
  <si>
    <t>Schram, J. B.; Mcclintock, J. B.; Amsler, C. D.; Baker, B. J.</t>
  </si>
  <si>
    <t>Impacts of elevated seawater temperature on Antarctic amphipod feeding choices for chemically-deterrent macroalgae</t>
  </si>
  <si>
    <t>Univ Alabama Birmingham, Birmingham, AL USA; Univ S Florida, Tampa, FL 33620 USA</t>
  </si>
  <si>
    <t>University of Alabama System; University of Alabama Birmingham; State University System of Florida; University of South Florida</t>
  </si>
  <si>
    <t>jbschram@uab.edu</t>
  </si>
  <si>
    <t>Baker, Bill/N-4312-2019</t>
  </si>
  <si>
    <t>E154</t>
  </si>
  <si>
    <t>WOS:000303165001082</t>
  </si>
  <si>
    <t>Thatje, S</t>
  </si>
  <si>
    <t>Thatje, Sven</t>
  </si>
  <si>
    <t>Dispersal capabilities, barophysiology and the evolution of Antarctic community structure</t>
  </si>
  <si>
    <t>[Thatje, Sven] Univ Southampton, Sch Ocean &amp; Earth Sci, Natl Oceanog Ctr, Southampton SO9 5NH, Hants, England</t>
  </si>
  <si>
    <t>University of Southampton; NERC National Oceanography Centre</t>
  </si>
  <si>
    <t>svth@noc.soton.ac.uk</t>
  </si>
  <si>
    <t>E174</t>
  </si>
  <si>
    <t>WOS:000303165001163</t>
  </si>
  <si>
    <t>Teets, NM; Kawarasaki, Y; Lee, RE; Denlinger, DL</t>
  </si>
  <si>
    <t>Teets, Nicholas M.; Kawarasaki, Yuta; Lee, Richard E., Jr.; Denlinger, David L.</t>
  </si>
  <si>
    <t>Energetic consequences of repeated and prolonged dehydration in the Antarctic midge, Belgica antarctica</t>
  </si>
  <si>
    <t>JOURNAL OF INSECT PHYSIOLOGY</t>
  </si>
  <si>
    <t>Antarctic midge; Repeated dehydration; Energy reserves; Osmoprotectants</t>
  </si>
  <si>
    <t>MOSQUITO CULEX-PIPIENS; DROSOPHILA-MELANOGASTER; DESICCATION RESISTANCE; FREEZING TOLERANCE; STRESS RESISTANCE; COLD-EXPOSURE; HEAT-SHOCK; LARVAE; DIPTERA; MECHANISMS</t>
  </si>
  <si>
    <t>Larvae of the Antarctic midge, Belgica antarctica, routinely face periods of limited water availability in their natural environments on the Antarctic Peninsula. As a result, B. antarctica is one of the most dehydration-tolerant insects studied, surviving up to 70% loss of its body water. While previous studies have characterized the physiological effects of a single bout of dehydration, in nature larvae are likely to experience multiple bouts of dehydration throughout their lifetime. Thus, we examined the physiological consequences of repeated dehydration and compared results to larvae exposed to a single, prolonged period of dehydration. For the repeated dehydration experiment, larvae were exposed to 1-5 cycles of 24 h dehydration at 75% RH followed by 24 h rehydration. Each bout of dehydration resulted in 30-40% loss of body water, with a concomitant 2- to 3-fold increase in body fluid osmolality. While nearly 100% of larvae survived a single bout of dehydration, &lt;65% of larvae survived five such cycles. Larvae subjected to multiple bouts of dehydration also experienced severe depletion of carbohydrate energy reserves; glycogen and trehalose content decreased with each successive cycle, with larvae losing 89% and 48% of their glycogen and trehalose, respectively, after five cycles of dehydration/rehydration. Larvae exposed to prolonged dehydration (99% RH for 10 d) had 26% less water, 43% less glycogen, and 27% less lipid content than controls, but did not experience any mortality. Thus, both repeated and prolonged dehydration results in substantial energetic costs that are likely to negatively impact fitness. (C) 2011 Elsevier Ltd. All rights reserved.</t>
  </si>
  <si>
    <t>[Teets, Nicholas M.; Denlinger, David L.] Ohio State Univ, Dept Entomol, Columbus, OH 43210 USA; [Kawarasaki, Yuta; Lee, Richard E., Jr.] Miami Univ, Dept Zool, Oxford, OH 45056 USA; [Denlinger, David L.] Ohio State Univ, Dept Evolut Ecol &amp; Organismal Biol, Columbus, OH 43210 USA</t>
  </si>
  <si>
    <t>University System of Ohio; Ohio State University; University System of Ohio; Miami University; University System of Ohio; Ohio State University</t>
  </si>
  <si>
    <t>Teets, NM (corresponding author), Ohio State Univ, Dept Entomol, 1735 Neil Ave, Columbus, OH 43210 USA.</t>
  </si>
  <si>
    <t>teets.23@osu.edu</t>
  </si>
  <si>
    <t>Kawarasaki, Yuta/AAD-4032-2019; Teets, Nicholas/IQT-5328-2023; Teets, Nicholas/H-7386-2013</t>
  </si>
  <si>
    <t>NSF [ANT-0837559, ANT-0837613]; Directorate For Geosciences; Office of Polar Programs (OPP) [0837613, 0837559] Funding Source: National Science Foundation</t>
  </si>
  <si>
    <t>NSF(National Science Foundation (NSF)); Directorate For Geosciences; Office of Polar Programs (OPP)(National Science Foundation (NSF)NSF - Directorate for Geosciences (GEO))</t>
  </si>
  <si>
    <t>This work was supported by NSF grants ANT-0837559 and ANT-0837613. We are especially grateful for the hard work and assistance of the Palmer Station support staff during our field season. We also thank Mary Hahn for assistance in collecting data during a pilot study for these experiments. Microscopic images were generated using the instruments and services at the Campus Microscopy and Imaging Facility, The Ohio State University.</t>
  </si>
  <si>
    <t>0022-1910</t>
  </si>
  <si>
    <t>1879-1611</t>
  </si>
  <si>
    <t>J INSECT PHYSIOL</t>
  </si>
  <si>
    <t>J. Insect Physiol.</t>
  </si>
  <si>
    <t>10.1016/j.jinsphys.2011.11.011</t>
  </si>
  <si>
    <t>Entomology; Physiology; Zoology</t>
  </si>
  <si>
    <t>932JD</t>
  </si>
  <si>
    <t>WOS:000303286400010</t>
  </si>
  <si>
    <t>Matrajt, G; Messenger, S; Brownlee, D; Joswiak, D</t>
  </si>
  <si>
    <t>Matrajt, Graciela; Messenger, Scott; Brownlee, Don; Joswiak, Dave</t>
  </si>
  <si>
    <t>Diverse forms of primordial organic matter identified in interplanetary dust particles</t>
  </si>
  <si>
    <t>METEORITICS &amp; PLANETARY SCIENCE</t>
  </si>
  <si>
    <t>MOLECULAR-CLOUD MATERIAL; DEUTERIUM FRACTIONATION; ISOTOPIC COMPOSITION; SOLAR-SYSTEM; CARBON; NITROGEN; ORIGIN; ABUNDANCE; ORGUEIL; EVOLUTION</t>
  </si>
  <si>
    <t>Coordinated in situ transmission electron microscopy and isotopic measurements of carbonaceous phases in interplanetary dust particles were performed to determine their origins. Five different types of carbonaceous materials were identified based on their morphology and texture, observed by transmission electron microscopy: globular, vesicular, dirty, spongy, and smooth. Flash heating experiments were performed to explore whether some of these morphologies are the result of atmospheric entry processes. Each of these morphologies was found to have isotopically anomalous H and N. Rare C isotopic anomalies were also observed. The isotopic and morphological properties of several of these phases, particularly the organic globules, are remarkably similar to those observed in other extraterrestrial materials including carbonaceous chondrites, comet 81P/Wild 2 particles collected by the Stardust spacecraft, and Antarctic micrometeorites, indicating that they were widespread in the early solar system. The ubiquitous nature and the isotopic anomalies of the nanoglobules and some other morphologies strongly suggest that these are very primitive phases. Given that some of the isotopic anomalies (D and 15N excesses) are indicative of mass fractionation chemical reactions in a very cold environment, and some others (13C and 15N depletions) have other origins, these carbonaceous phases come from different reservoirs. Whatever their origins, these materials probably reflect the first stages of the evolution of solar system organic matter, having originated in the outermost regions of the protosolar disk and/or interstellar cold molecular clouds.</t>
  </si>
  <si>
    <t>[Matrajt, Graciela; Brownlee, Don; Joswiak, Dave] Univ Washington, Dept Astron, Seattle, WA 98195 USA; [Messenger, Scott] ARES NASA JSC, Robert M Walker Lab Space Sci, Houston, TX 77573 USA</t>
  </si>
  <si>
    <t>University of Washington; University of Washington Seattle; National Aeronautics &amp; Space Administration (NASA)</t>
  </si>
  <si>
    <t>Matrajt, G (corresponding author), Univ Washington, Dept Astron, Seattle, WA 98195 USA.</t>
  </si>
  <si>
    <t>matrajt@astro.washington.edu</t>
  </si>
  <si>
    <t>Matrajt, Graciela/A-4812-2017</t>
  </si>
  <si>
    <t>NASA [NNX10AI89GS01, NNG06GG00GS05]</t>
  </si>
  <si>
    <t>NASA(National Aeronautics &amp; Space Administration (NASA))</t>
  </si>
  <si>
    <t>The authors wish to thank C. Floss and L. Nittler for their helpful comments and reviews. The IDP samples were provided by the cosmic dust curation facility at NASA Johnson Space Center. The Orgueil residue was kindly provided by the Museum d'Histoire Naturelle in Paris, France. This work was supported by NASA grants NNX10AI89GS01 and NNG06GG00GS05. G. M. wants to thank Nayeli Pages-Matrajt who inspired and supported her work.</t>
  </si>
  <si>
    <t>1086-9379</t>
  </si>
  <si>
    <t>1945-5100</t>
  </si>
  <si>
    <t>METEORIT PLANET SCI</t>
  </si>
  <si>
    <t>Meteorit. Planet. Sci.</t>
  </si>
  <si>
    <t>10.1111/j.1945-5100.2011.01310.x</t>
  </si>
  <si>
    <t>931SW</t>
  </si>
  <si>
    <t>WOS:000303240600003</t>
  </si>
  <si>
    <t>Taylor, S; Matrajt, G; Guan, YB</t>
  </si>
  <si>
    <t>Taylor, Susan; Matrajt, Graciela; Guan, Yunbin</t>
  </si>
  <si>
    <t>Fine-grained precursors dominate the micrometeorite flux</t>
  </si>
  <si>
    <t>STONY COSMIC SPHERULES; DEEP-SEA SPHERULES; ANTARCTIC MICROMETEORITES; ATMOSPHERIC ENTRY; CARBONACEOUS CHONDRITES; ELEMENTAL COMPOSITION; ISOTOPIC COMPOSITIONS; INTERPLANETARY DUST; COMETARY ORIGIN; ACCRETION RATE</t>
  </si>
  <si>
    <t>We optically classified 5682 micrometeorites (MMs) from the 2000 South Pole collection into textural classes, imaged 2458 of these MMs with a scanning electron microscope, and made 200 elemental and eight isotopic measurements on those with unusual textures or relict phases. As textures provide information on both degree of heating and composition of MMs, we developed textural sequences that illustrate how fine-grained, coarse-grained, and single mineral MMs change with increased heating. We used this information to determine the percentage of matrix dominated to mineral dominated precursor materials (precursors) that produced the MMs. We find that at least 75% of the MMs in the collection derived from fine-grained precursors with compositions similar to CI and CM meteorites and consistent with dynamical models that indicate 85% of the mass influx of small particles to Earth comes from Jupiter family comets. A lower limit for ordinary chondrites is estimated at 28% based on MMs that contain Na-bearing plagioclase relicts. Less than 1% of the MMs have achondritic compositions, CAI components, or recognizable chondrules. Single mineral MMs often have magnetite zones around their peripheries. We measured their isotopic compositions to determine if the magnetite zones demarcate the volume affected by atmospheric exchange during entry heating. Because we see little gradient in isotopic composition in the olivines, we conclude that the magnetites are a visual marker that allows us to select and analyze areas not affected by atmospheric exchange. Similar magnetite zones are seen in some olivine and pyroxene relict grains contained within MMs.</t>
  </si>
  <si>
    <t>[Taylor, Susan] USA, Cold Reg Res &amp; Engn Lab, Hanover, NH 03755 USA; [Matrajt, Graciela] Univ Washington, Seattle, WA 98105 USA; [Guan, Yunbin] CALTECH, Pasadena, CA 91125 USA</t>
  </si>
  <si>
    <t>United States Department of Defense; United States Army; U.S. Army Corps of Engineers; U.S. Army Engineer Research &amp; Development Center (ERDC); Cold Regions Research &amp; Engineering Laboratory (CRREL); University of Washington; University of Washington Seattle; California Institute of Technology</t>
  </si>
  <si>
    <t>Taylor, S (corresponding author), USA, Cold Reg Res &amp; Engn Lab, 72 Lyme Rd, Hanover, NH 03755 USA.</t>
  </si>
  <si>
    <t>susan.taylor@usace.army.mil</t>
  </si>
  <si>
    <t>NSF</t>
  </si>
  <si>
    <t>NSF(National Science Foundation (NSF))</t>
  </si>
  <si>
    <t>The authors thank Dave Joswiak and Dr. Hope Ishii for reviewing this article and providing many helpful suggestions. Dr. Gregory Herzog is thanked for the many helpful discussions on this work. We thank NSF (Dr. Julie Palais, program manager) for funding the collection of micrometeorites from the SPWW and NASA (Dr. David Lindstrom, program manager) for funding the analysis of the 2000 collection. The authors also thank Sarah E. Wengert and other Women in Science Project students at Dartmouth College for imaging hundreds of these micrometeorites and Dr. Charles Daghlian for comentoring these students.</t>
  </si>
  <si>
    <t>WILEY-BLACKWELL</t>
  </si>
  <si>
    <t>MALDEN</t>
  </si>
  <si>
    <t>COMMERCE PLACE, 350 MAIN ST, MALDEN 02148, MA USA</t>
  </si>
  <si>
    <t>10.1111/j.1945-5100.2011.01292.x</t>
  </si>
  <si>
    <t>WOS:000303240600004</t>
  </si>
  <si>
    <t>Brasso, RL; Abel, S; Polito, MJ</t>
  </si>
  <si>
    <t>Brasso, Rebecka L.; Abel, Stephanie; Polito, Michael J.</t>
  </si>
  <si>
    <t>Pattern of Mercury Allocation into Egg Components is Independent of Dietary Exposure in Gentoo Penguins</t>
  </si>
  <si>
    <t>ARCHIVES OF ENVIRONMENTAL CONTAMINATION AND TOXICOLOGY</t>
  </si>
  <si>
    <t>PYGOSCELIS-PAPUA; TROPHIC POSITION; LAYING SEQUENCE</t>
  </si>
  <si>
    <t>Avian eggs have become one of the most common means of evaluating mercury contamination in aquatic and marine environments and can serve as reliable indicators of dietary mercury exposure. We investigated patterns of mercury deposition into the major components of penguin eggs (shell, membrane, albumen, and yolk) using the Gentoo penguin (Pygoscelis papua) as a model species. Eggs were collected from both wild and captive populations of Gentoo penguins to compare the allocation of mercury into individual egg components of birds feeding at disparate trophic positions as inferred by stable isotope analysis. Mercury concentrations in captive penguins were an order of magnitude higher than in wild birds, presumably because the former were fed only fish at a higher trophic position relative to wild penguins that fed on a diet of 72-93% krill (Euphausia spp.). Similar to previous studies, we found the majority of total egg mercury sequestered in the albumen (92%) followed by the yolk (6.7%) with the lowest amounts in the shell (0.9%) and membrane (0.4%). Regardless of dietary exposure, mercury concentrations in yolk and membrane, and to a lesser degree shell, increased with increasing albumen mercury (used as a proxy for whole-egg mercury), indicating that any component, in the absence of others, may be suitable for monitoring changes in dietary mercury. Because accessibility of egg tissues in the wild varies, the establishment of consistent relationships among egg components will facilitate comparisons with any other study using eggs to assess dietary exposure to mercury.</t>
  </si>
  <si>
    <t>[Brasso, Rebecka L.; Polito, Michael J.] Univ N Carolina, Wilmington, NC 28401 USA; [Abel, Stephanie] Henry Doorly Zoo, Omaha, NE USA</t>
  </si>
  <si>
    <t>University of North Carolina; University of North Carolina Wilmington</t>
  </si>
  <si>
    <t>Brasso, RL (corresponding author), Univ N Carolina, Wilmington, NC 28401 USA.</t>
  </si>
  <si>
    <t>rlb1196@uncw.edu</t>
  </si>
  <si>
    <t>Brasso, Rebecka L/I-7014-2013; Polito, Michael/G-9118-2012</t>
  </si>
  <si>
    <t>Polito, Michael/0000-0001-8639-4431</t>
  </si>
  <si>
    <t>United States National Science Foundation Office of Polar Programs [ANT 0739575]; Directorate For Geosciences; Office of Polar Programs (OPP) [0739575] Funding Source: National Science Foundation</t>
  </si>
  <si>
    <t>United States National Science Foundation Office of Polar Programs(National Science Foundation (NSF)); Directorate For Geosciences; Office of Polar Programs (OPP)(National Science Foundation (NSF)NSF - Directorate for Geosciences (GEO))</t>
  </si>
  <si>
    <t>Funding for this research was provided by a United States National Science Foundation Office of Polar Programs grant (Grant No. ANT 0739575) awarded to S. Emslie. S. Abel, K. Vires, J. Beck, K. McGrath, T. Solberg, D. Rivard, and the staff of the Scott Kingdoms of the Seas Aquarium at Omaha's Henry Doorly Zoo provided assistance with this study. We thank the National Oceanic and Atmospheric Administration's United States Antarctic Marine Living Resources Program, M. Goebel, and C. Jones for access to wild fish and krill samples. Thank you to R. Naveen, H. Lynch, M. Rider, Oceanites Inc., Raytheon Polar Services, and Linblad Expeditions for invaluable logistical support in Antarctica. D. Cristol graciously provided use of the direct mercury analyzer at The College of William and Mary as well as laboratory assistance from C. Ramos and M. Whitney. This project was completed in accordance with an approved Animal Care and Use protocol and Antarctic Conservation Act permit provided by Omaha's Henry Doorly Zoo (HDZ No. 07-800) and NSF OPP (ACA 2006-001).</t>
  </si>
  <si>
    <t>0090-4341</t>
  </si>
  <si>
    <t>1432-0703</t>
  </si>
  <si>
    <t>ARCH ENVIRON CON TOX</t>
  </si>
  <si>
    <t>Arch. Environ. Contam. Toxicol.</t>
  </si>
  <si>
    <t>10.1007/s00244-011-9714-7</t>
  </si>
  <si>
    <t>926CR</t>
  </si>
  <si>
    <t>WOS:000302809400013</t>
  </si>
  <si>
    <t>Barnett, A; Braccini, JM; Awruch, CA; Ebert, DA</t>
  </si>
  <si>
    <t>Barnett, A.; Braccini, J. M.; Awruch, C. A.; Ebert, D. A.</t>
  </si>
  <si>
    <t>An overview on the role of Hexanchiformes in marine ecosystems: biology, ecology and conservation status of a primitive order of modern sharks</t>
  </si>
  <si>
    <t>JOURNAL OF FISH BIOLOGY</t>
  </si>
  <si>
    <t>apex predator; Chlamydoselachus; Heptranchias; Hexanchus; Notorynchus; shark fishery</t>
  </si>
  <si>
    <t>BLUNTNOSE SIXGILL SHARKS; HEXANCHUS-GRISEUS BONNATERRE; NOTORYNCHUS-CEPEDIANUS PERON; TEMPERATE COASTAL WATERS; PACIFIC SLEEPER SHARK; NEW-SOUTH-WALES; SEVENGILL SHARK; CHLAMYDOSELACHUS-ANGUINEUS; APEX PREDATOR; REPRODUCTIVE-BIOLOGY</t>
  </si>
  <si>
    <t>The large size, high trophic level and wide distribution of Hexanchiformes (cow and frilled sharks) should position this order as important apex predators in coastal and deep-water ecosystems. This review synthesizes available information on Hexanchiformes, including information not yet published, with the purpose of evaluating their conservation status and assessing their ecological roles in the dynamics of marine ecosystems. Comprising six species, this group has a wide global distribution, with members occurring from shallow coastal areas to depths of c. 2500 m. The limited information available on their reproductive biology suggests that they could be vulnerable to overexploitation (e.g. small litter sizes for most species and suspected long gestation periods). Most of the fishing pressure exerted on Hexanchiformes is in the form of commercial by-catch or recreational fishing. Comprehensive stock and impact assessments are unavailable for most species in most regions due to limited information on life history and catch and abundance time series. When hexanchiform species have been commercially harvested, however, they have been unable to sustain targeted fisheries for long periods. The potentially high vulnerability to intense fishing pressure warrants a conservative exploitation of this order until thorough quantitative assessments are conducted. At least some species have been shown to be significant apex predators in the systems they inhabit. Should Hexanchiformes be removed from coastal and deep-water systems, the lack of sympatric shark species that share the same resources suggests no other species would be capable of fulfilling their apex predator role in the short term. This has potential ecosystem consequences such as meso-predator release or trophic cascades. This review proposes some hypotheses on the ecology of Hexanchiformes and their role in ecosystem dynamics, highlighting the areas where critical information is required to stimulate research directions.</t>
  </si>
  <si>
    <t>[Barnett, A.] Univ Tasmania, Fisheries Aquaculture &amp; Coasts Ctr, Inst Marine &amp; Antarctic Studies Tasmania, Private Bag 49, Hobart, Tas 7001, Australia; [Braccini, J. M.] Ecosci Precinct, Queensland Dept Employment Econ Dev &amp; Innovat, Brisbane, Qld 4001, Australia; [Awruch, C. A.] Univ Tasmania, Sch Zool, Hobart, Tas 7001, Australia; [Awruch, C. A.] Consejo Nacl Invest Cient &amp; Tecn, Ctr Nacl Patagon, RA-9120 Puerto Madryn, Chubut, Argentina; [Ebert, D. A.] Moss Landing Marine Labs, Pacific Shark Res Ctr, Moss Landing, CA 95039 USA; [Ebert, D. A.] S African Inst Aquat Biodivers, ZA-6140 Grahamstown, South Africa</t>
  </si>
  <si>
    <t>University of Tasmania; University of Tasmania; Consejo Nacional de Investigaciones Cientificas y Tecnicas (CONICET); Centro Nacional Patagonico (CENPAT); Moss Landing Marine Laboratories; National Research Foundation - South Africa; South African Institute for Aquatic Biodiversity</t>
  </si>
  <si>
    <t>Barnett, A (corresponding author), Univ Tasmania, Fisheries Aquaculture &amp; Coasts Ctr, Inst Marine &amp; Antarctic Studies Tasmania, Private Bag 49, Hobart, Tas 7001, Australia.</t>
  </si>
  <si>
    <t>adam.barnett@utas.edu.au</t>
  </si>
  <si>
    <t>, Adam/0000-0001-7430-8428</t>
  </si>
  <si>
    <t>David and Lucile Packard Foundation</t>
  </si>
  <si>
    <t>David and Lucile Packard Foundation(The David &amp; Lucile Packard Foundation)</t>
  </si>
  <si>
    <t>We are very grateful to C. Da Silva, D. Lowry, T. Walker and S. Weekes for providing reports and very valuable comments on the current state of management of Hexanchiformes. A.B. would like to thank the Save Our Seas Foundation, the Winifred Violet Scott Foundation, the Holsworth Wildlife Research Endowment and the Australian Animal Tagging and Monitoring System (AATAMS). D.A.E. would like to thank the David and Lucile Packard Foundation for their support.</t>
  </si>
  <si>
    <t>0022-1112</t>
  </si>
  <si>
    <t>1095-8649</t>
  </si>
  <si>
    <t>J FISH BIOL</t>
  </si>
  <si>
    <t>J. Fish Biol.</t>
  </si>
  <si>
    <t>10.1111/j.1095-8649.2012.03242.x</t>
  </si>
  <si>
    <t>Fisheries; Marine &amp; Freshwater Biology</t>
  </si>
  <si>
    <t>924WU</t>
  </si>
  <si>
    <t>WOS:000302722800005</t>
  </si>
  <si>
    <t>Arkhipkin, A; Brickle, P; Laptikhovsky, V; Pompert, J; Winter, A</t>
  </si>
  <si>
    <t>Arkhipkin, A.; Brickle, P.; Laptikhovsky, V.; Pompert, J.; Winter, A.</t>
  </si>
  <si>
    <t>Skate assemblage on the eastern Patagonian Shelf and Slope: structure, diversity and abundance</t>
  </si>
  <si>
    <t>Bathyraja; biodiversity; migrations; south-west Atlantic Ocean</t>
  </si>
  <si>
    <t>The eastern Patagonian Shelf and continental slope of the south-west Atlantic Ocean support a high biodiversity and abundance of skates. In this study, meso-scale differences in the assemblages, spatial and seasonal distributions of skates are revealed among six habitat zones of the eastern Patagonian Shelf characterized by distinctive oceanographic conditions. Most skates belonged to temperate fauna, and their abundance was much greater in habitats occupied by temperate waters (north-western outer shelf) or mixed waters (northern slope) than in habitats occupied by sub-Antarctic waters (SASW) (south-eastern outer shelf and southern slope). Sub-Antarctic skates were not abundant on the shelf even in habitats occupied by SASW, occurring mainly in deep areas of the lower continental slope. The majority of temperate skates migrated seasonally, shifting northward in winter and spreading southward with warming waters in summer. Most temperate species had two peaks in female maturity (mainly spring and autumn) and spawned in the same habitats where they fed. It is hypothesized that the high biodiversity and abundance of skates on the Patagonian Shelf and Slope are due to the practical absence of their natural competitors, flatfishes, which occupy similar eco-niches elsewhere. (C) 2012 The Authors Journal of Fish Biology (C) 2012 The Fisheries Society of the British Isles</t>
  </si>
  <si>
    <t>[Arkhipkin, A.; Brickle, P.; Laptikhovsky, V.; Pompert, J.; Winter, A.] Directorate Nat Resources, Dept Fisheries, Stanley FIQQ 1ZZ, Falkland Island, England</t>
  </si>
  <si>
    <t>Arkhipkin, A (corresponding author), Directorate Nat Resources, Dept Fisheries, POB 598, Stanley FIQQ 1ZZ, Falkland Island, England.</t>
  </si>
  <si>
    <t>aarkhipkin@fisheries.gov.fk</t>
  </si>
  <si>
    <t>Brickle, Paul/0000-0002-9870-3518</t>
  </si>
  <si>
    <t>10.1111/j.1095-8649.2012.03260.x</t>
  </si>
  <si>
    <t>WOS:000302722800039</t>
  </si>
  <si>
    <t>Tarakanov, RY</t>
  </si>
  <si>
    <t>Tarakanov, R. Yu</t>
  </si>
  <si>
    <t>The Scotia Sea and the Drake Passage as an orographic barrier for the Antarctic Circumpolar Current</t>
  </si>
  <si>
    <t>BOTTOM WATER; SOUTHERN-OCEAN; DEEP WATERS; MASSES; FRONT; PART</t>
  </si>
  <si>
    <t>It is shown on the basis of the data of the Russian Academy of Sciences expeditions in 2003-2010, the historical CTD database, the WOCE climatology, and the satellite altimetry that the area of the Scotia Sea and the Drake Passage is even a greater significant orographic barrier for the eastward Antarctic Circumpolar Current (ACC) than was previously thought. It is the current concept that this barrier is the most important for the ACC; it consists of three obstacles: the Hero Ridge with the Phoenix Rift, the Shackleton Ridge, and the North Scotia Ridge with the relatively shallow eastern part of the Scotia Sea. Despite the fact that all three obstacles are permeable for the layer of the Circumpolar Bottom Water (CBW; 28.16 &lt; gamma (n) &lt; 28.26) being considered the lower part of the circumpolar water, the circulation in this layer throughout the Scotia Sea and the Drake Passage quite substantially differs from the transfer by the surface-intensified ACC jets. Herewith, the upper CBW boundary is the lower limit of the circumpolar coverage of the ACC jets. This result is confirmed by the near zero estimate of the total CBW transport according to the three series of the LADCP measurements on the sections across the Drake Passage. It is shown that the transformation (cooling and freshening) of the CBW layer, which occurs owing to the flow of the ACC over the Shackleton Ridge, is associated with the shape and location of the ridge in the Drake Passage. The high southern part of this ridge is a partially permeable screen for the eastward CBW transport behind which the colder and fresher waters of the Weddell Sea and the Bransfield Strait of the same density range as the CBW penetrate into the ACC zone. The partial permeability of the Shackleton Ridge for the CBW layer leads to the salinization of this layer on the eastern side of the ridge and to the CBW's freshening on the western side of this ridge, which is observed across the entire Drake Passage.</t>
  </si>
  <si>
    <t>Russian Acad Sci, Shirshov Inst Oceanol, Moscow, Russia</t>
  </si>
  <si>
    <t>Tarakanov, RY (corresponding author), Russian Acad Sci, Shirshov Inst Oceanol, Moscow, Russia.</t>
  </si>
  <si>
    <t>rtarakanov@gmail.com</t>
  </si>
  <si>
    <t>Tarakanov, Roman/R-3325-2016</t>
  </si>
  <si>
    <t>Tarakanov, Roman/0000-0002-8711-1859</t>
  </si>
  <si>
    <t>Russian Foundation for the Basic Research [09-05-00242a, 09-05-00802a]; Presidium RAS [21]</t>
  </si>
  <si>
    <t>Russian Foundation for the Basic Research(Russian Foundation for Basic Research (RFBR)); Presidium RAS(Russian Academy of Sciences)</t>
  </si>
  <si>
    <t>This work was supported by the Russian Foundation for the Basic Research, project no. 09-05-00242a, 09-05-00802a and by the Program no. 21 of fundamental research of Presidium RAS. The expeditions of 2003, 2005, 2007, 2008, and 2010 were conducted in the framework of the interdepartmental project Meridian-Plus.</t>
  </si>
  <si>
    <t>10.1134/S0001437012010195</t>
  </si>
  <si>
    <t>926DU</t>
  </si>
  <si>
    <t>WOS:000302812300002</t>
  </si>
  <si>
    <t>Bi, HB; Li, SS</t>
  </si>
  <si>
    <t>Bi Hai-bo; Li Shuang-shuang</t>
  </si>
  <si>
    <t>Temporal Mixture Analysis Application in Monitoring the Antarctic Sea Ice Concentration Variability</t>
  </si>
  <si>
    <t>SPECTROSCOPY AND SPECTRAL ANALYSIS</t>
  </si>
  <si>
    <t>Chinese</t>
  </si>
  <si>
    <t>Sea ice concentration; Antarctic; TMA; AMSR-E; SMACC; Passive microwave remote sensing</t>
  </si>
  <si>
    <t>GREENLAND SEA</t>
  </si>
  <si>
    <t>Temporal mixture analysis (TMA) is deduced from spectral mixture analysis (SMA). They are algebraically identical except for that TMA is applied to temporal spectra and thus can extract the temporal characteristics of features. The ice concentration is diverse across the Antarctic sea through different periods, and TMA has a great potential to obtain this variability as an environmental normal. In the present study, sea ice concentration data remotely sensed by AMSR-E from 2003 to 2010 were used and seven typical endmembers were captured, standing for temporally different sea ice classification. TMA can also be utilized in change analysis of Antarctic sea ice concentration for its capability to record the spatial distribution of temporal characteristics, allowing further study of regional or global climatic variations. In short, TMA supplies a new method for researchers to investigate the spatial and temporal variability of polar sea ice.</t>
  </si>
  <si>
    <t>[Li Shuang-shuang] Remin Univ China, Sch Informat, Beijing 100872, Peoples R China; [Bi Hai-bo] Chinese Acad Sci, Grad Univ, Beijing 100049, Peoples R China; [Bi Hai-bo] Chinese Acad Sci, Inst Remote Sensing Applicat, Beijing 100101, Peoples R China</t>
  </si>
  <si>
    <t>Renmin University of China; Chinese Academy of Sciences; University of Chinese Academy of Sciences, CAS; Chinese Academy of Sciences</t>
  </si>
  <si>
    <t>Li, SS (corresponding author), Remin Univ China, Sch Informat, Beijing 100872, Peoples R China.</t>
  </si>
  <si>
    <t>gis0301000501@163.com; sara.lee317@gmail.com</t>
  </si>
  <si>
    <t>OFFICE SPECTROSCOPY &amp; SPECTRAL ANALYSIS</t>
  </si>
  <si>
    <t>NO 76 COLLAGE SOUTH RD BEIJING, BEIJING 100081, PEOPLES R CHINA</t>
  </si>
  <si>
    <t>1000-0593</t>
  </si>
  <si>
    <t>SPECTROSC SPECT ANAL</t>
  </si>
  <si>
    <t>Spectrosc. Spectr. Anal.</t>
  </si>
  <si>
    <t>10.3964/j.issn.1000-0593(2012)04-1032-06</t>
  </si>
  <si>
    <t>Spectroscopy</t>
  </si>
  <si>
    <t>921AI</t>
  </si>
  <si>
    <t>WOS:000302450000039</t>
  </si>
  <si>
    <t>Fox-Hughes, P</t>
  </si>
  <si>
    <t>Fox-Hughes, Paul</t>
  </si>
  <si>
    <t>Springtime Fire Weather in Tasmania, Australia: Two Case Studies</t>
  </si>
  <si>
    <t>WEATHER AND FORECASTING</t>
  </si>
  <si>
    <t>SOUTHERN AUSTRALIA; CLIMATOLOGY; WILDFIRE; METEOROLOGY; SYSTEM; SCALE</t>
  </si>
  <si>
    <t>A number of severe springtime fire weather events have occurred in Tasmania, Australia, in recent years. Two such events are examined here in some detail, in an attempt to understand the mechanisms involved in the events. Both events exhibit strong winds and very low surface dewpoint temperatures. Associated 850-hPa wind-dewpoint depression conditions are extreme in both cases, and evaluation of these quantities against a scale of past occurrences may provide a useful early indicator of future severe events. Both events also feature the advection of air from drought-affected continental Australia ahead of cold fronts. This air reaches the surface in the lee of Tasmanian topography by the action of the foehn effect. In one event, there is good evidence of an intrusion of stratospheric, high potential vorticity (PV), air, supplementing the above mechanism and causing an additional peak in airmass dryness and wind speed.</t>
  </si>
  <si>
    <t>[Fox-Hughes, Paul] Univ Tasmania, Bur Meteorol, Hobart, Tas 7000, Australia; [Fox-Hughes, Paul] Univ Tasmania, Inst Marine &amp; Antarctic Studies, Hobart, Tas 7000, Australia; [Fox-Hughes, Paul] Bushfire Cooperat Res Ctr, Melbourne, Vic, Australia</t>
  </si>
  <si>
    <t>Bureau of Meteorology - Australia; University of Tasmania; University of Tasmania; Bushfire &amp; Natural Hazards CRC</t>
  </si>
  <si>
    <t>Fox-Hughes, P (corresponding author), Univ Tasmania, Bur Meteorol, 111 Macquaries St, Hobart, Tas 7000, Australia.</t>
  </si>
  <si>
    <t>p.fox-hughes@bom.gov.au</t>
  </si>
  <si>
    <t>Fox-Hughes, Paul/G-8731-2013</t>
  </si>
  <si>
    <t>Fox-Hughes, Paul/0000-0002-0083-9928</t>
  </si>
  <si>
    <t>0882-8156</t>
  </si>
  <si>
    <t>1520-0434</t>
  </si>
  <si>
    <t>WEATHER FORECAST</t>
  </si>
  <si>
    <t>Weather Forecast.</t>
  </si>
  <si>
    <t>10.1175/WAF-D-11-00020.1</t>
  </si>
  <si>
    <t>928GF</t>
  </si>
  <si>
    <t>WOS:000302970500008</t>
  </si>
  <si>
    <t>Belosi, F; Contini, D; Donateo, A; Santachiara, G; Prodi, F</t>
  </si>
  <si>
    <t>Belosi, F.; Contini, D.; Donateo, A.; Santachiara, G.; Prodi, F.</t>
  </si>
  <si>
    <t>Aerosol size distribution at Nansen Ice Sheet Antarctica</t>
  </si>
  <si>
    <t>ATMOSPHERIC RESEARCH</t>
  </si>
  <si>
    <t>Size distribution; Nucleation; Deliquescence; Growth factor</t>
  </si>
  <si>
    <t>BOUNDARY-LAYER AEROSOL; PHYSICAL-PROPERTIES; CHEMICAL-COMPOSITION; MARINE AEROSOLS; SOUTH-POLE; PARTICLES; STATION; SUMMER; SULFUR; MAWSON</t>
  </si>
  <si>
    <t>During austral summer 2006, in the framework of the XXII Italian Antarctic expedition of PNRA (Italian National Program for Research in Antarctica), aerosol particle number size distribution measurements were performed in the 10-500 range nm over the Nansen Ice Sheet glacier (NIS, 74 degrees 30' S. 163 degrees 27' E; 85 m a.s.l), a permanently iced branch of the Ross Sea. Observed total particle number concentrations varied between 169 and 1385 cm(-3). A monomodal number size distribution, peaking at about 70 nm with no variation during the day, was observed for continental air mass, high wind speed and low relative humidity. Trimodal number size distributions were also observed, in agreement with measurements performed at Aboa station, which is located on the opposite side of the Antarctic continent to the NIS. In this case new particle formation, with subsequent particle growth up to about 30 nm, was observed even if not associated with maritime air masses. (C) 2011 Elsevier B.V. All rights reserved.</t>
  </si>
  <si>
    <t>[Belosi, F.; Santachiara, G.; Prodi, F.] ISAC CNR, Ist Sci Atmosfera &amp; Clima, I-40129 Bologna, Italy; [Contini, D.; Donateo, A.] ISAC CNR, Ist Sci Atmosfera &amp; Clima, I-73100 Lecce, Italy</t>
  </si>
  <si>
    <t>Consiglio Nazionale delle Ricerche (CNR); Istituto di Scienze dell'Atmosfera e del Clima (ISAC-CNR); Consiglio Nazionale delle Ricerche (CNR); Istituto di Scienze dell'Atmosfera e del Clima (ISAC-CNR)</t>
  </si>
  <si>
    <t>Santachiara, G (corresponding author), ISAC CNR, Ist Sci Atmosfera &amp; Clima, Via Gobetti, I-40129 Bologna, Italy.</t>
  </si>
  <si>
    <t>g.santachiara@isac.cnr.it</t>
  </si>
  <si>
    <t>belosi, franco/C-7580-2015; Donateo, Antonio/F-3621-2010; Contini, Daniele/N-7070-2014</t>
  </si>
  <si>
    <t>belosi, franco/0000-0003-0089-1299; Donateo, Antonio/0000-0002-9214-1067; Contini, Daniele/0000-0003-4454-0642</t>
  </si>
  <si>
    <t>360 PARK AVE SOUTH, NEW YORK, NY 10010-1710 USA</t>
  </si>
  <si>
    <t>0169-8095</t>
  </si>
  <si>
    <t>1873-2895</t>
  </si>
  <si>
    <t>ATMOS RES</t>
  </si>
  <si>
    <t>Atmos. Res.</t>
  </si>
  <si>
    <t>10.1016/j.atmosres.2011.12.007</t>
  </si>
  <si>
    <t>921VZ</t>
  </si>
  <si>
    <t>WOS:000302507500005</t>
  </si>
  <si>
    <t>Yang, YD; Hwang, C; Hsu, HJ; E, DC; Wang, HH</t>
  </si>
  <si>
    <t>Yang, Yuande; Hwang, Cheinway; Hsu, Hung-Jui; E, Dongchen; Wang, Haihong</t>
  </si>
  <si>
    <t>A subwaveform threshold retracker for ERS-1 altimetry: A case study in the Antarctic Ocean</t>
  </si>
  <si>
    <t>COMPUTERS &amp; GEOSCIENCES</t>
  </si>
  <si>
    <t>Altimeter; Antarctic Ocean; Gravity anomaly; Retracker; Sea surface height; Subwaveform</t>
  </si>
  <si>
    <t>GRAVITY-ANOMALIES; SURFACE; ALGORITHM; SEA</t>
  </si>
  <si>
    <t>Based on a correlation analysis method, a subwaveform threshold retracker is developed and coded in FORTRAN for satellite altimetry to determine the leading edge and retracking gate, and to improve the precision of sea surface heights (SSHs) and gravity anomalies (GAs). Using ERS-1/ERM waveforms, the subwaveform threshold retracker outperforms full-waveform threshold retrackers at the tide gage Port Station. A direct comparison between retracked SSHs and in situ SSHs is made at tide gage Port Station. Here the subwaveform retracking improves SSH precision from 0.241 to 0.193 m, yielding an improvement percentage (IMP) of 20%. Using ERS-1/GM waveforms, the subwaveform threshold retracker outperforms the Beta-5 and full-waveform threshold retrackers over the Bellingshausen and Amundsen Seas (BAS) in the Antarctic Ocean. The standard deviations of raw and retracked SSHs are 0.157 and 0.070 and 1.836 and 0.220 m over the ice-free and ice-covered oceans, corresponding to IMPs of 54.4% and 88%, respectively. Use of retracking improves the precision of GAs by up to 46.6% when comparing altimeter-derived and shipborne GAs. (C) 2011 Elsevier Ltd. All rights reserved.</t>
  </si>
  <si>
    <t>[Yang, Yuande; Hwang, Cheinway; Hsu, Hung-Jui] Natl Chiao Tung Univ, Dept Civil Engn, Hsinchu, Taiwan; [Yang, Yuande; E, Dongchen] Wuhan Univ, Chinese Antarct Ctr Surveying &amp; Mapping, Wuhan 430079, Peoples R China; [Wang, Haihong] Wuhan Univ, Sch Geodesy &amp; Geomat, Wuhan 430079, Peoples R China</t>
  </si>
  <si>
    <t>National Yang Ming Chiao Tung University; Wuhan University; Wuhan University</t>
  </si>
  <si>
    <t>Hwang, C (corresponding author), Natl Chiao Tung Univ, Dept Civil Engn, 1001 Ta Hsueh Rd, Hsinchu, Taiwan.</t>
  </si>
  <si>
    <t>cheinway@mail.nctu.edu.tw</t>
  </si>
  <si>
    <t>Wang, Haihong/ABF-5340-2021</t>
  </si>
  <si>
    <t>Wang, Haihong/0000-0002-0106-8360</t>
  </si>
  <si>
    <t>National Science Council of ROC [97-2221-E-009-130-MY3]</t>
  </si>
  <si>
    <t>National Science Council of ROC(Ministry of Science and Technology, Taiwan)</t>
  </si>
  <si>
    <t>The European Space Agency generously provided the raw ERS-1 waveform data through their distributor Infoterra Limited. Shipborne gravity data were provided by NGDC. Tide gage data were provided by UHSLC. This study is supported partially by the National Science Council of ROC, Grant 97-2221-E-009-130-MY3.</t>
  </si>
  <si>
    <t>0098-3004</t>
  </si>
  <si>
    <t>1873-7803</t>
  </si>
  <si>
    <t>COMPUT GEOSCI-UK</t>
  </si>
  <si>
    <t>Comput. Geosci.</t>
  </si>
  <si>
    <t>10.1016/j.cageo.2011.08.017</t>
  </si>
  <si>
    <t>Computer Science, Interdisciplinary Applications; Geosciences, Multidisciplinary</t>
  </si>
  <si>
    <t>Computer Science; Geology</t>
  </si>
  <si>
    <t>922CK</t>
  </si>
  <si>
    <t>WOS:000302524200010</t>
  </si>
  <si>
    <t>Bernard, KS; Steinberg, DK; Schofield, OME</t>
  </si>
  <si>
    <t>Bernard, Kim S.; Steinberg, Deborah K.; Schofield, Oscar M. E.</t>
  </si>
  <si>
    <t>Summertime grazing impact of the dominant macrozooplankton off the Western Antarctic Peninsula</t>
  </si>
  <si>
    <t>Macrozooplankton; Grazing; Western Antarctic Peninsula; Krill; Salps; Pteropods</t>
  </si>
  <si>
    <t>KRILL EUPHAUSIA-SUPERBA; TUNICATE SALPA-THOMPSONI; MARGINAL ICE-ZONE; SOUTHERN-OCEAN; ATLANTIC SECTOR; LAZAREV SEA; CLIMATE-CHANGE; SPATIOTEMPORAL VARIABILITY; COPEPOD INTERACTIONS; PHYTOPLANKTON BLOOM</t>
  </si>
  <si>
    <t>The Western Antarctic Peninsula (WAP) is a region of rapid climate change that is altering plankton community structure. To investigate how these changes may impact carbon and energy transfer in the pelagic food web, grazing rates of the five dominant macrozooplankton species (euphausiids Euphausia superba, Euphausia crystallorophias, and Thysanoessa macrura; the pteropod Limacina helicina, and the salp Salpa thompsoni) in the WAP were measured in January 2009 and 2010 as part of the Palmer Antarctica Long-Term Ecological Research (LTER) study. Measurements were made across the coastal-shelf-offshore and north south gradients of the LTER survey grid. Highest grazing rates occurred offshore in both years, and in the south during 2009 and north during 2010, all associated with the presence of large localized salp blooms. During both years, E. superba was the major grazer at the coast, while S. thompsoni dominated grazing offshore. L. helicina was an important grazer throughout the study area during both years, but especially so over the shelf during 2009. During 2009, there was little difference in the relative importance of the rnacrozooplankton grazers along the north south gradient. The presence of a salp bloom in the north during 2010, though, resulted in a distinct shift in the relative importance of major grazers from the euphausiids and L. helicina in the south to salps in the north. Grazing impact was low in coastal waters ( &lt;= 0.3% of phytoplankton standing stock and &lt;= 0.6% of primary productivity). In contrast, in the offshore waters, where salp blooms were observed, grazing impacts of up to 30% of standing stock and 169% of primary productivity were recorded. If S. thompsoni and L helicina continue to expand their ranges and increase in abundance, the associated shift in the food web dynamics of the WAP will alter the regional flow of carbon through the WAP food webs and the export of carbon to depth. (c) 2012 Elsevier Ltd. All rights reserved.</t>
  </si>
  <si>
    <t>[Bernard, Kim S.; Steinberg, Deborah K.] Virginia Inst Marine Sci, Gloucester Pt, VA 23062 USA; [Schofield, Oscar M. E.] Rutgers State Univ, Inst Marine &amp; Coastal Sci, New Brunswick, NJ 08901 USA</t>
  </si>
  <si>
    <t>William &amp; Mary; Virginia Institute of Marine Science; Rutgers University System; Rutgers University New Brunswick</t>
  </si>
  <si>
    <t>Bernard, KS (corresponding author), Virginia Inst Marine Sci, Gloucester Pt, VA 23062 USA.</t>
  </si>
  <si>
    <t>kimb@vims.edu</t>
  </si>
  <si>
    <t>Bernard, Kim S/J-2703-2013; Schofield, Oscar/H-4169-2018</t>
  </si>
  <si>
    <t>Steinberg, Deborah K./0000-0001-9884-4655; Schofield, Oscar/0000-0003-2359-4131</t>
  </si>
  <si>
    <t>National Science Foundation [OPP 08-23101]; Office of Polar Programs (OPP); Directorate For Geosciences [0823101] Funding Source: National Science Foundation</t>
  </si>
  <si>
    <t>National Science Foundation(National Science Foundation (NSF)); Office of Polar Programs (OPP); Directorate For Geosciences(National Science Foundation (NSF)NSF - Directorate for Geosciences (GEO))</t>
  </si>
  <si>
    <t>This research was supported by the National Science Foundation, Office of Polar Programs (OPP 08-23101), for the Palmer Long-Term Ecological Research project. We thank the many students, technicians, and scientists who assisted in data collection at sea. Special thanks go to J. Cope (for managing the zooplankton tow data); K. Ruck (for processing the CHN samples); and G. Saba (for processing the HPLC data for phytoplankton community structure). G. Saba used CHEMTAX software, provided by Simon Wright at the Antarctic Climate and Ecosystems Cooperative Research Center. Finally, our sincere gratitude goes to the members of the logistics support group at Raytheon Polar Services Company, and the officers and crew of the R/V Laurence M. Gould, without whose outstanding assistance this work could not have been accomplished. This is contribution number 3208 from the Virginia Institute of Marine Science.</t>
  </si>
  <si>
    <t>10.1016/j.dsr.2011.12.015</t>
  </si>
  <si>
    <t>924DT</t>
  </si>
  <si>
    <t>WOS:000302672000010</t>
  </si>
  <si>
    <t>Loeb, VJ; Santora, JA</t>
  </si>
  <si>
    <t>Loeb, V. J.; Santora, J. A.</t>
  </si>
  <si>
    <t>Population dynamics of Salpa thompsoni near the Antarctic Peninsula: Growth rates and interannual variations in reproductive activity (1993-2009)</t>
  </si>
  <si>
    <t>PROGRESS IN OCEANOGRAPHY</t>
  </si>
  <si>
    <t>SUB-ARCTIC PACIFIC; SOUTHERN-OCEAN; AUSTRAL SUMMER; FOOD-WEB; SEA-ICE; SPATIOTEMPORAL VARIABILITY; VERTICAL MIGRATION; ATLANTIC SECTOR; BIOGENIC CARBON; KRILL</t>
  </si>
  <si>
    <t>The salp Salpa thompsoni has exhibited increased abundance in high latitude portions of the Southern Ocean in recent decades and is now frequently the numerically dominant zooplankton taxon in the Antarctic Peninsula region. The abundance increase of this species in high latitude waters is believed related to ocean warming. Due to its continuous filter feeding and production of dense rapidly sinking fecal pellets S. thompsoni is considered to be an important link in the export of particulate carbon from the surface waters. Hence basic information on the life history of this component of the Antarctic marine ecosystem is essential for assessing its impact given continued climate warming. Here we cover various aspects of the life history of S. thompsoni collected in the north Antarctic Peninsula during annual austral summer surveys of the US Antarctic Marine Living Resources (AMLR) Program between 1993 and 2009. We focus on seasonal and interannual variations in the size composition and abundance of the aggregate (sexual) and solitary (asexual) stages. This information is valuable for refining components of Southern Ocean food web models that explicitly deal with size-structured and life history information on zooplankton. Intraseasonal changes in length-frequency distribution of both stages are used to estimate their growth rates. These average 0.40 mm day(-1) for aggregates and 0.23 mm day(-1) for solitaries; together these represent similar to 7 week and similar to 7.5 month generation times, respectively, and a 9 month life cycle (i.e., onset of aggregate production year 1 to aggregate production year 2). Based on the maximum lengths typically found during January-March, the life spans of the aggregate and solitary stages can reach at least similar to 5 and similar to 15 months, respectively. Length-frequency distributions each year reflect interannual differences in timing of the initiation and peak reproductive output. Interannual differences in the abundance of total salps and proportions of the overwintering solitary stage are significantly correlated with El Nino Southern Oscillation indices (SOI and Nino3.4) prevailing over the previous 2 years. Massive salp blooms result from two successive summers of elevated solitary production following a reversal from La Nina to El Nino conditions. These results indicate the role of basin-scale atmospheric-oceanic processes in establishing optimal conditions that support aggregate and solitary stage reproduction, development and growth. (C) 2011 Elsevier Ltd. All rights reserved.</t>
  </si>
  <si>
    <t>[Loeb, V. J.] Moss Landing Marine Labs, Moss Landing, CA 95039 USA; [Santora, J. A.] Farallon Inst Adv Ecosyst Res, Petaluma, CA 94952 USA</t>
  </si>
  <si>
    <t>Moss Landing Marine Laboratories</t>
  </si>
  <si>
    <t>Loeb, VJ (corresponding author), Moss Landing Marine Labs, 8272 Moss Landing Rd, Moss Landing, CA 95039 USA.</t>
  </si>
  <si>
    <t>Loeb@mlml.calstate.edu</t>
  </si>
  <si>
    <t>National Oceanic and Atmospheric Administration</t>
  </si>
  <si>
    <t>National Oceanic and Atmospheric Administration(National Oceanic Atmospheric Admin (NOAA) - USA)</t>
  </si>
  <si>
    <t>Shiptime for this work was provided by the US AMLR Program (NOAA-NMFS) located at the Southwest Fisheries Science Center (SWFSC) in La Jolla, CA. Manuscript preparation was in part funded by National Oceanic and Atmospheric Administration contracts to Valerie Loeb and Jarrod Santora. We gratefully acknowledge the support provided by the officers and crew of the NOAA R/V Surveyor (1993-1995) and the R/V Yuzhmorgeologiya (1996-2009). We also gratefully acknowledge the shipboard data collection and sample processing by a number of wonderful colleagues, research assistants and technicians including Wes Armstrong, Mike Force, Adam Jenkins, Dawn Outram, Kim Dietrich and Darci Lombard. Thanks go to Lynn McMasters (Moss Landing Marine Laboratories) for her excellent illustrative contributions. The insightful comments and suggestions of C.S. Reiss (SWFSC) and three anonymous reviewers were of immense help in improving the clarity and scope of the final manuscript.</t>
  </si>
  <si>
    <t>0079-6611</t>
  </si>
  <si>
    <t>PROG OCEANOGR</t>
  </si>
  <si>
    <t>Prog. Oceanogr.</t>
  </si>
  <si>
    <t>10.1016/j.pocean.2011.11.001</t>
  </si>
  <si>
    <t>921PG</t>
  </si>
  <si>
    <t>WOS:000302488900006</t>
  </si>
  <si>
    <t>Szuts, ZB</t>
  </si>
  <si>
    <t>Szuts, Zoltan B.</t>
  </si>
  <si>
    <t>Using motionally-induced electric signals to indirectly measure ocean velocity: Instrumental and theoretical developments</t>
  </si>
  <si>
    <t>Current measurement; Electric currents; Electric fields; Velocity profilers; Motional induction; USA; North Carolina; Cape Hatteras; Gulf Stream</t>
  </si>
  <si>
    <t>INDUCED ELECTROMAGNETIC-FIELDS; FLORIDA CURRENT TRANSPORT; MAGNETIC-FIELDS; CAPE-HATTERAS; ABSOLUTE VELOCITY; BOUNDARY CURRENT; LOW-FREQUENCY; STREAM; SATELLITE; FLOW</t>
  </si>
  <si>
    <t>The motion of conductive sea water through the earth's magnetic field generates electromagnetic (EM) fields through a process called motional induction. Direct measurements of oceanic electric fields can be easily converted to water velocities by application of a first order theory. This technique has been shown to obtain high quality velocities through instrumental advances and an accumulation of experience during the past decades. EM instruments have unique operational considerations and observe, for instance, vertically-averaged horizontal velocity (from stationary sensors) or vertical profiles of horizontal velocity (from expendable probes or autonomous profiling floats). The first order theory describes the dominant electromagnetic response, in which vertically-averaged and vertically-varying horizontal velocities are proportional to electric fields and electric currents, respectively. After discussions of the first order theory and deployment practices, operational capabilities are shown through recently published projects that describe stream-coordinate velocity structure of the Antarctic Circumpolar Current, quickly-evolving overflow events in the Denmark Strait, and time-development of momentum input into the ocean from a hurricane. A detailed analysis of the Gulf Stream at its separation point from the continental slope serves as a case study for interpreting EM measurements, including the incorporation of geophysical knowledge of the sediment. In addition, the first order approximation is tested by the many features at this location that contradict the approximation's underlying assumptions: sharp horizontal velocity gradients, steep topography, and thick and inhomogeneous sediments. Numerical modeling of this location shows that the first order assumption is accurate to a few percent (a few cm s(-1)) in almost all cases. The errors in depth-varying velocity are &lt;3% (1-3 cm s(-1)), are substantiated by the direct observations, and can be corrected by iterative methods. Though errors in the depth-uniform velocity are &lt;2 cm s(-1) (&lt;10%) at all locations except for the upper continental slope, where apparent but unresolved meander events in water shallower than 500 m can generate depth-uniform errors of order 30%, there are not sufficient observations to confirm these errors directly. Errors in the first order approximation at this location show no non-linear increase due to the joint effect of steep topography and horizontal velocity gradients. Using motional induction in the world's oceans, aside from stationary measurements when depth-uniform ocean currents meander across topography, these results suggest that the first order approximation is accurate to within 1-2 cm s(-1) or less in almost all regions of the ocean, an error similar to the instrumental accuracy of EM instruments. (C) 2011 Elsevier Ltd. All rights reserved.</t>
  </si>
  <si>
    <t>[Szuts, Zoltan B.] Max Planck Inst Meteorol, D-20146 Hamburg, Germany; [Szuts, Zoltan B.] Univ Washington, Appl Phys Lab, Seattle, WA 98105 USA</t>
  </si>
  <si>
    <t>Max Planck Society; University of Washington; University of Washington Seattle</t>
  </si>
  <si>
    <t>Szuts, ZB (corresponding author), Max Planck Inst Meteorol, Bundesstr 55, D-20146 Hamburg, Germany.</t>
  </si>
  <si>
    <t>zoltan.szuts@zmaw.de</t>
  </si>
  <si>
    <t>NSF [0552139]; Division Of Ocean Sciences; Directorate For Geosciences [0552139] Funding Source: National Science Foundation</t>
  </si>
  <si>
    <t>NSF(National Science Foundation (NSF)); Division Of Ocean Sciences; Directorate For Geosciences(National Science Foundation (NSF)NSF - Directorate for Geosciences (GEO))</t>
  </si>
  <si>
    <t>This research benefited greatly from the guidance of Tom Sanford at all stages of the project. Discussions with him, Eric D'Asaro, and James Girton brought much clarity to the final results. Rob Tyler graciously allowed use of his numerical model MOED, which enabled the detailed analysis herein. This work was supported by NSF Grant 0552139.</t>
  </si>
  <si>
    <t>10.1016/j.pocean.2011.11.014</t>
  </si>
  <si>
    <t>WOS:000302488900007</t>
  </si>
  <si>
    <t>Wilcox, LJ; Hoskins, BJ; Shine, KP</t>
  </si>
  <si>
    <t>Wilcox, L. J.; Hoskins, B. J.; Shine, K. P.</t>
  </si>
  <si>
    <t>A global blended tropopause based on ERA data. Part II: Trends and tropical broadening</t>
  </si>
  <si>
    <t>QUARTERLY JOURNAL OF THE ROYAL METEOROLOGICAL SOCIETY</t>
  </si>
  <si>
    <t>ERA-Interim; Antarctic; metrics</t>
  </si>
  <si>
    <t>HEIGHT; TEMPERATURE; VARIABILITY; REANALYSIS</t>
  </si>
  <si>
    <t>A new tropopause definition involving a flow-dependent blending of the traditional thermal tropopause with one based on potential vorticity has been developed and applied to the European Centre for Medium-Range Weather Forecasts (ECMWF) reanalyses (ERA), ERA-40 and ERA-Interim. Global and regional trends in tropopause characteristics for annual and solsticial seasonal means are presented here, with emphasis on significant results for the newer ERA-Interim data for 19892007. The global-mean tropopause is rising at a rate of 47 m per decade, with pressure falling at 1.0 hPa per decade and temperature falling at 0.18 K per decade. The Antarctic tropopause shows decreasing heights, warming and increasing westerly winds. The Arctic tropopause also shows a warming, but with decreasing westerly winds. In the Tropics the trends are small, but at the latitudes of the subtropical jets they are almost double the global values. It is found that these changes are mainly concentrated in the eastern hemisphere. Previous and new metrics for the rate of broadening of the Tropics, based on both height and wind, give trends in the range 0.92.2 degrees per decade. For ERA-40 the global height and pressure trends for the period 19792001 are similar: 39 m per decade and -0.8 hPa per decade. These values are smaller than those found from the thermal tropopause definition with this dataset, as was used in most previous studies. Copyright (c) 2011 Royal Meteorological Society</t>
  </si>
  <si>
    <t>[Wilcox, L. J.; Hoskins, B. J.; Shine, K. P.] Univ Reading, Dept Meteorol, Reading RG6 6BB, Berks, England</t>
  </si>
  <si>
    <t>University of Reading</t>
  </si>
  <si>
    <t>Wilcox, LJ (corresponding author), Univ Reading, Dept Meteorol, POB 243, Reading RG6 6BB, Berks, England.</t>
  </si>
  <si>
    <t>l.j.wilcox@reading.ac.uk</t>
  </si>
  <si>
    <t>Shine, Keith/D-9093-2012; Wilcox, Laura/F-3394-2013</t>
  </si>
  <si>
    <t>Shine, Keith/0000-0003-2672-9978; Wilcox, Laura/0000-0001-5691-1493</t>
  </si>
  <si>
    <t>US Federal Aviation Administration (FAA) [DTRT57-07-P-80162]</t>
  </si>
  <si>
    <t>US Federal Aviation Administration (FAA)</t>
  </si>
  <si>
    <t>This work was funded by the US Federal Aviation Administration (FAA) under contract award DTRT57-07-P-80162. Any opinions, findings, and conclusions or recommendations expressed in this material are those of the authors and do not necessarily reflect the views of the research sponsor. We also acknowledge the use of ERAInterim/40 data produced by ECMWF and provided by the British Atmospheric Data Centre and National Centre for Atmospheric Science-Climate. Thanks to Dian Seidel and three anonymous reviewers for helpful comments on an earlier version of this manuscript.</t>
  </si>
  <si>
    <t>0035-9009</t>
  </si>
  <si>
    <t>1477-870X</t>
  </si>
  <si>
    <t>Q J ROY METEOR SOC</t>
  </si>
  <si>
    <t>Q. J. R. Meteorol. Soc.</t>
  </si>
  <si>
    <t>A</t>
  </si>
  <si>
    <t>10.1002/qj.910</t>
  </si>
  <si>
    <t>924TP</t>
  </si>
  <si>
    <t>Green Submitted, Green Accepted</t>
  </si>
  <si>
    <t>WOS:000302714500002</t>
  </si>
  <si>
    <t>Balsamo, A; Sannino, F; Merlino, A; Parrilli, E; Tutino, ML; Mazzarella, L; Vergara, A</t>
  </si>
  <si>
    <t>Balsamo, Anna; Sannino, Filomena; Merlino, Antonello; Parrilli, Ermenegilda; Tutino, Maria Luisa; Mazzarella, Lelio; Vergara, Alessandro</t>
  </si>
  <si>
    <t>Role of the tertiary and quaternary structure in the formation of bis-histidyl adducts in cold-adapted hemoglobins</t>
  </si>
  <si>
    <t>BIOCHIMIE</t>
  </si>
  <si>
    <t>Heme; bis-Histidyl coordination; beta 4 hemoglobin; Expression; Molecular dynamics</t>
  </si>
  <si>
    <t>MOLECULAR-DYNAMICS SIMULATIONS; BACTERIAL INCLUSION-BODIES; ANTARCTIC FISH HEMOGLOBINS; TERMINAL SWAPPED DIMER; CRYSTAL-STRUCTURE; TREMATOMUS-BERNACCHII; ESCHERICHIA-COLI; RIBONUCLEASE-A; CRYSTALLOGRAPHIC CHARACTERIZATION; SUBORDER NOTOTHENIOIDEI</t>
  </si>
  <si>
    <t>All tetrameric hemoglobins from Antarctic fish, including that from Trematomus bernacchii, HbTb form in the ferric state, promptly and distinctively from all the other tetrameric hemoglobins, a mixture of aquomet at the alpha subunits and bis-histidyl adduct (hemichrome) at the beta subunits. The role of the tertiary and quaternary structure in the hemichrome formation is unknown. Here we report the cloning, expression, purification, spectroscopic and computational characterization of the beta-chain of HUM (beta-HbTb). Similarly to the human beta-chains, beta-HbTb self-assembles to form the homotetramer beta-HbTb; however, the latter quantitatively forms reversible ferric and ferrous bis-histidyl adducts, which are only partially present in the human tetramer (beta(4)-HbA). A molecular dynamics study of the isolated beta subunit of the two Hbs indicates that the ability to form hemichrome is an intrinsic feature of the chain; moreover, the greater propensity of beta-HbTb to form the bis-histidyl adduct is probably linked to the higher flexibility of the CD loop region. On the bases of these experimental and computational results on the isolated chain, the influence of the quaternary structure on the stability of the endogenous ferrous and ferric hexa-coordination is also discussed. (C) 2011 Elsevier Masson SAS. All rights reserved.</t>
  </si>
  <si>
    <t>[Sannino, Filomena; Parrilli, Ermenegilda; Tutino, Maria Luisa; Vergara, Alessandro] Univ Naples Federico 2, Dept Chem, I-80126 Naples, Italy; [Balsamo, Anna; Merlino, Antonello; Mazzarella, Lelio; Vergara, Alessandro] Univ Naples Federico 2, Dept Organ Chem &amp; Biochem, I-80126 Naples, Italy; [Merlino, Antonello; Mazzarella, Lelio; Vergara, Alessandro] CNR, Ist Biostrutture &amp; Bioimmagini, I-80134 Naples, Italy</t>
  </si>
  <si>
    <t>University of Naples Federico II; University of Naples Federico II; Consiglio Nazionale delle Ricerche (CNR); Istituto di Biostrutture e Bioimmagini (IBB-CNR)</t>
  </si>
  <si>
    <t>Vergara, A (corresponding author), Univ Naples Federico 2, Dept Chem, Via Cintia, I-80126 Naples, Italy.</t>
  </si>
  <si>
    <t>avergara@unina.it</t>
  </si>
  <si>
    <t>parrilli, ermenegilda/K-4616-2016; Merlino, Antonello/AAI-2114-2020; TUTINO, MARIA LUISA/L-1834-2013; parrilli, ermenegilda/JAZ-0586-2023; Vergara, Alessandro/C-4435-2013</t>
  </si>
  <si>
    <t>parrilli, ermenegilda/0000-0002-9002-5409; Sannino, Filomena/0000-0002-3013-8321; Tutino, Maria Luisa/0000-0002-4978-6839; Merlino, Antonello/0000-0002-1045-7720; Vergara, Alessandro/0000-0003-4135-0245</t>
  </si>
  <si>
    <t>Ministero Italiano dell'Universita e della Ricerca Scientifica; PNRA (Italian National Programme for Antarctic Research); Scientific Committee for Antarctic Research (SCAR); CIMCF (Centro Interdipartimentale di Metodologie Chimico-Fisiche)</t>
  </si>
  <si>
    <t>Ministero Italiano dell'Universita e della Ricerca Scientifica(Ministry of Education, Universities and Research (MIUR)); PNRA (Italian National Programme for Antarctic Research); Scientific Committee for Antarctic Research (SCAR); CIMCF (Centro Interdipartimentale di Metodologie Chimico-Fisiche)</t>
  </si>
  <si>
    <t>This work was financially supported by the Ministero Italiano dell'Universita e della Ricerca Scientifica (PRIN 2007 Struttura, funzione ed evoluzione di emoproteine da organismi marini artici ed antartici: meccanismi di adattamento al freddo e acquisizione di nuove funzioni), and by PNRA (Italian National Programme for Antarctic Research), and is in the framework of the programme Evolution and Biodiversity in the Antarctic (EBA), sponsored by the Scientific Committee for Antarctic Research (SCAR). CIMCF (Centro Interdipartimentale di Metodologie Chimico-Fisiche).</t>
  </si>
  <si>
    <t>0300-9084</t>
  </si>
  <si>
    <t>Biochimie</t>
  </si>
  <si>
    <t>10.1016/j.biochi.2011.12.013</t>
  </si>
  <si>
    <t>915RU</t>
  </si>
  <si>
    <t>WOS:000302045900005</t>
  </si>
  <si>
    <t>Harlander, U; Wenzel, J; Alexandrov, K; Wang, YT; Egbers, C</t>
  </si>
  <si>
    <t>Harlander, Uwe; Wenzel, Julia; Alexandrov, Kiril; Wang, Yongtai; Egbers, Christoph</t>
  </si>
  <si>
    <t>Simultaneous PIV and thermography measurements of partially blocked flow in a differentially heated rotating annulus</t>
  </si>
  <si>
    <t>EXPERIMENTS IN FLUIDS</t>
  </si>
  <si>
    <t>BAROCLINIC WAVES; TOPOGRAPHY; TRANSITIONS</t>
  </si>
  <si>
    <t>A radial barrier has been mounted in a differentially heated rotating annulus that partially blocks the azimuthal flow component. The experiment can be seen as an analog to geophysical flows with constrictions, e.g., the Antarctic Circumpolar Current. However, the experiment has been carried out without a particular natural flow in mind. The main interest was to observe a baroclinic annulus flow that does not become saturated. Hence, in contrast to the annulus flow without a barrier, the partially blocked flow remains transient and surface heat fluxes associated with baroclinic life cycles can be studied. The annulus can be subdivided into the upstream half of the barrier, where waves amplify, and the downstream half of the barrier, where waves decay. In the upstream half, the azimuthal mean flow is moderate but with a significant positive eddy radial heat flux. In the downstream half, we find a strong jet in the mean azimuthal flow and furthermore an increased radial mean temperature gradient. The latter points to a weakened or even reversed radial eddy heat flux in the lee side of the barrier. Temperature anomalies appear as large bulges in the outer part of the annulus. Moreover, an outward shift of vortex centers can be observed with respect to centers of temperature anomalies. This phase shift between pressure and temperature anomalies differs from that of classical Eady modes of baroclinic instability.</t>
  </si>
  <si>
    <t>[Harlander, Uwe; Alexandrov, Kiril; Wang, Yongtai; Egbers, Christoph] Brandenburg Tech Univ Cottbus, Dept Aerodynam &amp; Fluid Mech, Cottbus, Germany; [Wenzel, Julia] Univ Leipzig, Inst Meteorol, Leipzig, Germany</t>
  </si>
  <si>
    <t>Brandenburg University of Technology Cottbus; Leipzig University</t>
  </si>
  <si>
    <t>Harlander, U (corresponding author), Brandenburg Tech Univ Cottbus, Dept Aerodynam &amp; Fluid Mech, Cottbus, Germany.</t>
  </si>
  <si>
    <t>uwe.harlander@tu-cottbus.de</t>
  </si>
  <si>
    <t>Egbers, Christoph/0000-0001-9012-782X</t>
  </si>
  <si>
    <t>German Science Foundation (DFG) [1276]</t>
  </si>
  <si>
    <t>We thank Carsten Langhof and Yuepeng Ji for support in setting up the experiment and in data handling. Thanks also to Andrew Whittaker for proofreading. Financial support by the German Science Foundation (DFG priority program 1276 'MetSt-roem') is gratefully acknowledged.</t>
  </si>
  <si>
    <t>0723-4864</t>
  </si>
  <si>
    <t>EXP FLUIDS</t>
  </si>
  <si>
    <t>Exp. Fluids</t>
  </si>
  <si>
    <t>10.1007/s00348-011-1195-y</t>
  </si>
  <si>
    <t>Engineering, Mechanical; Mechanics</t>
  </si>
  <si>
    <t>Engineering; Mechanics</t>
  </si>
  <si>
    <t>919PM</t>
  </si>
  <si>
    <t>WOS:000302340500018</t>
  </si>
  <si>
    <t>Shcherbakova, VV; Bakhmutov, VG; Shcherbakov, VP; Zhidkov, GV; Shpyra, VV</t>
  </si>
  <si>
    <t>Shcherbakova, V. V.; Bakhmutov, V. G.; Shcherbakov, V. P.; Zhidkov, G. V.; Shpyra, V. V.</t>
  </si>
  <si>
    <t>Palaeointensity and palaeomagnetic study of Cretaceous and Palaeocene rocks from Western Antarctica</t>
  </si>
  <si>
    <t>Palaeointensity; Palaeomagnetism applied to tectonics; Reversals: process; timescale; magnetostratigraphy; Rock and mineral magnetism</t>
  </si>
  <si>
    <t>EARTHS MAGNETIC-FIELD; SUBMARINE BASALTIC GLASS; PSEUDO-SINGLE-DOMAIN; GEOMAGNETIC-FIELD; INNER-MONGOLIA; ABSOLUTE PALEOINTENSITY; NORMAL SUPERCHRON; LATE MIOCENE; LAVA FLOWS; BLOCKING TEMPERATURES</t>
  </si>
  <si>
    <t>A combined palaeodirectional and palaeointensity study of a representative collection of plutonic rocks from the Antarctic Peninsula batholith from the western part of the Antarctic Peninsula, near the Ukrainian Antarctic base 'Academik Vernadsky' were carried out. Petrographically, the collection includes gabbros, diorites and quartz diorites, tonalities, granodiorites and granites. The ages of igneous complex emplacement vary from 50 to 117 Ma with most of the rocks belonging to the Cretaceous Normal Superchron. The characteristic remanent magnetizations were isolated by stepwise thermal demagnetization over the temperature interval 440-590 degrees C and their intensities amount to 95 per cent of the NRM. The geographic positions of palaeopoles do not contradict the key poles of the Antarctic Peninsula between 90 and 60 Ma. A significant part of the collection was subjected to Coe-modified Thellier palaeointensity experiments with the pTRM checks, which yielded seven reliable palaeointensity determinations for seven different locations. The obtained VDMs are relatively low for all sites, being on average about half of the present day VDM. The analysis of available palaeointensity data for the Cretaceous, Miocene and Middle Jurassic indicates the existence of strong correlations between the mean VDM and VDM scatter versus the rate of reversals. However, due to the shortage of data, the correlations are not significant at the 5 per cent significance level.</t>
  </si>
  <si>
    <t>[Bakhmutov, V. G.; Shpyra, V. V.] Natl Acad Sci Ukraine, Inst Geophys, Kiev, Ukraine</t>
  </si>
  <si>
    <t>National Academy of Sciences Ukraine; Subbotin Institute of Geophysics, National Academy of Sciences of Ukraine</t>
  </si>
  <si>
    <t>valia@borok.yar.ru</t>
  </si>
  <si>
    <t>Shcherbakova, Valentina/AAZ-4947-2020; Volodymyr, Bakhmutov/A-8508-2019; Viktor, Shpyra/A-9411-2019; shcherbakov, valeriy P/K-6812-2018; Zhidkov, Grigoriy/J-6684-2018</t>
  </si>
  <si>
    <t>Shcherbakova, Valentina/0000-0003-0968-646X; Bakhmutov, Vladimir/0000-0003-3804-9953; Shpyra, Viktor/0000-0002-6665-1784</t>
  </si>
  <si>
    <t>Russian Fund of Basic Research [09-05-00878]; Ukrainian Fund of Basic Research [Phi40.6/030]</t>
  </si>
  <si>
    <t>Russian Fund of Basic Research(Russian Foundation for Basic Research (RFBR)); Ukrainian Fund of Basic Research(State Fund for Fundamental Research (SFFR))</t>
  </si>
  <si>
    <t>The authors are very grateful to Greig Paterson for the valuable comments and suggestions made to this paper. The work was supported by Russian Fund of Basic Research, grant no. 09-05-00878 and Ukrainian Fund of Basic Research, grant F no. Phi 40.6/030.</t>
  </si>
  <si>
    <t>10.1111/j.1365-246X.2012.05357.x</t>
  </si>
  <si>
    <t>909OK</t>
  </si>
  <si>
    <t>WOS:000301573800014</t>
  </si>
  <si>
    <t>Riedel, S; Jokat, W; Steinhage, D</t>
  </si>
  <si>
    <t>Riedel, S.; Jokat, W.; Steinhage, D.</t>
  </si>
  <si>
    <t>Mapping tectonic provinces with airborne gravity and radar data in Dronning Maud Land, East Antarctica</t>
  </si>
  <si>
    <t>Gravity anomalies and Earth structure; Composition of the continental crust; Cratons; Crustal structure; Antarctica</t>
  </si>
  <si>
    <t>ANNANDAGSTOPPANE GRANITE; GRENVILLE-AGE; BREAK-UP; GONDWANA; GRAVIMETRY; IMPRINTS; HISTORY; RODINIA; CRATON; OROGEN</t>
  </si>
  <si>
    <t>Antarctica represents a key component in the investigation of the geological history and reconstruction of the supercontinents Rodinia and Gondwana. Remnants of the formation and disintegration of these ancient land masses can be found, although great uncertainties remain in the location of tectonic boundaries beneath the ice sheet of Antarctica due to general lack of outcrops and the limited amount of geological data. Airborne and space measurements are the only possibility to obtain comprehensive spatial data coverage for geological studies in the remote polar areas. More than 100 000 line kilometres of airborne geophysical data, including radio echo sounding, gravity and magnetic data, were acquired over an area of 1.2 million square kilometres in the centre of Dronning Maud Land (DML) over four austral summer campaigns between 2001 and 2005. The data are presented here as compilations of homogeneous topographic and gravity data for the DML region, ranging from 14. W to 20. E and from 70. S to 78.5. S. With respect to older airborne geophysical investigations in DML, up to 85 per cent of the gravity data cover unexplored regions. Analyses of the maps of topography and gravity anomalies, by filtering and isostatic analysis, reveal information about geological and tectonic structures in DML. Different gravity maps provide hints for the general tectonic fabric of the area. For the first time the southern boundary of the continent-ocean boundary formed during the Jurassic dispersal of Gondwana is identified. Especially the mountain range in DML is most likely not in isostatic balance. The area is still uplifting as a consequence of glacial rebound. Interpretations of the Jutul-Penck Graben as failed Jurassic rift system can be confirmed by the gravity inversion. Thinned continental crust compared to the surrounding geological units strongly support this hypothesis. Besides on other interpreted anomalies, the data show a gravity structure, which starts approximately at 73.25. S/ 006. E and strikes in southwestern direction. We speculate that this pattern represents the suture zone [ eastern termination of East African-Antarctic Orogen (EAAO)] between southern Africa and the cratonic part of Antarctica.</t>
  </si>
  <si>
    <t>[Riedel, S.; Jokat, W.; Steinhage, D.] Alfred Wegener Inst, Bremerhaven, Germany</t>
  </si>
  <si>
    <t>Riedel, S (corresponding author), Univ Kiel, D-24098 Kiel, Germany.</t>
  </si>
  <si>
    <t>sven.riedel@geophysik.uni-kiel.de</t>
  </si>
  <si>
    <t>Jokat, Wilfried/0000-0002-7793-5854</t>
  </si>
  <si>
    <t>German Research Foundation (DFG) [Di 473/17-1, Jo 191/8-1]</t>
  </si>
  <si>
    <t>German Research Foundation (DFG)(German Research Foundation (DFG))</t>
  </si>
  <si>
    <t>This paper is a contribution to the VISA project, which was funded by the German Research Foundation (DFG) under grants Di 473/17-1 and Jo 191/8-1. We thank the DLR air unit and OPTIMARE Sensor-AG, namely Tobias Boebel, for their assistance during the airborne surveys. We gratefully acknowledge the suggestions of the reviewers/editor, namely Fausto Ferraccioli, Angelo De Santis and Michel Diament, which greatly enhanced the manuscript.</t>
  </si>
  <si>
    <t>10.1111/j.1365-246X.2012.05363.x</t>
  </si>
  <si>
    <t>WOS:000301573800029</t>
  </si>
  <si>
    <t>Mazloff, MR</t>
  </si>
  <si>
    <t>Mazloff, Matthew R.</t>
  </si>
  <si>
    <t>On the Sensitivity of the Drake Passage Transport to Air-Sea Momentum Flux</t>
  </si>
  <si>
    <t>ANTARCTIC CIRCUMPOLAR CURRENT; GENERAL-CIRCULATION MODEL; SOUTHERN-HEMISPHERE WINDS; DRIVEN CIRCULATIONS; ANNULAR MODE; PART I; OCEAN; TOPOGRAPHY; VARIABILITY; PROJECT</t>
  </si>
  <si>
    <t>An eddy-permitting state estimate and its adjoint are used to analyze the influence of wind stress perturbations on the transport of the Antarctic Circumpolar Current (ACC) system through Drake Passage. The transport is found to be sensitive to wind stress perturbations both along the ACC path and also in remote regions. The time scale of influence of wind stress perturbations is on the order of 100 days. Regarding spatial scales, the sensitivity of transport to wind stress is relatively smooth in regions of flat topography. In boundary regions and regions with complex topography, however, the sensitivity is enhanced and characterized by shorter length scales of order 100 km. Positive perturbations to the zonal wind stress usually increase the ACC transport, though the wind stress curl is of primary influence where the currents are steered by topography. Highlighting locations where the ACC is especially responsive to air-sea momentum fluxes reveals where an accurate determination of atmospheric winds may best enhance ocean modeling efforts.</t>
  </si>
  <si>
    <t>Univ Calif San Diego, Scripps Inst Oceanog, La Jolla, CA 92093 USA</t>
  </si>
  <si>
    <t>Mazloff, MR (corresponding author), Univ Calif San Diego, Scripps Inst Oceanog, 9500 Gilman Dr, La Jolla, CA 92093 USA.</t>
  </si>
  <si>
    <t>mmazloff@ucsd.edu</t>
  </si>
  <si>
    <t>Mazloff, Matthew/AAG-6463-2019</t>
  </si>
  <si>
    <t>Mazloff, Matthew/0000-0002-1650-5850</t>
  </si>
  <si>
    <t>NSF Office of Polar Programs [ANT0961218]; Texas Advanced Computing Center [MCA06N007]; Office of Polar Programs (OPP); Directorate For Geosciences [0961218] Funding Source: National Science Foundation</t>
  </si>
  <si>
    <t>NSF Office of Polar Programs(National Science Foundation (NSF)); Texas Advanced Computing Center; Office of Polar Programs (OPP); Directorate For Geosciences(National Science Foundation (NSF)NSF - Directorate for Geosciences (GEO))</t>
  </si>
  <si>
    <t>The author is grateful to Sarah Gille, Teri Chereskin, Bruce Cornuelle, and anonymous reviewers for valuable comments on this work. Support for this work was provided by NSF Office of Polar Programs Grant ANT0961218. Computer resources were provided by Texas Advanced Computing Center under Teragrid Grant MCA06N007.</t>
  </si>
  <si>
    <t>10.1175/JCLI-D-11-00030.1</t>
  </si>
  <si>
    <t>916ZX</t>
  </si>
  <si>
    <t>WOS:000302142800006</t>
  </si>
  <si>
    <t>Langehaug, HR; Medhaug, I; Eldevik, T; Otterå, OH</t>
  </si>
  <si>
    <t>Langehaug, Helene R.; Medhaug, Iselin; Eldevik, Tor; Ottera, Odd Helge</t>
  </si>
  <si>
    <t>Arctic/Atlantic Exchanges via the Subpolar Gyre</t>
  </si>
  <si>
    <t>NORTH-ATLANTIC OSCILLATION; BERGEN CLIMATE MODEL; DEEP-WATER FORMATION; LABRADOR SEA; SIMULATED VARIABILITY; DECADAL VARIABILITY; FRESH-WATER; CIRCULATION; GREENLAND; CONVECTION</t>
  </si>
  <si>
    <t>In the present study the decadal variability in the strength and shape of the subpolar gyre (SPG) in a 600-yr preindustrial simulation using the Bergen Climate Model is investigated. The atmospheric influence on the SPG strength is reflected in the variability of Labrador Sea Water (LSW), which is largely controlled by the North Atlantic Oscillation, the first mode of the North Atlantic atmospheric variability. A combination of the amount of LSW, the overflows from the Nordic seas, and the second mode of atmospheric variability, the East Atlantic Pattern, explains 44% of the modeled decadal variability in the SPG strength. A prior increase in these components leads to an intensified SPG in the western subpolar region. Typically, an increase of one standard deviation (std dev) of the total overflow (1 std dev = 0.2 Sv; 1 Sv = 10(6) m(3) s(-1)) corresponds to an intensification of about one-half std dev of the SPG strength (1 std dev = 2 Sv). A similar response is found for an increase of one std dev in the amount of LSW, and simultaneously the strength of the North Atlantic Current increases by one-half std dev (1 std dev = 0.9 Sv).</t>
  </si>
  <si>
    <t>[Langehaug, Helene R.] Nansen Environm &amp; Remote Sensing Ctr, N-5006 Bergen, Norway; [Langehaug, Helene R.; Medhaug, Iselin; Eldevik, Tor; Ottera, Odd Helge] Bjerknes Ctr Climate Res, Bergen, Norway; [Medhaug, Iselin; Eldevik, Tor] Univ Bergen, Inst Geophys, Bergen, Norway; [Ottera, Odd Helge] Uni Bjerknes Ctr, Bergen, Norway</t>
  </si>
  <si>
    <t>Nansen Environmental &amp; Remote Sensing Center (NERSC); Bjerknes Centre for Climate Research; University of Bergen; Bjerknes Centre for Climate Research</t>
  </si>
  <si>
    <t>Langehaug, HR (corresponding author), Nansen Environm &amp; Remote Sensing Ctr, Thormohlensgate 47, N-5006 Bergen, Norway.</t>
  </si>
  <si>
    <t>helene.langehaug@nersc.no</t>
  </si>
  <si>
    <t>Eldevik, Tor/O-2062-2015; Otterå, Odd Helge/AAD-5006-2022; Otterå, Odd Helge/H-7854-2016; Langehaug, Helene Reinertsen/A-2445-2015</t>
  </si>
  <si>
    <t>Eldevik, Tor/0000-0001-5837-6965; Medhaug, Iselin/0000-0002-1115-8896; Langehaug, Helene Reinertsen/0000-0001-9010-5401</t>
  </si>
  <si>
    <t>EU [GA212643]; Research Council of Norway</t>
  </si>
  <si>
    <t>EU(European Union (EU)); Research Council of Norway(Research Council of Norway)</t>
  </si>
  <si>
    <t>This study has been supported by the Research Council of Norway through the BIAC (HRL and TE) and NorClim (IM and OHO) projects. The study has also received funding from the EU FP7 (2007-2013) project THOR under Grant Agreement GA212643 (HRL, TE, and OHO), and the DecCen project (OHO) financed by the Research Council of Norway. We thank Helge Drange, Peter B. Rhines, and Mats Bentsen for insightful and helpful comments when preparing this paper, and three anonymous reviewers for thoughtful and constructive comments. Thanks to Jan Even O. Nilsen for helping us with the NISE data, which were provided by the Marine Research Institute, Iceland; the Institute of Marine Research, Norway; the Faroese Fisheries Laboratory; the Arctic and Antarctic Research Institute, Russia; and the Geophysical Institute, University of Bergen, Norway, through the NISE project.</t>
  </si>
  <si>
    <t>10.1175/JCLI-D-11-00085.1</t>
  </si>
  <si>
    <t>WOS:000302142800015</t>
  </si>
  <si>
    <t>Kobayashi, T; Mizuno, K; Suga, T</t>
  </si>
  <si>
    <t>Kobayashi, Taiyo; Mizuno, Keisuke; Suga, Toshio</t>
  </si>
  <si>
    <t>Long-term variations of surface and intermediate waters in the southern Indian Ocean along 32A°S</t>
  </si>
  <si>
    <t>JOURNAL OF OCEANOGRAPHY</t>
  </si>
  <si>
    <t>Long-term trend; Oscillation; Climate change; Southern Indian Ocean; Subantarctic Mode Water; Antarctic Intermediate Water</t>
  </si>
  <si>
    <t>ANTARCTIC MODE WATER; COUPLED CLIMATE MODEL; DECADAL CHANGES; TEMPERATURE TRENDS; CIRCULATION; PACIFIC; MASSES; DATASET; SECTION</t>
  </si>
  <si>
    <t>Variations of water properties in surface and intermediate layers along 32A degrees S in the southern Indian Ocean were examined using a 50-year (1960-2010) time series reproduced from historical hydrographic and Argo data by using optimum interpolation. Salinity in the 26.7-27.3 sigma(theta) density layer decreased significantly over the whole section, at a maximum rate of 0.02 decade(-1) at 26.8-26.9 sigma(theta), for the 50-year average. Three deoxygenating cores were identified east of 75A degrees E, and the increasing rate of apparent oxygen utilization in the most prominent core (26.9-27.0 sigma(theta)) exceeded 0.05 ml l(-1) decade(-1). The pycnostad core of Subantarctic Mode Water (SAMW) and the salinity minimum of Antarctic Intermediate Water shifted slightly toward the lighter layers. Comparisons with trans-Indian Ocean survey data from 1936 suggest that the tendencies found in the time series began before 1960. Interestingly, cores of many prominent trends were located just offshore of Australia at 26.7-27.0 sigma(theta), which is in the SAMW density range. Spectrum analysis revealed that two oscillation components with time scales of about 40 and 10 years were dominant in the subsurface layers. Our results are fairly consistent with, and thus support, the oceanic responses in the southern Indian Ocean to anthropogenic climate change predicted by model studies.</t>
  </si>
  <si>
    <t>[Kobayashi, Taiyo; Mizuno, Keisuke; Suga, Toshio] Japan Agcy Marine Earth Sci &amp; Technol, Res Inst Global Change, Yokosuka, Kanagawa 2370061, Japan; [Suga, Toshio] Tohoku Univ, Grad Sch Sci, Aoba Ku, Sendai, Miyagi 9808578, Japan</t>
  </si>
  <si>
    <t>Japan Agency for Marine-Earth Science &amp; Technology (JAMSTEC); Tohoku University</t>
  </si>
  <si>
    <t>Kobayashi, T (corresponding author), Japan Agcy Marine Earth Sci &amp; Technol, Res Inst Global Change, 2-15 Natsushima Cho, Yokosuka, Kanagawa 2370061, Japan.</t>
  </si>
  <si>
    <t>taiyok@jamstec.go.jp</t>
  </si>
  <si>
    <t>Suga, Toshio/C-2708-2009</t>
  </si>
  <si>
    <t>Suga, Toshio/0000-0003-4219-6155; Kobayashi, Taiyo/0000-0001-6456-6167</t>
  </si>
  <si>
    <t>Grants-in-Aid for Scientific Research [23403004] Funding Source: KAKEN</t>
  </si>
  <si>
    <t>Grants-in-Aid for Scientific Research(Ministry of Education, Culture, Sports, Science and Technology, Japan (MEXT)Japan Society for the Promotion of ScienceGrants-in-Aid for Scientific Research (KAKENHI))</t>
  </si>
  <si>
    <t>0916-8370</t>
  </si>
  <si>
    <t>1573-868X</t>
  </si>
  <si>
    <t>J OCEANOGR</t>
  </si>
  <si>
    <t>J. Oceanogr.</t>
  </si>
  <si>
    <t>10.1007/s10872-011-0093-5</t>
  </si>
  <si>
    <t>918ZY</t>
  </si>
  <si>
    <t>WOS:000302291600002</t>
  </si>
  <si>
    <t>Sato, K; Tateno, S; Watanabe, S; Kawatani, Y</t>
  </si>
  <si>
    <t>Sato, Kaoru; Tateno, Satoshi; Watanabe, Shingo; Kawatani, Yoshio</t>
  </si>
  <si>
    <t>Gravity Wave Characteristics in the Southern Hemisphere Revealed by a High-Resolution Middle-Atmosphere General Circulation Model</t>
  </si>
  <si>
    <t>JOURNAL OF THE ATMOSPHERIC SCIENCES</t>
  </si>
  <si>
    <t>EXTRATROPICAL TROPOPAUSE REGION; POLAR STRATOSPHERIC CLOUDS; MOUNTAIN WAVES; MOMENTUM FLUX; PART II; SATELLITE-OBSERVATIONS; SYOWA STATION; PROPAGATION; TRANSPORT; ANTARCTICA</t>
  </si>
  <si>
    <t>Gravity wave characteristics in the middle- to high-latitude Southern Hemisphere are analyzed using simulation data over 3 yr from a high-resolution middle-atmosphere general circulation model without using any gravity wave parameterizations. Gravity waves have large amplitudes in winter and are mainly distributed in the region surrounding the polar vortex in the middle and upper stratosphere, while the gravity wave energy is generally weak in summer. The wave energy distribution in winter is not zonally uniform, but it is large leeward of the southern Andes and Antarctic Peninsula. Linear theory in the three-dimensional framework indicates that orographic gravity waves are advected leeward significantly by the mean wind component perpendicular to the wavenumber vector. Results of ray-tracing and cross-correlation analyses are consistent with this theoretical expectation. The leeward energy propagation extends to several thousand kilometers, which explains part of the gravity wave distribution around the polar vortex in winter. This result indicates that orographic gravity waves can affect the mean winds at horizontal locations that are far distant from the source mountains. Another interesting feature is a significant downward energy flux in winter, which is observed in the lower stratosphere to the south of the southern Andes. The frequency of the downward energy flux is positively correlated with the gravity wave energy over the southern Andes. Partial reflection from a rapid increase in static stability around 10 hPa and/or gravity wave generation through nonlinear processes are possible mechanisms to explain the downward energy flux.</t>
  </si>
  <si>
    <t>[Sato, Kaoru; Tateno, Satoshi] Univ Tokyo, Dept Earth &amp; Planetary Sci, Tokyo 1130033, Japan; [Watanabe, Shingo; Kawatani, Yoshio] Japan Agcy Marine Earth Sci &amp; Technol, Res Inst Global Change, Yokohama, Kanagawa, Japan</t>
  </si>
  <si>
    <t>University of Tokyo; Japan Agency for Marine-Earth Science &amp; Technology (JAMSTEC)</t>
  </si>
  <si>
    <t>Sato, K (corresponding author), Univ Tokyo, Dept Earth &amp; Planetary Sci, Tokyo 1130033, Japan.</t>
  </si>
  <si>
    <t>kaoru@eps.s.u-tokyo.ac.jp</t>
  </si>
  <si>
    <t>Watanabe, Shingo/X-2336-2019; Satoh, Kaoru/P-2047-2015; Watanabe, Shingo/L-9689-2014; Kawatani, Yoshio/B-1777-2013; Sato, Kaoru/E-1693-2012</t>
  </si>
  <si>
    <t>Watanabe, Shingo/0000-0002-2228-0088; Watanabe, Shingo/0000-0002-2228-0088; Kawatani, Yoshio/0000-0003-3260-8830; Sato, Kaoru/0000-0002-6225-6066</t>
  </si>
  <si>
    <t>Ministry of Education, Culture, Sports and Technology (MEXT), Japan [19204047, 22340134]; MEXT; Grants-in-Aid for Scientific Research [23740363, 22340134, 19204047] Funding Source: KAKEN</t>
  </si>
  <si>
    <t>Ministry of Education, Culture, Sports and Technology (MEXT), Japan(Ministry of Education, Culture, Sports, Science and Technology, Japan (MEXT)); MEXT(Ministry of Education, Culture, Sports, Science and Technology, Japan (MEXT)); Grants-in-Aid for Scientific Research(Ministry of Education, Culture, Sports, Science and Technology, Japan (MEXT)Japan Society for the Promotion of ScienceGrants-in-Aid for Scientific Research (KAKENHI))</t>
  </si>
  <si>
    <t>This study is supported by a Grant-in-Aid for Scientific Research (A) 19204047 and (B) 22340134 of the Ministry of Education, Culture, Sports and Technology (MEXT), Japan. We authors thank Masaaki Takahashi, Yoshihiro Tomikawa, Kazuyuki Miyazaki, and M. Joan Alexander for their useful discussions. Thanks are also due to two anonymous reviewers for providing constructive comments. The model simulation was conducted using the Earth Simulator. A part of the simulation was made as a contribution to the Innovative Program of Climate Change Projection for the 21st Century supported by MEXT.</t>
  </si>
  <si>
    <t>0022-4928</t>
  </si>
  <si>
    <t>1520-0469</t>
  </si>
  <si>
    <t>J ATMOS SCI</t>
  </si>
  <si>
    <t>J. Atmos. Sci.</t>
  </si>
  <si>
    <t>10.1175/JAS-D-11-0101.1</t>
  </si>
  <si>
    <t>917VN</t>
  </si>
  <si>
    <t>WOS:000302206800013</t>
  </si>
  <si>
    <t>Lewis, RS; Drogou, M; King, P; Mann, G; Bose, N; Worby, A</t>
  </si>
  <si>
    <t>Lewis, Ron S.; Drogou, Michele; King, Peter; Mann, George; Bose, Neil; Worby, Anthony</t>
  </si>
  <si>
    <t>An acoustic signal propagation experiment beneath sea ice</t>
  </si>
  <si>
    <t>OCEAN ENGINEERING</t>
  </si>
  <si>
    <t>Autonomous underwater vehicle; Polar missions; Sea ice; Acoustic performance; Range estimation</t>
  </si>
  <si>
    <t>A polar environment presents unique operational challenges for Autonomous Underwater Vehicles (AUVs). Each ice environment whether it be sea, fast or shelf poses risks with significant consequences for AUV missions. Deployments can be coordinated via vessels or on-ice camps. The science and operational specifications on missions preclude shepherding of the AUV and result in a reliance on longer range acoustic signal transfer for communications and localization due to the typically lateral nature of the mission. In November 2009, a 10 kHz acoustic beacon system was tested for ranging capability and suitability of use for an emergency AUV location and monitoring system in the Antarctic sea ice environment. The system was deployed from the RV Aurora Australis north of the Australian Camp Davis. This work includes discussion on test plan formulation, prediction using simulation and field performance results of the acoustic system. Actual noise data and acoustic signal detection measurements are presented and compared with the simulation. Conclusions were drawn on deployment Configuration and the testing setup. Proposed modifications will be evaluated in future experimentation planned for late 2010. (C) 2012 Elsevier Ltd. All rights reserved.</t>
  </si>
  <si>
    <t>[Lewis, Ron S.; King, Peter; Mann, George] Mem Univ Newfoundland, Fac Engn &amp; Appl Sci, Marine Environm Res Lab Intelligent Vehicles MERL, St John, NF A1B 3X5, Canada; [Drogou, Michele] IFREMER, F-83507 La Seyne Sur Mer, France; [Bose, Neil] Univ Tasmania, Australian Maritime Coll, Natl Ctr Maritime Engn &amp; Hydrodynam, Launceston, Tas 7250, Australia; [Worby, Anthony] CSIRO Div Marine &amp; Atmospher Res, Hobart, Tas 7000, Australia</t>
  </si>
  <si>
    <t>Memorial University Newfoundland; Ifremer; University of Tasmania; Australian Maritime College; Commonwealth Scientific &amp; Industrial Research Organisation (CSIRO)</t>
  </si>
  <si>
    <t>Lewis, RS (corresponding author), Mem Univ Newfoundland, Fac Engn &amp; Appl Sci, Marine Environm Res Lab Intelligent Vehicles MERL, St John, NF A1B 3X5, Canada.</t>
  </si>
  <si>
    <t>ron@mun.ca; michele.drogou@ifremer.fr; peter.king@mun.ca; gmann@mun.ca; nbose@amc.edu.au; a.worby@utas.edu.au</t>
  </si>
  <si>
    <t>Bose, Neil/AAG-6329-2019; Mann, George K./AAW-9312-2021</t>
  </si>
  <si>
    <t>Bose, Neil/0000-0002-6444-0756; Mann, George K./0000-0002-1211-3374; King, Peter/0000-0001-9436-0936</t>
  </si>
  <si>
    <t>Australian Maritime College; University of Tasmania; Canada NSERC PGS-D</t>
  </si>
  <si>
    <t>Australian Maritime College; University of Tasmania; Canada NSERC PGS-D(Natural Sciences and Engineering Research Council of Canada (NSERC))</t>
  </si>
  <si>
    <t>The authors would like to thank the Australian Antarctic Division: the P&amp;O Maritime Crew of the RV Aurora Australis; and the pilots and engineers of Helicopter Resources Ltd. for the fine logistical and moral support during Voyage 1-2009. Financial support for equipment, travel expenses and shipping was provided from the Australian Maritime College and the University of Tasmania through a Special Projects Fund-SPF: AUV-Under Ice Development. Ron Lewis is supported by a Canada NSERC PGS-D Scholarship.</t>
  </si>
  <si>
    <t>0029-8018</t>
  </si>
  <si>
    <t>OCEAN ENG</t>
  </si>
  <si>
    <t>Ocean Eng.</t>
  </si>
  <si>
    <t>10.1016/j.oceaneng.2012.01.018</t>
  </si>
  <si>
    <t>Engineering, Marine; Engineering, Civil; Engineering, Ocean; Oceanography</t>
  </si>
  <si>
    <t>Engineering; Oceanography</t>
  </si>
  <si>
    <t>916MW</t>
  </si>
  <si>
    <t>WOS:000302108900006</t>
  </si>
  <si>
    <t>Headland, RK</t>
  </si>
  <si>
    <t>Headland, R. K.</t>
  </si>
  <si>
    <t>History of exotic terrestrial mammals in Antarctic regions R. K. Headland</t>
  </si>
  <si>
    <t>POLAR RECORD</t>
  </si>
  <si>
    <t>IMPACTS; ISLAND</t>
  </si>
  <si>
    <t>A concise account of exotic terrestrial mammals known to have been introduced in Antarctica and the 19 peri-Antarctic islands is provided. This includes the entire region currently relevant to the Scientific Committee on Antarctic Research. Of the 24 introduced species 10 are extant at one or more locations in 2011. Some species have had a widespread distribution and others are represented by one, or a few, individuals. The majority arrived as deliberate introductions but that of some was adventitious. Details of their dates of introduction, current status, and indications of environmental effects, are tabulated. Current eradication programmes are noted.</t>
  </si>
  <si>
    <t>Univ Cambridge, Scott Polar Res Inst, Cambridge CB2 1ER, England</t>
  </si>
  <si>
    <t>University of Cambridge</t>
  </si>
  <si>
    <t>Headland, RK (corresponding author), Univ Cambridge, Scott Polar Res Inst, Lensfield Rd, Cambridge CB2 1ER, England.</t>
  </si>
  <si>
    <t>rkh10@cam.ac.uk</t>
  </si>
  <si>
    <t>0032-2474</t>
  </si>
  <si>
    <t>1475-3057</t>
  </si>
  <si>
    <t>POLAR REC</t>
  </si>
  <si>
    <t>POLAR REC.</t>
  </si>
  <si>
    <t>10.1017/S0032247411000118</t>
  </si>
  <si>
    <t>902UT</t>
  </si>
  <si>
    <t>WOS:000301068500002</t>
  </si>
  <si>
    <t>Guly, HR</t>
  </si>
  <si>
    <t>Guly, H. R.</t>
  </si>
  <si>
    <t>'Polar anaemia': cardiac failure during the heroic age of Antarctic exploration</t>
  </si>
  <si>
    <t>SCURVY</t>
  </si>
  <si>
    <t>On the Belgica expedition (1897-1899), Dr F.A. Cook described a disease that he called 'polar anaemia' and on this expedition it affected most of the expedition members and caused one death. The symptoms were shortness of breath, abnormalities of the pulse and oedema (swelling of the legs) and the disease was clearly cardiac failure. During the heroic age of Antarctic exploration a similar disease affected at least eight other expeditions causing five other deaths. This disease was very similar (and probably identical) to a disease affecting (mostly) Scandinavian seamen and called 'ship beri-beri'. Both diseases were almost certainly what is now called wet beri-beri due to thiamine (vitamin B1) deficiency though most sufferers were probably also vitamin C deficient and some may have had both beri-beri and scurvy. It may have been exacerbated by invalid diets. This paper describes the disease and how it was considered and treated at the time.</t>
  </si>
  <si>
    <t>Derriford Hosp, Plymouth PL6 8DH, Devon, England</t>
  </si>
  <si>
    <t>Derriford Hospital</t>
  </si>
  <si>
    <t>Guly, HR (corresponding author), Derriford Hosp, Plymouth PL6 8DH, Devon, England.</t>
  </si>
  <si>
    <t>hguly@aol.com</t>
  </si>
  <si>
    <t>Wellcome Trust</t>
  </si>
  <si>
    <t>Wellcome Trust(Wellcome Trust)</t>
  </si>
  <si>
    <t>This research was funded by the Wellcome Trust which awarded the author a research grant to study medicine during the heroic age of Antarctic exploration. I would also like to thank Dr. P. Witt for translating parts of Dr. Gazert's medical report of the first German Expedition and Professor K.J. Carpenter for advice on the cause of ship beri-beri.</t>
  </si>
  <si>
    <t>10.1017/S0032247411000222</t>
  </si>
  <si>
    <t>WOS:000301068500005</t>
  </si>
  <si>
    <t>Hooper, M</t>
  </si>
  <si>
    <t>Hooper, Meredith</t>
  </si>
  <si>
    <t>'One cannot help liking them': Terra Nova meets Fram</t>
  </si>
  <si>
    <t>During January 1911 two separate expeditions came ashore within ten days of each other in Antarctica. Both were hoping to achieve the South Pole. Robert Falcon Scott's decision to establish his British Antarctic Expedition's winter quarters on Ross Island close to routes explored on his first Antarctic expedition was signalled in advance. Scott had received notification of the Norwegian Roald Amundsen's intention to head for Antarctica but did not know where he planned to land. At 00.05 am on 4 February 1911 the British expedition's vessel Terra Nova unexpectedly came across Amundsen's Fram moored to the ice edge in the Bay of Whales. 14 hours later Terra Nova departed, taking news of Amundsen's location and plans, to deliver to Scott. For those on Terra Nova who kept diaries, the event filled days surrounding the encounter spurred the recording of thoughts, emotions and conversations as well as descriptions: eye witness accounts, allowing us to gain an appreciation of the situation as it was. This material from the British side, together with letters, and diary entries from earlier in the voyage, reveals a more complex account than do expedition narratives published subsequently by several of the participants. Terra Nova's passage along the edge of the Ross Ice Shelf in February 1911 had, in fact, come close to being cancelled. Terra Nova's commander as instructed by Scott was heading for Balloon Bight on 3 February, not the Bay of Whales. Even the ship's departure after a short stay, with everyone still on board, became a matter for intense debate. In addition, the generally very positive attitude of the British towards the Norwegians as expressed in diaries hardened subsequently, at least for some. This paper's focus is on the responses of those on Terra Nova to the encounter. Those of the Norwegians are being explored by other researchers.</t>
  </si>
  <si>
    <t>Univ Cambridge Wolfson Coll, Cambridge CB3 9BB, England</t>
  </si>
  <si>
    <t>Hooper, M (corresponding author), Univ Cambridge Wolfson Coll, Cambridge CB3 9BB, England.</t>
  </si>
  <si>
    <t>MJH@wolfsonemail.com</t>
  </si>
  <si>
    <t>10.1017/S0032247411000271</t>
  </si>
  <si>
    <t>WOS:000301068500008</t>
  </si>
  <si>
    <t>Zhao, ZY; Liu, Z; Gong, P</t>
  </si>
  <si>
    <t>Zhao ZiYing; Liu Zhen; Gong Peng</t>
  </si>
  <si>
    <t>Automatic extraction of floating ice at Antarctic continental margin from remotely sensed imagery using object-based segmentation</t>
  </si>
  <si>
    <t>Antarctic; ice extraction; image segmentation; object-oriented</t>
  </si>
  <si>
    <t>ICEBERGS; CLASSIFICATION; TRACKING</t>
  </si>
  <si>
    <t>Information of Antarctic iceberg and sea ice are valuable to Antarctic ice melting patterns studies which are helpful to understand climate conditions and general trends of our planet. This paper presents an automatic floating ice extraction method based on image segmentation technology using region growing. It effectively solves the over-segmentation and under-segmentation problems by merging the gray, contour, location and other information of each ice-object. A pixel-based extraction method is proposed to extract the small ices within 5 pixels. LANDSAT TM data, Chinese environment disaster satellite HJ1B data, and MODIS 1B data used to detect Floating ice at Antarctic continental margin respectively. The results showed that the extraction accuracies of the three kinds of data were all higher than 81 percent, while the accuracies of both TM data and HJ1B data were higher than 90%. Object-based information extraction methods can not only obtain the total area and number of floating ice objects in the whole region, but also provide precise details of single objects, including area, perimeter, contour, average brightness.</t>
  </si>
  <si>
    <t>[Liu Zhen] Beijing Normal Univ, Ctr Informat &amp; Network Technol, Beijing 100875, Peoples R China; [Zhao ZiYing] Beijing Normal Univ, Coll Global Change &amp; Earth Syst, Beijing 100875, Peoples R China; [Gong Peng] Chinese Acad Sci, State Key Lab Remote Sensing Sci, Jointly Sponsored Inst Remote Sensing Applicat, Beijing 100101, Peoples R China; [Gong Peng] Beijing Normal Univ, Beijing 100101, Peoples R China</t>
  </si>
  <si>
    <t>Beijing Normal University; Beijing Normal University; Chinese Academy of Sciences; Beijing Normal University</t>
  </si>
  <si>
    <t>Liu, Z (corresponding author), Beijing Normal Univ, Ctr Informat &amp; Network Technol, Beijing 100875, Peoples R China.</t>
  </si>
  <si>
    <t>liuzhen@bnu.edu.cn</t>
  </si>
  <si>
    <t>Gong, Peng/AAM-1516-2021; Gong, Peng/L-8184-2013</t>
  </si>
  <si>
    <t>Gong, Peng/0000-0003-1513-3765;</t>
  </si>
  <si>
    <t>National High Technology Research and Development Program of China [2008AA09Z117]</t>
  </si>
  <si>
    <t>National High Technology Research and Development Program of China(National High Technology Research and Development Program of China)</t>
  </si>
  <si>
    <t>We would like to thank both Global Change and Earth System College in Beijing Normal University and the Centre of National Disaster Reduction of Ministry of Civil Affairs of the People's Republic of China for providing LANDSAT ETM+ remote sensing image data and the HJ1B remote sensing image data respectively. This work was Supported by the National High Technology Research and Development Program of China (Grant No. 2008AA09Z117).</t>
  </si>
  <si>
    <t>10.1007/s11430-011-4270-6</t>
  </si>
  <si>
    <t>919CC</t>
  </si>
  <si>
    <t>WOS:000302297300010</t>
  </si>
  <si>
    <t>Ligowski, R; Jordan, RW; Assmy, P</t>
  </si>
  <si>
    <t>Ligowski, Ryszard; Jordan, Richard W.; Assmy, Philipp</t>
  </si>
  <si>
    <t>Morphological adaptation of a planktonic diatom to growth in Antarctic sea ice</t>
  </si>
  <si>
    <t>MARINE BIOLOGY</t>
  </si>
  <si>
    <t>WEDDELL SEA; EDGE ZONE; SOUTHERN-OCEAN; MICROBIAL COMMUNITIES; MARINE-PHYTOPLANKTON; LAZAREV SEA; PACK ICE; ROSS SEA; SUMMER; ASSEMBLAGES</t>
  </si>
  <si>
    <t>Chaetoceros dichaeta Ehrenberg is one of the most important planktonic diatom species in the Southern Ocean, making a significant contribution to the total biomass in the region. Our observations on both field and culture material have revealed the existence of a specialized form of C. dichaeta adapted to living in sea ice. This sea ice form differs from the planktonic form by the shape and orientation of the setae and the aperture length between sibling cells. Thus, the diameter of the chain is equivalent to the apical axes of the cells and is accompanied by a two order of magnitude decrease in minimal space requirement. Here, we report for the first time on the extraordinary overwintering strategy of a planktonic diatom in sea ice facilitated by its rapid morphological adaptation to changing environmental conditions. This morphological plasticity enables it to thrive in the confined space of the sea ice brine matrix and retain its numerical dominance in recurrent growing seasons and has likely evolved to optimally exploit the dynamic ecosystem of the seasonally ice-covered seas of the Southern Ocean.</t>
  </si>
  <si>
    <t>[Ligowski, Ryszard] Univ Lodz, Dept Polar Biol &amp; Oceanobiol, PL-90237 Lodz, Poland; [Jordan, Richard W.] Yamagata Univ, Fac Sci, Dept Earth &amp; Environm Sci, Yamagata 9908560, Japan; [Assmy, Philipp] Alfred Wegener Inst Polar &amp; Marine Res, D-27570 Bremerhaven, Germany</t>
  </si>
  <si>
    <t>University of Lodz; Yamagata University; Helmholtz Association; Alfred Wegener Institute, Helmholtz Centre for Polar &amp; Marine Research</t>
  </si>
  <si>
    <t>Ligowski, R (corresponding author), Univ Lodz, Dept Polar Biol &amp; Oceanobiol, Banacha 12, PL-90237 Lodz, Poland.</t>
  </si>
  <si>
    <t>ligowski@biol.uni.lodz.pl</t>
  </si>
  <si>
    <t>Jordan, Richard/0000-0002-8997-7349</t>
  </si>
  <si>
    <t>Bremen International Graduate School for Marine Sciences (GLOMAR); German Research Foundation (DFG) within Excellence Initiative by the German federal</t>
  </si>
  <si>
    <t>Bremen International Graduate School for Marine Sciences (GLOMAR); German Research Foundation (DFG) within Excellence Initiative by the German federal(German Research Foundation (DFG))</t>
  </si>
  <si>
    <t>The field samples were collected during Antarctic expeditions organized by Polish Academy of Sciences. The authors would like to thank M. Montresor for comments on earlier drafts of this manuscript and for providing some of the pictures, L. Armand for help in obtaining data, and X. Crosta for allowing access to unpublished data. P.A. was supported by the Bremen International Graduate School for Marine Sciences (GLOMAR) that is funded by the German Research Foundation (DFG) within the frame of the Excellence Initiative by the German federal and state governments to promote science and research at German universities. We thank three reviewers for their careful reading of the manuscript and helpful comments.</t>
  </si>
  <si>
    <t>0025-3162</t>
  </si>
  <si>
    <t>1432-1793</t>
  </si>
  <si>
    <t>MAR BIOL</t>
  </si>
  <si>
    <t>Mar. Biol.</t>
  </si>
  <si>
    <t>10.1007/s00227-011-1857-6</t>
  </si>
  <si>
    <t>913BI</t>
  </si>
  <si>
    <t>WOS:000301845900010</t>
  </si>
  <si>
    <t>Schories, D; Niedzwiedz, G</t>
  </si>
  <si>
    <t>Schories, Dirk; Niedzwiedz, Gerd</t>
  </si>
  <si>
    <t>Precision, accuracy, and application of diver-towed underwater GPS receivers</t>
  </si>
  <si>
    <t>ENVIRONMENTAL MONITORING AND ASSESSMENT</t>
  </si>
  <si>
    <t>Global positioning system; Monitoring; Scientific diving</t>
  </si>
  <si>
    <t>POSIDONIA-OCEANICA; VIDEOGRAPHY; DISTURBANCE; SYSTEM</t>
  </si>
  <si>
    <t>Diver-towed global positioning systems (GPS) handhelds have been used for a few years in underwater monitoring studies. We modeled the accuracy of this method using the software KABKURR originally developed by the University of Rostock for fishing and marine engineering. Additionally, three field experiments were conducted to estimate the precision of the method and apply it in the field: (1) an experiment of underwater transects from 5 to 35 m in the Southern Chile fjord region, (2) a transect from 5 to 30 m under extreme climatic conditions in the Antarctic, and (3) an underwater tracking experiment at Lake Ranco, Southern Chile. The coiled cable length in relation to water depth is the main error source besides the signal quality of the GPS under calm weather conditions. The forces used in the model resulted in a displacement of 2.3 m in a depth of 5 m, 3.2 m at a 10-m depth, 4.6 m in a 20-m depth, 5.5 m at a 30-m depth, and 6.8 m in a 40-m depth, when only an additional 0.5 m cable extension was used compared to the water depth. The GPS buoy requires good buoyancy in order to keep its position at the water surface when the diver is trying to minimize any additional cable extension error. The diver has to apply a tensile force for shortening the cable length at the lower cable end. Repeated diving along transect lines from 5 to 35 m resulted only in small deviations independent of water depth indicating the precision of the method for monitoring studies. Routing of given reference points with a Garmin 76CSx handheld placed in an underwater housing resulted in mean deviances less than 6 m at a water depth of 10 m. Thus, we can confirm that diver-towed GPS handhelds give promising results when used for underwater research in shallow water and open a wide field of applicability, but no submeter accuracy is possible due to the different error sources.</t>
  </si>
  <si>
    <t>[Schories, Dirk] Univ Austral Chile, Inst Ciencias Marinas &amp; Limnol, Valdivia, Chile; [Niedzwiedz, Gerd] Univ Rostock, Inst Biol Sci, D-18051 Rostock, Germany</t>
  </si>
  <si>
    <t>Universidad Austral de Chile; University of Rostock</t>
  </si>
  <si>
    <t>Schories, D (corresponding author), Univ Austral Chile, Inst Ciencias Marinas &amp; Limnol, Casilla 567, Valdivia, Chile.</t>
  </si>
  <si>
    <t>dirk.schories@gmx.de; gerd.niedzwiedz@uni-rostock.de</t>
  </si>
  <si>
    <t>International Bureau, Bonn, FRG [CHL 07/007]; Direction of Investigation and Development of the University Austral de Chile, Valdivia, UACh, Chile [S-2008-14]; Chilean Antarctic Institute, INACh [T_21-09]</t>
  </si>
  <si>
    <t>International Bureau, Bonn, FRG; Direction of Investigation and Development of the University Austral de Chile, Valdivia, UACh, Chile; Chilean Antarctic Institute, INACh</t>
  </si>
  <si>
    <t>This work was supported by the International Bureau, Bonn, FRG (project number, CHL 07/007), the Direction of Investigation and Development of the University Austral de Chile, Valdivia, UACh, Chile (S-2008-14), and the Chilean Antarctic Institute, INACh (project number T_21-09).</t>
  </si>
  <si>
    <t>0167-6369</t>
  </si>
  <si>
    <t>1573-2959</t>
  </si>
  <si>
    <t>ENVIRON MONIT ASSESS</t>
  </si>
  <si>
    <t>Environ. Monit. Assess.</t>
  </si>
  <si>
    <t>10.1007/s10661-011-2122-7</t>
  </si>
  <si>
    <t>899WU</t>
  </si>
  <si>
    <t>WOS:000300848100044</t>
  </si>
  <si>
    <t>Nikrad, MP; Cottrell, MT; Kirchman, DL</t>
  </si>
  <si>
    <t>Nikrad, Mrinalini P.; Cottrell, M. T.; Kirchman, D. L.</t>
  </si>
  <si>
    <t>Abundance and Single-Cell Activity of Heterotrophic Bacterial Groups in the Western Arctic Ocean in Summer and Winter</t>
  </si>
  <si>
    <t>APPLIED AND ENVIRONMENTAL MICROBIOLOGY</t>
  </si>
  <si>
    <t>DISSOLVED ORGANIC-MATTER; NORTH-ATLANTIC OCEAN; CATALYZED REPORTER DEPOSITION; IN-SITU HYBRIDIZATION; BIOMASS PRODUCTION; MARINE BACTERIOPLANKTON; LEUCINE INCORPORATION; DELAWARE ESTUARY; COASTAL WATERS; SAR11 BACTERIA</t>
  </si>
  <si>
    <t>Environmental conditions in the western Arctic Ocean range from constant light and nutrient depletion in summer to complete darkness and sea ice cover in winter. This seasonal environmental variation is likely to have an effect on the use of dissolved organic matter (DOM) by heterotrophic bacteria in surface water. However, this effect is not well studied and we know little about the activity of specific bacterial clades in the surface oceans. The use of DOM by three bacterial subgroups in both winter and summer was examined by microautoradiography combined with fluorescence in situ hybridization. We found selective use of substrates by these groups, although the abundances of Ant4D3 (Antarctic Gammaproteobacteria), Polaribacter (Bacteroidetes), and SAR11 (Alphaproteobacteria) were not different between summer and winter in the Beaufort and Chukchi Seas. The number of cells taking up glucose within all three bacterial groups decreased significantly from summer to winter, while the percentage of cells using leucine did not show a clear pattern between seasons. The uptake of the amino acid mix increased substantially from summer to winter by the Ant4D3 group, although such a large increase in uptake was not seen for the other two groups. Use of glucose by bacteria, but not use of leucine or the amino acid mix, related strongly to inorganic nutrients, chlorophyll a, and other environmental factors. Our results suggest a switch in use of dissolved organic substrates from summer to winter and that the three phylogenetic subgroups examined fill different niches in DOM use in the two seasons.</t>
  </si>
  <si>
    <t>[Nikrad, Mrinalini P.; Cottrell, M. T.; Kirchman, D. L.] Univ Delaware, Sch Marine Sci &amp; Policy, Lewes, DE 19958 USA</t>
  </si>
  <si>
    <t>Kirchman, DL (corresponding author), Univ Delaware, Sch Marine Sci &amp; Policy, Lewes, DE 19958 USA.</t>
  </si>
  <si>
    <t>kirchman@udel.edu</t>
  </si>
  <si>
    <t>Cottrell, Matthew T/C-3266-2009</t>
  </si>
  <si>
    <t>Cottrell, Matthew/0000-0003-0449-9999</t>
  </si>
  <si>
    <t>NSF [OPP 0632233, 0838830]; Directorate For Geosciences; Office of Polar Programs (OPP) [0838830] Funding Source: National Science Foundation</t>
  </si>
  <si>
    <t>This work was supported by NSF grants (OPP 0632233 and 0838830).</t>
  </si>
  <si>
    <t>0099-2240</t>
  </si>
  <si>
    <t>APPL ENVIRON MICROB</t>
  </si>
  <si>
    <t>Appl. Environ. Microbiol.</t>
  </si>
  <si>
    <t>10.1128/AEM.07130-11</t>
  </si>
  <si>
    <t>Biotechnology &amp; Applied Microbiology; Microbiology</t>
  </si>
  <si>
    <t>906KP</t>
  </si>
  <si>
    <t>WOS:000301344300038</t>
  </si>
  <si>
    <t>Pietroni, I; Argentini, S; Petenko, I; Sozzi, R</t>
  </si>
  <si>
    <t>Pietroni, Ilaria; Argentini, Stefania; Petenko, Igor; Sozzi, Roberto</t>
  </si>
  <si>
    <t>Measurements and Parametrizations of the Atmospheric Boundary-Layer Height at Dome C, Antarctica</t>
  </si>
  <si>
    <t>BOUNDARY-LAYER METEOROLOGY</t>
  </si>
  <si>
    <t>15th International Symposium for the Advancement of Boundary-Layer Remote Sensing (ISARS)</t>
  </si>
  <si>
    <t>JUN 28-30, 2010</t>
  </si>
  <si>
    <t>Univ Versailles St-Quentin-en-Yvelines, Inst Pierre Simon Laplace (IPSL), Paris, FRANCE</t>
  </si>
  <si>
    <t>Univ Versailles St-Quentin-en-Yvelines, Inst Pierre Simon Laplace (IPSL)</t>
  </si>
  <si>
    <t>Antarctic boundary layer; Boundary-layer height; Mini-sodar</t>
  </si>
  <si>
    <t>SURFACE-ENERGY BALANCE; ADELIE LAND; SOUTH-POLE; MODEL; VARIABILITY; TURBULENCE; PLATEAU; CLOUDS; HALLEY</t>
  </si>
  <si>
    <t>An experimental campaign, Study of the Atmospheric Boundary Layer Environmental at Dome C, was held during 2005 at the French-Italian station of Concordia at Dome C. Ground-based remote sensors, as well as in situ instrumentation, were used during the experimental campaign. The measurements allowed the direct estimation of the polar atmospheric boundary-layer height and the test of several parametrizations for the unstable and stable boundary layers. During the months of January and February, weak convection was observed while, during the polar night, a long-lived stable boundary layer occurred continuously. Under unstable stratification the mixing-layer height was determined using the sodar backscattered echoes and potential temperature profiles. The two estimations are highly correlated, with the mixing height ranging between 30 and 350 m. A simple prognostic one-dimensional model was used to estimate the convective mixing-layer height, with the correlation coefficient between observations and model results being 0.66. The boundary-layer height under stable conditions was estimated from radiosounding profiles as the height where the critical Richardson number is reached; values between 10 and 150 m were found. A visual inspection of potential temperature profiles was also used as further confirmation of the experimental height; the results of the two methods are in good agreement. Six parametrizations from the literature for the stable boundary-layer height were tested. Only the parametrization that considers the long-lived stable boundary layer and takes into account the interaction of the stable layer with the free atmosphere is in agreement with the observations.</t>
  </si>
  <si>
    <t>[Pietroni, Ilaria; Argentini, Stefania; Petenko, Igor] CNR, Inst Atmospher Sci &amp; Climate, I-00133 Rome, Italy; [Petenko, Igor] AM Obukhov Inst Atmospher Phys, Moscow 119017, Russia; [Sozzi, Roberto] Environm Protect Agcy Lazio Reg ARPA Lazio, I-00187 Rome, Italy</t>
  </si>
  <si>
    <t>Consiglio Nazionale delle Ricerche (CNR); Istituto di Scienze dell'Atmosfera e del Clima (ISAC-CNR); Russian Academy of Sciences; Obukhov Institute of Atmospheric Physics of Russian Academy of Sciences; Regional Environmental Protection Agency - Italy</t>
  </si>
  <si>
    <t>Pietroni, I (corresponding author), CNR, Inst Atmospher Sci &amp; Climate, Via Fosso del Cavaliere 100, I-00133 Rome, Italy.</t>
  </si>
  <si>
    <t>ilaria.pietroni@artov.isac.cnr.it</t>
  </si>
  <si>
    <t>ARGENTINI, STEFANIA/0000-0002-7939-0309; PETENKO, IGOR/0000-0002-8475-5018</t>
  </si>
  <si>
    <t>0006-8314</t>
  </si>
  <si>
    <t>1573-1472</t>
  </si>
  <si>
    <t>BOUND-LAY METEOROL</t>
  </si>
  <si>
    <t>Bound.-Layer Meteor.</t>
  </si>
  <si>
    <t>10.1007/s10546-011-9675-4</t>
  </si>
  <si>
    <t>907ZX</t>
  </si>
  <si>
    <t>WOS:000301460900013</t>
  </si>
  <si>
    <t>Paterson, H; Laybourn-Parry, J</t>
  </si>
  <si>
    <t>Paterson, Harriet; Laybourn-Parry, Johanna</t>
  </si>
  <si>
    <t>Antarctic sea ice viral dynamics over an annual cycle</t>
  </si>
  <si>
    <t>Viruses; Sea ice; Lysogeny; Production; Burst size; Infection rates</t>
  </si>
  <si>
    <t>EXOPOLYMER PARTICLES; BACTERIAL PRODUCTION; MARINE VIRUSES; ABUNDANCE; LYSOGENY; MICROORGANISMS; MORTALITY; RESOLUTE; SYSTEMS; SURFACE</t>
  </si>
  <si>
    <t>Viral abundance, burst sizes, lytic production and temperate phage were investigated in land-fast ice at two sites in Prydz Bay Antarctica (68A degrees S, 77A degrees E) between April and November 2008. Both ice cores and brine were collected. There was no seasonal pattern in viral or bacterial numbers. Across the two sites virus abundances ranged between 0.5 x 10(5) and 5.1 x 10(5) viruses ml(-1) in melted ice cores and 0.6 x 10(5)-3.5 x 10(5) viruses ml(-1) in brine, and bacterial abundances between 2.7 x 10(4) and 17.3 x 10(4) cells ml(-1) in melted ice cores and 3.9 x 10(4)-32.5 x 10(4) cells ml(-1) in brine. Virus to bacterium ratios (VBR) showed a clear seasonal pattern in ice cores with lowest values in winter (range 1.2-20.8), while VBRs in brine were lower (0.2-4.9). Lytic viral production range from undetectable to 2.0 x 10(4) viruses ml(-1) h(-1) in ice cores with maximum rates in September and November. In brine maximum, lytic viral production occurred in November (1.18 x 10(4) viruses ml(-1) h(-1)). Low burst sizes were typical (3.94-4.03 viruses per bacterium in ice cores and 3.16-4.0 viruses per bacterium in brine) with unusually high levels of visibly infected cells-range 40-50%. This long-term investigation revealed that viral activity was apparent within the sea ice throughout its annual cycle. The findings are discussed within the context of limited data available on viruses in sea ice.</t>
  </si>
  <si>
    <t>[Laybourn-Parry, Johanna] Univ Bristol, Bristol Glaciol Ctr, Sch Geog Sci, Bristol BS8 1SS, Avon, England; [Paterson, Harriet] Univ Tasmania, Inst Marine &amp; Antarctic Studies, Hobart, Tas, Australia</t>
  </si>
  <si>
    <t>University of Bristol; University of Tasmania</t>
  </si>
  <si>
    <t>Laybourn-Parry, J (corresponding author), Univ Bristol, Bristol Glaciol Ctr, Sch Geog Sci, Bristol BS8 1SS, Avon, England.</t>
  </si>
  <si>
    <t>Jo.Laybourn-Parry@bristol.ac.uk</t>
  </si>
  <si>
    <t>Paterson, Harriet H/F-3847-2012</t>
  </si>
  <si>
    <t>Paterson, Harriet/0000-0002-9825-3588</t>
  </si>
  <si>
    <t>Australian Antarctic Advisory Committee; University of Tasmania</t>
  </si>
  <si>
    <t>The work was funded by grants form the Australian Antarctic Advisory Committee and the University of Tasmania to JL-P. The authors are indebted to the Davis Station personnel during 2007-2008 who provided logistic support in the Weld. We thank the Australian Antarctic Division for the use of their Electron Microscopy facilities.</t>
  </si>
  <si>
    <t>10.1007/s00300-011-1093-z</t>
  </si>
  <si>
    <t>907XA</t>
  </si>
  <si>
    <t>WOS:000301451600002</t>
  </si>
  <si>
    <t>Lalouette, L; Williams, CM; Cottin, M; Sinclair, BJ; Renault, D</t>
  </si>
  <si>
    <t>Lalouette, L.; Williams, C. M.; Cottin, M.; Sinclair, B. J.; Renault, D.</t>
  </si>
  <si>
    <t>Thermal biology of the alien ground beetle Merizodus soledadinus introduced to the Kerguelen Islands</t>
  </si>
  <si>
    <t>Sub-Antarctic island; Insect; Critical thermal limit; Survival; Fluctuating thermal regime; Metabolic rate</t>
  </si>
  <si>
    <t>RESPIRATORY METABOLISM; PARASITIC WASP; CLIMATE-CHANGE; LONG-TERM; INTERSPECIFIC VARIATION; LOW-TEMPERATURES; COLD-EXPOSURE; CHILL-INJURY; SURVIVAL; TOLERANCE</t>
  </si>
  <si>
    <t>Thermal tolerance is one of the major determinants of successful establishment and spread of invasive aliens. Merizodus soledadinus (Coleoptera, Carabidae) was accidentally introduced to Kerguelen from the Falkland Islands in 1913. On Kerguelen, the climate is cooler than the Falklands Islands but has been getting warmer since the 1990s, in synchrony with the rapid expansion of M. soledadinus. We aimed to investigate the thermal sensitivity in adults of M. soledadinus and hypothesised that climate warming has assisted the colonisation process of M. soledadinus. We examined (1) survival of constant low temperatures and at fluctuating thermal regimes, (2) the critical thermal limits (CTmin and CTmax) of acclimated individuals (4, 8 and 16A degrees C), (3) the metabolic rates of acclimated adults at temperatures from 0 to 16A degrees C. The FTRs moderately increased the duration of survival compared to constant cold exposure. M. soledadinus exhibited an activity window ranged from -5.5 +/- A 0.3 to 38 +/- A 0.5A degrees C. The Q (10) after acclimation to temperatures ranging from 0 to 16A degrees C was 2.49. Our work shows that this species is only moderately cold tolerant with little thermal plasticity. The CTmin of M. soledadinus are close to the low temperatures experienced in winter on Kerguelen Islands, but the CTmax are well above summer conditions, suggesting that this species has abundant scope to deal with current climate change.</t>
  </si>
  <si>
    <t>[Lalouette, L.; Renault, D.] Univ Rennes 1, UMR CNRS 6553, F-35042 Rennes, France; [Williams, C. M.; Sinclair, B. J.] Univ Western Ontario, Dept Biol, London, ON N6A 5B7, Canada; [Cottin, M.] Univ Strasbourg IPHC, UMR CNRS 7178, F-67087 Strasbourg, France</t>
  </si>
  <si>
    <t>Centre National de la Recherche Scientifique (CNRS); Universite de Rennes; Western University (University of Western Ontario)</t>
  </si>
  <si>
    <t>Lalouette, L (corresponding author), Univ Rennes 1, UMR CNRS 6553, 263 Ave Gal Leclerc,CS 74205, F-35042 Rennes, France.</t>
  </si>
  <si>
    <t>lisa.lalouette@gmail.com</t>
  </si>
  <si>
    <t>Williams, Caroline/B-4001-2012; Sinclair, Brent J/C-6133-2012</t>
  </si>
  <si>
    <t>Williams, Caroline/0000-0003-3112-0286; Sinclair, Brent/0000-0002-8191-9910; RENAULT, David/0000-0003-3644-1759</t>
  </si>
  <si>
    <t>French Ministry of Foreign Affairs; NSERC; Canadian Foundation for Innovation; Institut Polaire Francais (IPEV) [136]; CNRS (Zone-Atelier de Recherches sur l'Environnement Antarctique et Subantarctique); Agence Nationale de la Recherche [ANR-07-VULN-004]; SCAR</t>
  </si>
  <si>
    <t>French Ministry of Foreign Affairs; NSERC(Natural Sciences and Engineering Research Council of Canada (NSERC)); Canadian Foundation for Innovation(Canada Foundation for Innovation); Institut Polaire Francais (IPEV); CNRS (Zone-Atelier de Recherches sur l'Environnement Antarctique et Subantarctique)(Centre National de la Recherche Scientifique (CNRS)); Agence Nationale de la Recherche(Agence Nationale de la Recherche (ANR)); SCAR</t>
  </si>
  <si>
    <t>The authors thank the French Ministry of Foreign Affairs that funded the travel of D. Renault from France to Canada (French-Canada scientific cooperation). The work in Canada was funded by NSERC and Canadian Foundation for Innovation grants to BJS. This research was supported by the Institut Polaire Francais (IPEV, programme 136 coordinated by Marc Lebouvier), the CNRS (Zone-Atelier de Recherches sur l'Environnement Antarctique et Subantarctique), and the Agence Nationale de la Recherche (ANR-07-VULN-004, Vulnerability of native communities to invasive insects and climate change in sub-Antarctic Islands, EVINCE). We also thank Peter Convey, Steve Colwell and Thomas Bracegirdlle (British Antarctic Survey, Cambridge UK) for the meteorological data from the Falklands Islands. This research is linked with the SCAR Evolution and Biodiversity in the Antarctic research programme. We thank Jeff Bale for the jacketed glass cylinder and Roger Worland and an anonymous referee for comments that improved the manuscript.</t>
  </si>
  <si>
    <t>10.1007/s00300-011-1096-9</t>
  </si>
  <si>
    <t>WOS:000301451600004</t>
  </si>
  <si>
    <t>Daneri, GA; Carlini, AR; Negri, A; Allcock, AL; Corbalán, A</t>
  </si>
  <si>
    <t>Daneri, G. A.; Carlini, A. R.; Negri, A.; Allcock, A. L.; Corbalan, A.</t>
  </si>
  <si>
    <t>Predation on cephalopods by Weddell seals, Leptonychotes weddellii, at Hope Bay, Antarctic Peninsula</t>
  </si>
  <si>
    <t>Leptonychotes; Cephalopods; Diet; Weddell seals; Antarctic Peninsula</t>
  </si>
  <si>
    <t>DIET; OCTOPODIDAE; EASTERN; SQUID; GENUS; FOOD; PREY</t>
  </si>
  <si>
    <t>Cephalopods play a key role in marine environments as food resources for top predators such as marine mammals and seabirds. However, detailed information on their trophic relationships with Antarctic seals is scarce. The aim of the present study was to examine the cephalopod portion of the diet of adult and subadult Weddell seals, Leptonychotes weddellii, at Hope Bay, Antarctic Peninsula, through the analysis of scats collected during three consecutive summers (2003, 2004 and 2005). Cephalopods occurred in almost 45% of the 217 samples collected during the whole period of study. A total of 662 beaks (358 upper and 304 lower) were removed from scats containing cephalopod remains (n = 93). Octopods were largely dominant in comparison with teuthoids constituting in numerical abundance over 95% of the cephalopod prey. The octopod Pareledone turqueti was the most frequent and dominant prey species representing, respectively, 57.9 and 71.1% in numbers and biomass of cephalopods consumed. Species belonging to the group of papillated Pareledone were second in importance. The results were compared with information from previous dietary studies of L. weddellii at other localities of Antarctica. Based on the examination of the cephalopod prey taxa identified in this study, it is suggested that during the study period Weddell seal individuals foraged mainly on benthic prey resources close to the coast, in inshore waters where octopods were dominant in comparison with pelagic squid.</t>
  </si>
  <si>
    <t>[Daneri, G. A.; Negri, A.] Museo Argentino Ciencias Nat Bernardino Rivadavia, Div Mastozool, Buenos Aires, DF, Argentina; [Carlini, A. R.; Corbalan, A.] Inst Antartico Argentino, Dept Biol Predadores Tope, Buenos Aires, DF, Argentina; [Allcock, A. L.] Natl Univ Ireland, Dept Zool, Martin Ryan Marine Sci Inst, Galway, Ireland</t>
  </si>
  <si>
    <t>Museo Argentino de Ciencias Naturales Bernardino Rivadavia (MACN); Instituto Antartico Argentino; Ollscoil na Gaillimhe-University of Galway</t>
  </si>
  <si>
    <t>Daneri, GA (corresponding author), Museo Argentino Ciencias Nat Bernardino Rivadavia, Div Mastozool, Ave Angel Gallardo 470,C1405DJR, Buenos Aires, DF, Argentina.</t>
  </si>
  <si>
    <t>gdaneri@macn.gov.ar</t>
  </si>
  <si>
    <t>Negri, Alessandra/D-4085-2011; Allcock, Louise/A-7359-2012</t>
  </si>
  <si>
    <t>Allcock, Louise/0000-0002-4806-0040</t>
  </si>
  <si>
    <t>Direccion Nacional del Antartico; Agencia Nacional de Promocion Cientifica y Tecnologica [36054]</t>
  </si>
  <si>
    <t>Direccion Nacional del Antartico; Agencia Nacional de Promocion Cientifica y Tecnologica(ANPCyTSpanish Government)</t>
  </si>
  <si>
    <t>We are indebted to Dr. E. Marschoff who provided statistical advice. We are also grateful to M. Libertelli and G. Blanco for Weld assistance. This study was carried out with financial support from the Direccion Nacional del Antartico and the Agencia Nacional de Promocion Cientifica y Tecnologica (Grant: PICTO no. 36054). This work is dedicated to the memory of Dr. Alejandro Carlini (Alex).</t>
  </si>
  <si>
    <t>10.1007/s00300-011-1104-0</t>
  </si>
  <si>
    <t>WOS:000301451600011</t>
  </si>
  <si>
    <t>Ledoux, JB; Tarnowska, K; Gérard, K; Lhuillier, E; Jacquemin, B; Weydmann, A; Féral, JP; Chenuil, A</t>
  </si>
  <si>
    <t>Ledoux, J. -B.; Tarnowska, K.; Gerard, K.; Lhuillier, E.; Jacquemin, B.; Weydmann, A.; Feral, J. -P.; Chenuil, A.</t>
  </si>
  <si>
    <t>Fine-scale spatial genetic structure in the brooding sea urchin Abatus cordatus suggests vulnerability of the Southern Ocean marine invertebrates facing global change</t>
  </si>
  <si>
    <t>Abatus cordatus; Microsatellites; Introns; Brooding; Genetic structure; Heterozygote deficiency</t>
  </si>
  <si>
    <t>MULTILOCUS GENOTYPE DATA; MEDITERRANEAN RED CORAL; POPULATION-STRUCTURE; MICROSATELLITE LOCI; HETEROZYGOTE DEFICIENCIES; MITOCHONDRIAL LINEAGES; AMPHIPHOLIS-SQUAMATA; F-STATISTICS; NULL ALLELES; DISPERSAL</t>
  </si>
  <si>
    <t>The Southern Ocean benthic communities are characterized by their levels of endemism and their diversity of invertebrate brooding species. Overall, biological processes acting within these species remain poorly understood despite their importance to understand impacts of ongoing global change. We take part in filling this gap by studying the genetic structure over different spatial scales (from centimeters to tens of kilometers) in Abatus cordatus, an endemic and brooding sea urchin from the Kerguelen Islands. We developed three microsatellites and two exon-primed intron crossing markers and conducted a two-scale sampling scheme (from individuals to patches) within two dense localities of Abatus cordatus. Between patches, all pairwise comparisons, covering distances from few meters (between patches within locality) to 25 km (between localities), revealed significant genetic differentiation, a higher proportion of the molecular variance being explained by the comparisons between localities than within localities, in agreement with an isolation by distance model. Within patches, we found no significant correlation between individual pairwise spatial and genetic distances, except for the most polymorphic locus in the patch where the largest range of geographical distances had been analyzed. This study provides an estimation of the dispersal capacities of Abatus cordatus and highlights its low recolonization ability. Similar low recolonization capacities are thus expected in other Antarctic and Subantarctic brooding invertebrate species and suggest a high vulnerability of these species facing global change.</t>
  </si>
  <si>
    <t>[Ledoux, J. -B.; Tarnowska, K.; Gerard, K.; Lhuillier, E.; Jacquemin, B.; Weydmann, A.; Feral, J. -P.; Chenuil, A.] Aix Marseille Univ, CNRS UMR DIMAR 6540, Ctr Oceanol Marseille, Stn Marine Endoume, F-13007 Marseille, France; [Tarnowska, K.] Univ Sud Toulon Var, Equipe Biol Mol Marine PROTEE, F-83957 La Garde, France; [Gerard, K.] Univ Chile, Lab Ecol Mol, Inst Ecol &amp; Biodiversidad, Santiago 3425, Chile</t>
  </si>
  <si>
    <t>Aix-Marseille Universite; Universidad de Chile</t>
  </si>
  <si>
    <t>Ledoux, JB (corresponding author), Inst Ciencies Mar CSIC, Passeig Maritim Barceloneta 37-49, Barcelona 08003, Spain.</t>
  </si>
  <si>
    <t>jbaptiste.ledoux@gmail.com</t>
  </si>
  <si>
    <t>Gérard, Karin/AAC-4911-2021; Weydmann-Zwolicka, Agata/AAA-6809-2019; FERAL, Jean-Pierre/M-9608-2019; Feral, Jean-Pierre/C-8368-2012; Gerard, Karin/H-6245-2014; FERAL, Jean-Pierre/A-8199-2008; CHENUIL, Anne/E-3902-2012</t>
  </si>
  <si>
    <t>Gérard, Karin/0000-0003-0596-1348; Weydmann-Zwolicka, Agata/0000-0002-6655-6613; FERAL, Jean-Pierre/0000-0001-7627-0160; FERAL, Jean-Pierre/0000-0001-7627-0160; Ledoux, Jean-Baptiste/0000-0001-8796-6163</t>
  </si>
  <si>
    <t>French Polar Institute (IPEV) [195]</t>
  </si>
  <si>
    <t>French Polar Institute (IPEV)</t>
  </si>
  <si>
    <t>Development of EPIC markers, corresponding salaries, and genotyping was possible owing to two European networks of excellence, NoE MARBEF (GOCE-CT-2003-505446) and NoE Marine Genomics Europe (GOCE-CT-2004-505403) and a French ANR Antflock. Logistic and collection of Abatus cordatus were supported by the program Macrobenthos no 195 of the French Polar Institute (IPEV), and thanks to Thomas Abiven for help in samples collection and management in fieldwork.</t>
  </si>
  <si>
    <t>10.1007/s00300-011-1106-y</t>
  </si>
  <si>
    <t>WOS:000301451600013</t>
  </si>
  <si>
    <t>Oliver, DP; Kookana, RS; Anderson, JS; Cox, JW; Fleming, N; Wallerd, N; Smith, L</t>
  </si>
  <si>
    <t>Oliver, Danielle P.; Kookana, Rai S.; Anderson, Jenny S.; Cox, Jim W.; Fleming, Nigel; Wallerd, Natasha; Smith, Lester</t>
  </si>
  <si>
    <t>Off-site transport of pesticides from two horticultural land uses in the Mt. Lofty Ranges, South Australia</t>
  </si>
  <si>
    <t>AGRICULTURAL WATER MANAGEMENT</t>
  </si>
  <si>
    <t>Water quality; Pesticide transport; Management</t>
  </si>
  <si>
    <t>WATER; SEDIMENT</t>
  </si>
  <si>
    <t>Local runoff from the catchments in the Mt. Lofty Ranges provides a major source of drinking water for the city of Adelaide, South Australia, Australia. In this study two major land uses (apples and cherries) in the Mt. Lofty Ranges were monitored for off-site transport of pesticides over approximately 30 months. While fungicides have been rarely reported in the literature to be present in surface water, in our studies several fungicides (fenarimol, bupirimate, penconazole, procymidone, propiconazole) were found to be transported off-site in a persistent manner over the study period. Two pesticides (chlorpyrifos and fenari-mol) from the apple orchard were of particular concern. The average chlorpyrifos concentrations in 2007 and 2009 were more than ten times the environmental guideline value (0.01 mu g/L), suggesting potential deleterious effects on aquatic organisms immediately downstream of the apple orchard. Fenarimol was detected in 19 water samples collected from early April to early June 2007 and in 95% of these cases the total concentration exceeded the Australian Drinking Water Quality Guideline (no environmental guidelines are available in Australia for this chemical). For pesticides such as chlorpyrifos and fenarimol at least a ten-fold dilution would be required in the receiving environment for the concentrations to be below current guideline values. Generally more pesticides were detected in drainage water leaving the apple orchard than the cherry orchard, reflecting higher pesticide use at the former. The results from this study indicate that pesticides are of concern in this catchment and strategies for minimising off-site transport need to be developed and evaluated. Data from this study show that while some pesticides move off-site predominantly with the first runoff event some pesticides continue to be transported off-site for months. Some pesticides in the Mt. Lofty Ranges are persisting in soils or on the crop canopy for considerable time periods and being detected in surface runoff water months after the last application. Crown Copyright (C) 2011 Published by Elsevier B.V. All rights reserved.</t>
  </si>
  <si>
    <t>[Oliver, Danielle P.; Kookana, Rai S.; Anderson, Jenny S.; Smith, Lester] CSIRO Land &amp; Water, Water Hlth Country Natl Flagship, Glen Osmond, SA 5064, Australia; [Cox, Jim W.] Univ Adelaide, Glen Osmond, SA 5064, Australia; [Fleming, Nigel] SARDI, Adelaide, SA 5001, Australia; [Wallerd, Natasha] Australian Antarctic Div, Kingston, Tas 7050, Australia</t>
  </si>
  <si>
    <t>Commonwealth Scientific &amp; Industrial Research Organisation (CSIRO); University of Adelaide; Australian Antarctic Division</t>
  </si>
  <si>
    <t>Oliver, DP (corresponding author), CSIRO Land &amp; Water, Water Hlth Country Natl Flagship, PMB 2, Glen Osmond, SA 5064, Australia.</t>
  </si>
  <si>
    <t>Danni.Oliver@csiro.au</t>
  </si>
  <si>
    <t>Kookana, Rai/AAV-3563-2021; Oliver, Danielle/E-7518-2012; Kookana, Rai S/A-5170-2012</t>
  </si>
  <si>
    <t>Kookana, Rai/0000-0002-0477-3284; Kookana, Rai S/0000-0002-0477-3284</t>
  </si>
  <si>
    <t>Australian Centre for International Agricultural Research (ACIAR); National Landcare Program (NLP); Centre for Natural Resource Management</t>
  </si>
  <si>
    <t>Australian Centre for International Agricultural Research (ACIAR)(Australian Ctr Intl Agr Res); National Landcare Program (NLP); Centre for Natural Resource Management</t>
  </si>
  <si>
    <t>The financial support of Australian Centre for International Agricultural Research (ACIAR), National Landcare Program (NLP) and Centre for Natural Resource Management for this study are gratefully acknowledged. The growers who participated in this project are also thanked for their generosity.</t>
  </si>
  <si>
    <t>0378-3774</t>
  </si>
  <si>
    <t>1873-2283</t>
  </si>
  <si>
    <t>AGR WATER MANAGE</t>
  </si>
  <si>
    <t>Agric. Water Manage.</t>
  </si>
  <si>
    <t>10.1016/j.agwat.2011.06.004</t>
  </si>
  <si>
    <t>Agronomy; Water Resources</t>
  </si>
  <si>
    <t>Agriculture; Water Resources</t>
  </si>
  <si>
    <t>929PO</t>
  </si>
  <si>
    <t>WOS:000303078100009</t>
  </si>
  <si>
    <t>Oliver, DP; Kookana, RS; Anderson, JS; Cox, J; Waller, N; Smith, L</t>
  </si>
  <si>
    <t>Oliver, Danielle P.; Kookana, Rai S.; Anderson, Jenny S.; Cox, Jim; Waller, Natasha; Smith, Lester</t>
  </si>
  <si>
    <t>The off-site transport of pesticide loads from two land uses in relation to hydrological events in the Mt. Lofty Ranges, South Australia</t>
  </si>
  <si>
    <t>Water quality; Pesticide transport; Management; Mediterranean climate</t>
  </si>
  <si>
    <t>GREAT-BARRIER-REEF; AGRICULTURAL FIELDS; SE-NORWAY; RUNOFF; WATER; SURFACE; MOVEMENT; SOIL; ATRAZINE; LOSSES</t>
  </si>
  <si>
    <t>In the Mediterranean climate of this study the growing period (and hence spraying period) for horticultural crops usually occurs from late spring to summer (i.e. October-March). However, runoff predominantly occurs in winter (late April-October) since there is insufficient rain in the spring and summer period for runoff to occur. It is therefore important to establish the runoff potential of pesticide, despite the long contact time with soil. We studied the distribution of the loads transported during individual runoff events, and the proportion of total annual load transported in each event over three seasons. Some insecticides and fungicides (pirimicarb, procymidone, carbaryl, fenarimol and penconazole) transported off-site from and apple and cherry orchard over a period of 30 months showed a strong association between peak pesticide load and peak flow during individual flow events. Others (particularly chlorpyrifos) however showed no obvious relationship between flow and load transported off-site. Throughout the year certain pesticides demonstrated behaviour characteristic of those chemicals that move in the first flush of drainage water in the season. This was particularly evident for pirimicarb, bupirimate, carbaryl and fenarimol, which all have K-oc values &lt; 1000 L/kg. However, for other pesticides the percentage of total annual load transported off-site either increased or remained fairly constant for several runoff events during the season which was most obvious for chlorpyrifos followed by penconazole and procymidone - all with Koc values &gt;= 1500 L/kg. Generally, the total amount of pesticide moving off-site from both orchards was &lt; 0.5% of the total mass of active ingredient applied, except fenarimol (0.54-2.1%). Only chlorpyrifos, however, showed a positive linear relationship between the load transported off-site during an event and total rainfall (R-2 = 0.48, n = 26). The results from this study have implications for the development of management strategies to minimise pesticide transport to waterways. Crown Copyright 2011 Published by Elsevier B.V. All rights reserved.</t>
  </si>
  <si>
    <t>[Oliver, Danielle P.; Kookana, Rai S.; Anderson, Jenny S.; Smith, Lester] CSIRO Land &amp; Water, Water Hlth Country Res Flagship, Glen Osmond, SA 5064, Australia; [Cox, Jim] Univ Adelaide, Glen Osmond, SA 5064, Australia; [Waller, Natasha] Australian Antarctic Div, Kingston, Tas 7050, Australia</t>
  </si>
  <si>
    <t>Oliver, DP (corresponding author), CSIRO Land &amp; Water, Water Hlth Country Res Flagship, PMB 2, Glen Osmond, SA 5064, Australia.</t>
  </si>
  <si>
    <t>Kookana, Rai S/A-5170-2012; Oliver, Danielle/E-7518-2012; Kookana, Rai/AAV-3563-2021</t>
  </si>
  <si>
    <t>Kookana, Rai S/0000-0002-0477-3284; Kookana, Rai/0000-0002-0477-3284</t>
  </si>
  <si>
    <t>The financial support of Australian Centre for International Agricultural Research (ACIAR), National Landcare Program (NLP) and Centre for Natural Resource Management for this study are gratefully acknowledged. The growers who participated in this project are also thanked for their generosity. The senior author would also like to thank Claire Wright for proof reading the manuscript.</t>
  </si>
  <si>
    <t>10.1016/j.agwat.2011.07.012</t>
  </si>
  <si>
    <t>WOS:000303078100010</t>
  </si>
  <si>
    <t>Oliver, DP; Kookana, RS; Anderson, JS; Cox, JW; Waller, N; Smith, LH</t>
  </si>
  <si>
    <t>Oliver, Danielle P.; Kookana, Rai S.; Anderson, Jenny S.; Cox, James W.; Waller, Natasha; Smith, Lester H.</t>
  </si>
  <si>
    <t>Off-site transport of pesticides in dissolved and particulate forms from two land uses in the Mt. Lofty Ranges, South Australia</t>
  </si>
  <si>
    <t>Pesticide; Surface water; Off-site transport; Transport mode</t>
  </si>
  <si>
    <t>SIZE DISTRIBUTION; RISK MITIGATION; SURFACE-WATER; LOURENS RIVER; RUNOFF; STRATEGIES; RETENTION; CATCHMENT; POLLUTION; EXPOSURE</t>
  </si>
  <si>
    <t>The form in which pesticides are transported off-site can have implications for their bioavailability, ecotoxicological impact and the effectiveness of any management strategies implemented to minimise their movement. We have investigated the form in which nine pesticides (carbaryl, fenarimol, azinphos methyl, penconazole, pirimicarb, chlorpyrifos. propiconazole, procymidone and bupirimate) were transported in surface water from an apple and cherry orchard in the Mt. Lofty Ranges, South Australia, over three years. The majority of pesticides monitored were found to move off-site in the dissolved (&lt; 1.2 mu m) phase. Only propiconazole moved off-site predominantly (70-90%) by colloidal transport in association with particulate (&gt; 1.2 mu m) material. Chlorpyrifos was detected in surface drainage water for several months and the predominant phase in which it moved varied between events in a year and during an event. The effectiveness of pesticide physicochemical properties as surrogates for predicting mode of transport of pesticides, in this region was determined by regression of average proportion (%) of each pesticide in the dissolved phase for each event against the relevant physicochemical parameters. There was no relationship between average proportion in the dissolved phase (&lt; 1.2 mu m) and any of the pesticide characteristics considered. This suggests that off-site transport of pesticides is governed by complex biological and hydrological interactions and the use of simple physicochemical properties as surrogates for predicting offsite transport may not be applicable. These results have implications for the effectiveness of management strategies, including buffer strips and sedimentation ponds, to minimise transport and suggest that, unless adequate residency time is available for sorption of the pesticides, these strategies may have limited use for minimising the transport of the pesticides used in the two land uses studied here. This study has highlighted the importance of understanding the mode of transport of pesticides for informing the choice of management strategies to minimise potential offsite transport of pesticides under different field conditions. Crown Copyright (C) 2011 Published by Elsevier B.V. All rights reserved.</t>
  </si>
  <si>
    <t>[Oliver, Danielle P.; Kookana, Rai S.; Anderson, Jenny S.; Smith, Lester H.] CSIRO Land &amp; Water, Water Hlth Country, Natl Res Flagship, Glen Osmond, SA 5064, Australia; [Cox, James W.] Univ Adelaide, Glen Osmond, SA 5064, Australia; [Waller, Natasha] Australian Antarctic Div, Kingston, Tas 7050, Australia</t>
  </si>
  <si>
    <t>Oliver, DP (corresponding author), CSIRO Land &amp; Water, Water Hlth Country, Natl Res Flagship, PMB 2, Glen Osmond, SA 5064, Australia.</t>
  </si>
  <si>
    <t>Oliver, Danielle/E-7518-2012; Kookana, Rai/AAV-3563-2021; Kookana, Rai S/A-5170-2012</t>
  </si>
  <si>
    <t>The financial support of Australian Centre for International Agricultural Research (ACIAR), National Landcare Program (NLP) and Centre for Natural Resource Management for this study are gratefully acknowledged. The growers who participated in this project are also thanked for their generosity. The assistance of CSIRO staff who reviewed the article before submission is gratefully appreciated.</t>
  </si>
  <si>
    <t>10.1016/j.agwat.2011.11.001</t>
  </si>
  <si>
    <t>WOS:000303078100011</t>
  </si>
  <si>
    <t>Jones, TC; Green, TGA; Hogg, ID; Wilkins, RJ</t>
  </si>
  <si>
    <t>Jones, Tracey C.; Green, T. G. A.; Hogg, Ian D.; Wilkins, Richard J.</t>
  </si>
  <si>
    <t>ISOLATION AND CHARACTERIZATION OF MICROSATELLITES IN THE LICHEN BUELLIA FRIGIDA (PHYSCIACEAE), AN ANTARCTIC ENDEMIC</t>
  </si>
  <si>
    <t>AMERICAN JOURNAL OF BOTANY</t>
  </si>
  <si>
    <t>Antarctica; Buellia frigida; microsatellites; Physciaceae; population structure</t>
  </si>
  <si>
    <t>SEQUENCE</t>
  </si>
  <si>
    <t>Premise of the study: Microsatellite markers were characterized for an Antarctic endemic, Buellia frigida, to investigate population structure and origin of Antarctic lichens. Methods and Results: Five primer sets were characterized. All loci were polymorphic with eight to 16 alleles per locus in a sample of 59 lichens. Conclusions: The microsatellite markers potentially provide insight into population structure and gene flow of B. frigida.</t>
  </si>
  <si>
    <t>[Jones, Tracey C.; Green, T. G. A.; Hogg, Ian D.; Wilkins, Richard J.] Univ Waikato, Dept Biol Sci, Hamilton, New Zealand; [Green, T. G. A.] Univ Complutense, Dept Biol Vegetal 2, E-28040 Madrid, Spain</t>
  </si>
  <si>
    <t>University of Waikato; Complutense University of Madrid</t>
  </si>
  <si>
    <t>Jones, TC (corresponding author), Univ Waikato, Dept Biol Sci, Private Bag 3105, Hamilton, New Zealand.</t>
  </si>
  <si>
    <t>tcj1@waikato.ac.nz</t>
  </si>
  <si>
    <t>Hogg, Ian D./HNS-7393-2023</t>
  </si>
  <si>
    <t>Hogg, Ian D./0000-0002-6685-0089</t>
  </si>
  <si>
    <t>Antarctica New Zealand; Helicopters New Zealand; University of Waikato</t>
  </si>
  <si>
    <t>This research was supported by Antarctica New Zealand, Helicopters New Zealand, and the University of Waikato. The authors thank L. G. Sancho (Departamento de Biologia Vegetal II, Universidad Complutense, Madrid, Spain) and T. Lumbsch (Department of Botany, Field Museum, Chicago, Illinois, USA) for assistance with samples and sample identification.</t>
  </si>
  <si>
    <t>0002-9122</t>
  </si>
  <si>
    <t>1537-2197</t>
  </si>
  <si>
    <t>AM J BOT</t>
  </si>
  <si>
    <t>Am. J. Bot.</t>
  </si>
  <si>
    <t>E131</t>
  </si>
  <si>
    <t>E133</t>
  </si>
  <si>
    <t>10.3732/ajb.1100440</t>
  </si>
  <si>
    <t>926DB</t>
  </si>
  <si>
    <t>WOS:000302810400001</t>
  </si>
  <si>
    <t>Dartnell, LR; Page, K; Jorge-Villar, SE; Wright, G; Munshi, T; Scowen, IJ; Ward, JM; Edwards, HGM</t>
  </si>
  <si>
    <t>Dartnell, Lewis R.; Page, Kristian; Jorge-Villar, Susana E.; Wright, Gary; Munshi, Tasnim; Scowen, Ian J.; Ward, John M.; Edwards, Howell G. M.</t>
  </si>
  <si>
    <t>Destruction of Raman biosignatures by ionising radiation and the implications for life detection on Mars</t>
  </si>
  <si>
    <t>ANALYTICAL AND BIOANALYTICAL CHEMISTRY</t>
  </si>
  <si>
    <t>Raman spectroscopy; Cosmic rays; Biosignature; Mars; Astrobiology; Microbe</t>
  </si>
  <si>
    <t>BACTERIUM DEINOCOCCUS-RADIODURANS; IN-SITU; CAROTENOID BIOSYNTHESIS; ANTARCTIC HABITATS; GAMMA-RADIATION; FREE-RADICALS; AMINO-ACIDS; SPECTROSCOPY; RESISTANCE; SURFACE</t>
  </si>
  <si>
    <t>Raman spectroscopy has proven to be a very effective approach for the detection of microorganisms colonising hostile environments on Earth. The ExoMars rover, due for launch in 2018, will carry a Raman laser spectrometer to analyse samples of the martian subsurface collected by the probe's 2-m drill in a search for similar biosignatures. The martian surface is unprotected from the flux of cosmic rays, an ionising radiation field that will degrade organic molecules and so diminish and distort the detectable Raman signature of potential martian microbial life. This study employs Raman spectroscopy to analyse samples of two model organisms, the cyanobacterium Synechocystis sp. PCC 6803 and the extremely radiation resistant polyextremophile Deinococcus radiodurans, that have been exposed to increasing doses of ionising radiation. The three most prominent peaks in the Raman spectra are from cellular carotenoids: deinoxanthin in D. radiodurans and beta-carotene in Synechocystis. The degradative effect of ionising radiation is clearly seen, with significant diminishment of carotenoid spectral peak heights after 15 kGy and complete erasure of Raman biosignatures by 150 kGy of ionising radiation. The Raman signal of carotenoid in D. radiodurans diminishes more rapidly than that of Synechocystis, believed to be due to deinoxanthin acting as a superior scavenger of radiolytically produced reactive oxygen species, and so being destroyed more quickly than the less efficient antioxidant beta-carotene. This study highlights the necessity for further experimental work on the manner and rate of degradation of Raman biosignatures by ionising radiation, as this is of prime importance for the successful detection of microbial life in the martian near subsurface.</t>
  </si>
  <si>
    <t>[Dartnell, Lewis R.] UCL, Ctr Planetary Sci, UCL Birkbeck, London WC1E 6B, England; [Dartnell, Lewis R.] UCL, UCL Inst Origins, London WC1E 6B, England; [Page, Kristian; Munshi, Tasnim; Scowen, Ian J.] Univ Bradford, Div Chem &amp; Forens Sci, Bradford BD7 1DP, W Yorkshire, England; [Jorge-Villar, Susana E.] Fac Humanidades &amp; Educ, Area Geodinam Interna, Burgos 09001, Spain; [Wright, Gary] Cranfield Univ, Dept Engn &amp; Appl Sci, Swindon SN6 8LA, Wilts, England; [Ward, John M.] UCL, Res Dept Struct &amp; Mol Biol, London WC1E 6B, England; [Edwards, Howell G. M.] Univ Bradford, Ctr Astrobiol &amp; Extremophiles Res, Sch Life Sci, Bradford BD7 1DP, W Yorkshire, England</t>
  </si>
  <si>
    <t>University of London; University College London; University of London; University College London; University of Bradford; Cranfield University; University of London; University College London; University of Bradford</t>
  </si>
  <si>
    <t>Dartnell, LR (corresponding author), UCL, Ctr Planetary Sci, UCL Birkbeck, Gower St, London WC1E 6B, England.</t>
  </si>
  <si>
    <t>l.dartnell@ucl.ac.uk</t>
  </si>
  <si>
    <t>Munshi, Tasnim/AAO-2547-2021; Jorge-Villar, Susana E./A-8927-2011</t>
  </si>
  <si>
    <t>Jorge-Villar, Susana E./0000-0003-1676-4438; Ward, John/0000-0002-4415-5544</t>
  </si>
  <si>
    <t>UCL Institute for Origins; Engineering and Physical Sciences Research Council [EP/F042418/1] Funding Source: researchfish; UK Space Agency [ST/I002677/1] Funding Source: researchfish; EPSRC [EP/F042418/1] Funding Source: UKRI</t>
  </si>
  <si>
    <t>UCL Institute for Origins; Engineering and Physical Sciences Research Council(UK Research &amp; Innovation (UKRI)Engineering &amp; Physical Sciences Research Council (EPSRC)); UK Space Agency; EPSRC(UK Research &amp; Innovation (UKRI)Engineering &amp; Physical Sciences Research Council (EPSRC))</t>
  </si>
  <si>
    <t>LRD is supported by UCL Institute for Origins postdoctoral research associateship funding.</t>
  </si>
  <si>
    <t>1618-2642</t>
  </si>
  <si>
    <t>1618-2650</t>
  </si>
  <si>
    <t>ANAL BIOANAL CHEM</t>
  </si>
  <si>
    <t>Anal. Bioanal. Chem.</t>
  </si>
  <si>
    <t>10.1007/s00216-012-5829-6</t>
  </si>
  <si>
    <t>Biochemical Research Methods; Chemistry, Analytical</t>
  </si>
  <si>
    <t>Biochemistry &amp; Molecular Biology; Chemistry</t>
  </si>
  <si>
    <t>912YY</t>
  </si>
  <si>
    <t>WOS:000301839700007</t>
  </si>
  <si>
    <t>Pinet, P; Jaquemet, S; Phillips, RA; Le Corre, M</t>
  </si>
  <si>
    <t>Pinet, Patrick; Jaquemet, Sebastien; Phillips, Richard A.; Le Corre, Matthieu</t>
  </si>
  <si>
    <t>Sex-specific foraging strategies throughout the breeding season in a tropical, sexually monomorphic small petrel</t>
  </si>
  <si>
    <t>ANIMAL BEHAVIOUR</t>
  </si>
  <si>
    <t>Barau's petrel; foraging strategy; geolocator; Indian Ocean; Pterodroma baraui; seabird; telemetry</t>
  </si>
  <si>
    <t>WHITE-CHINNED PETRELS; GIANT PETRELS; HABITAT USE; PROCELLARIA-AEQUINOCTIALIS; WANDERING ALBATROSSES; PROVISIONING BEHAVIOR; INDIVIDUAL VARIATION; INCUBATION SHIFTS; ACTIVITY PATTERNS; ANTARCTIC PETREL</t>
  </si>
  <si>
    <t>Two hypotheses have been proposed to explain sex-related differences in foraging in sexually monomorphic seabirds. The 'intersexual competition' hypothesis suggests that parents are in competition and that the dominated sex must adapt its behaviour to avoid competing with the dominant one. The 'energetic constraint' hypothesis suggests that differential energetic requirements lead to different foraging behaviour. We examined sexual differences in foraging behaviour of a sexually monomorphic tropical seabird, the Barau's petrel, Pterodroma baraui, throughout the breeding period. We found sexual differences in foraging habitats and activities, but these were not consistent throughout the breeding period. During the prelaying exodus, males foraged further from the colony, in waters with greater surface chlorophyll concentration, and were more active than females. Males systematically took the first incubation shift, which was always longer than the others. However, no sex-related differences in foraging behaviour were observed during the chick-rearing period, both sexes sharing parental duties equally. We suggest that the sexual differences observed early in the breeding period are due to the specific needs of males and females. Females need to restore their body condition as quickly as possible after laying, which forces males to take the first long incubation shift at the nest. This may explain why males forage more actively during the prelaying exodus, to prepare for this long fasting period. Our results support for the first time the 'energy constraint' hypothesis to explain sexual differences in behaviour of a small, monomorphic procellariiform seabird. (C) 2012 The Association for the Study of Animal Behaviour. Published by Elsevier Ltd. All rights reserved.</t>
  </si>
  <si>
    <t>[Pinet, Patrick; Jaquemet, Sebastien; Le Corre, Matthieu] Univ Reunion, Lab ECOMAR, 15 Ave Rene Cassin,BP 7151, St Denis 97715, Reunion, France; [Phillips, Richard A.] British Antarctic Survey, Nat Environm Res Council, Cambridge CB3 0ET, England</t>
  </si>
  <si>
    <t>University of La Reunion; UK Research &amp; Innovation (UKRI); Natural Environment Research Council (NERC); NERC British Antarctic Survey</t>
  </si>
  <si>
    <t>Pinet, P (corresponding author), Univ Reunion, Lab ECOMAR, 15 Ave Rene Cassin,BP 7151, St Denis 97715, Reunion, France.</t>
  </si>
  <si>
    <t>patrick.pinet@univ-reunion.fr</t>
  </si>
  <si>
    <t>Pew Environment Group; Parc National des Hauts de La Reunion [20/2009]; Region Reunion; European Social Funds (ESF); Secretariat d'Etat a l'Outre Mer; Pew Environment Group; Parc National des Hauts de La Reunion [20/2009]; Region Reunion; European Social Funds (ESF); Secretariat d'Etat a l'Outre Mer; NERC [bas0100025] Funding Source: UKRI; Natural Environment Research Council [bas0100025] Funding Source: researchfish</t>
  </si>
  <si>
    <t>Pew Environment Group; Parc National des Hauts de La Reunion; Region Reunion; European Social Funds (ESF)(European Social Fund (ESF)); Secretariat d'Etat a l'Outre Mer; Pew Environment Group; Parc National des Hauts de La Reunion; Region Reunion; European Social Funds (ESF)(European Social Fund (ESF)); Secretariat d'Etat a l'Outre Mer; NERC(UK Research &amp; Innovation (UKRI)Natural Environment Research Council (NERC)); Natural Environment Research Council(UK Research &amp; Innovation (UKRI)Natural Environment Research Council (NERC))</t>
  </si>
  <si>
    <t>This study was carried out at Reunion Island with the logistical and financial support of the Pew Environment Group, the Secretariat d'Etat a l'Outre Mer (Programme BARGOS-EDUC) the Parc National des Hauts de La Reunion (Convention no. 20/2009). P. P. also received a Ph.D. grant from the Region Reunion and the European Social Funds (ESF). We thank all the fieldworkers involved in logger deployment or recovery and nest monitoring during these 4 years, especially A. Pierre, J.C. Russell, A. Valery, C. de Laburthe, S. Rives, E. Buffard, P. Sourace, M. Salamolard, H. Weimerskirch, G. Potin, D. Ringler, L. Humeau, F. Guerin, J. Nezan, M. Louzao, D. Pardo and M. Berlincourt. We also thank J-B. Thiebot, C. Peron and D. Pinaud for their help and advice on GLS analysis.</t>
  </si>
  <si>
    <t>ACADEMIC PRESS LTD- ELSEVIER SCIENCE LTD</t>
  </si>
  <si>
    <t>24-28 OVAL RD, LONDON NW1 7DX, ENGLAND</t>
  </si>
  <si>
    <t>0003-3472</t>
  </si>
  <si>
    <t>1095-8282</t>
  </si>
  <si>
    <t>ANIM BEHAV</t>
  </si>
  <si>
    <t>Anim. Behav.</t>
  </si>
  <si>
    <t>10.1016/j.anbehav.2012.01.019</t>
  </si>
  <si>
    <t>Behavioral Sciences; Zoology</t>
  </si>
  <si>
    <t>914TN</t>
  </si>
  <si>
    <t>WOS:000301975500019</t>
  </si>
  <si>
    <t>Grant, S</t>
  </si>
  <si>
    <t>Grant, Susie</t>
  </si>
  <si>
    <t>Leading the world in establishing Marine Protected Areas for the high seas?</t>
  </si>
  <si>
    <t>ANTARCTIC SCIENCE</t>
  </si>
  <si>
    <t>0954-1020</t>
  </si>
  <si>
    <t>ANTARCT SCI</t>
  </si>
  <si>
    <t>Antarct. Sci.</t>
  </si>
  <si>
    <t>10.1017/S0954102012000156</t>
  </si>
  <si>
    <t>Environmental Sciences; Geography, Physical; Geosciences, Multidisciplinary</t>
  </si>
  <si>
    <t>Environmental Sciences &amp; Ecology; Physical Geography; Geology</t>
  </si>
  <si>
    <t>900HU</t>
  </si>
  <si>
    <t>WOS:000300878400001</t>
  </si>
  <si>
    <t>Pedrera, A; Ruiz-Constán, A; Heredia, N; Galindo-Zaldívar, J; Bohoyo, F; Marín-Lechado, C; Ruano, P; Somoza, L</t>
  </si>
  <si>
    <t>Pedrera, Antonio; Ruiz-Constan, Ana; Heredia, Nemesio; Galindo-Zaldivar, Jesus; Bohoyo, Fernando; Marin-Lechado, Carlos; Ruano, Patricia; Somoza, Luis</t>
  </si>
  <si>
    <t>The fracture system and the melt emplacement beneath the Deception Island active volcano, South Shetland Islands, Antarctica</t>
  </si>
  <si>
    <t>Bransfield Strait; faults; magnetotelluric; stress field</t>
  </si>
  <si>
    <t>BRANSFIELD STRAIT; WEST ANTARCTICA; SEISMIC TOMOGRAPHY; RIDGE; EVOLUTION; PENINSULA; PACIFIC; MODEL; BASIN; FAULT</t>
  </si>
  <si>
    <t>A new magnetotelluric (MT) survey, along with new topographic parametric sonar (TOPAS) profiles and geological field observations, were carried out on the Deception Island active volcano. 3-D resistivity models reveal an ENE-WSW elongated conductor located at a depth between two and ten kilometres beneath the south-eastern part of the island, which we interpret as a combination of partial melt and hot fluids. The emplacement of the melt in the upper crust occurs along the ENE-WSW oriented, SSE dipping regional normal fault zone, which facilitates melt intrusion at shallower levels with volcanic eruptions and associated seismicity. Most of the onshore and offshore volcanic rocks are deformed by highangle normal and sub-vertical faults with dominant dip-slip kinematics, distributed in sets roughly parallel and orthogonal to the major ENE-WSW regional tectonic trends. Faults development is related to perturbations of the regional stress field associated with magma chamber overpressure and deflation in a regional setting dominated by NW-SE to NNW-SSE extension.</t>
  </si>
  <si>
    <t>[Pedrera, Antonio; Heredia, Nemesio; Bohoyo, Fernando; Marin-Lechado, Carlos; Somoza, Luis] Inst Geol &amp; Minero Espana, Madrid 28003, Spain; [Ruiz-Constan, Ana; Galindo-Zaldivar, Jesus; Ruano, Patricia] Univ Granada, Dept Geodinam, E-18071 Granada, Spain; [Galindo-Zaldivar, Jesus; Ruano, Patricia] Univ Granada, CSIC, Inst Andaluz Ciencias Tierra, E-18071 Granada, Spain</t>
  </si>
  <si>
    <t>University of Granada; Consejo Superior de Investigaciones Cientificas (CSIC); CSIC - Instituto Andaluz de Ciencias de la Tierra (IACT); University of Granada</t>
  </si>
  <si>
    <t>Pedrera, A (corresponding author), Inst Geol &amp; Minero Espana, Rios Rosas 23, Madrid 28003, Spain.</t>
  </si>
  <si>
    <t>a.pedrera@igme.es</t>
  </si>
  <si>
    <t>RUIZ-CONSTÁN, ANA/O-3638-2019; Pedrera, Antonio/L-6463-2014; Bohoyo, Fernando/AAZ-5990-2021; Galindo-Zaldivar, Jesus/K-3640-2012; Somoza, Luis/C-1400-2010; Bohoyo, Fernando/C-1062-2011; Heredia Carballo, Nemesio/B-8106-2008; Ruano, Patricia/L-9168-2014</t>
  </si>
  <si>
    <t>RUIZ-CONSTÁN, ANA/0000-0002-0920-6369; Pedrera, Antonio/0000-0003-1990-9292; Bohoyo, Fernando/0000-0002-1044-8816; Galindo-Zaldivar, Jesus/0000-0002-3493-2637; Somoza, Luis/0000-0001-5451-2288; Bohoyo, Fernando/0000-0002-1044-8816; Heredia Carballo, Nemesio/0000-0001-5382-9312; Ruano, Patricia/0000-0003-3833-4973</t>
  </si>
  <si>
    <t>[POL2006.13836.C03.01]; [CTM2008-06386-CO2/ANT\]; [CGL2009-13706-CO3-01]; [CSD2006-0041]; [P09-RNM-5388]; [CGL201021048]; [CTM2011-30241-C02-02]; [RNM 148]</t>
  </si>
  <si>
    <t>; ; ; ; ; ; ;</t>
  </si>
  <si>
    <t>We are grateful to the personnel of the Gabriel de Castilla Spanish base, the RV Hesperides navy crew, and the Unidad de Tecnologia Marina (UTM) for their assistance. We are sincerely grateful to Alan P. M. Vaughan, Earth Sciences editor of Antarctic Science, Malcom Inghan, John Smellie, Enmanuele Lodolo, and two anonymous reviewers for their constructive criticism of the paper. We acknowledge financial support: POL2006.13836.C03.01, CTM2008-06386-CO2/ANT, CGL2009-13706-CO3-01 (PaleoAndes II), CSD2006-0041 Topo-Iberia, P09-RNM-5388, CGL201021048, CTM2011-30241-C02-02, and RNM 148. Jean Louise Sander revised the English.</t>
  </si>
  <si>
    <t>10.1017/S0954102011000794</t>
  </si>
  <si>
    <t>WOS:000300878400009</t>
  </si>
  <si>
    <t>Jurelevicius, D; Alvarez, VM; Peixoto, R; Rosado, AS; Seldin, L</t>
  </si>
  <si>
    <t>Jurelevicius, Diogo; Alvarez, Vanessa Marques; Peixoto, Raquel; Rosado, Alexandre Soares; Seldin, Lucy</t>
  </si>
  <si>
    <t>Bacterial polycyclic aromatic hydrocarbon ring-hydroxylating dioxygenases (PAH-RHD) encoding genes in different soils from King George Bay, Antarctic Peninsula</t>
  </si>
  <si>
    <t>APPLIED SOIL ECOLOGY</t>
  </si>
  <si>
    <t>Maritime Antarctic; Diesel oil; Polycyclic aromatic hydrocarbons; Ring-hydroxylating dioxygenases; Bioremediation</t>
  </si>
  <si>
    <t>NAPHTHALENE DIOXYGENASE; DIVERSITY; PHENANTHRENE; DEGRADATION; EXPRESSION; BIOREMEDIATION; PSEUDOMONAS; STRATEGIES; RESPONSES; SEQUENCE</t>
  </si>
  <si>
    <t>The alpha-subunit of the polycyclic aromatic hydrocarbon ring-hydroxylating dioxygenases (PAH-RHD alpha) coding genes from Gram-positive and Gram-negative bacteria were characterized in diesel oil-contaminated and pristine soils from King George Island in Maritime Antarctica. PCR, cloning and sequencing methodologies were used, and nucleotide and deduced amino acids sequences were further analyzed using Basic Local Alignment Search Tool (BLAST), Clusters of Orthologous Groups of proteins (COG) and Kyoto Encyclopedia of Genes and Genomes (KEGG) tools. Few PAH-RHD alpha sequences sharing high identities with NagAc from Ralstonia sp. U2 and with NahAc from Comamonas testosteroni strain H were found in pristine soil. In addition, PAH-RHD alpha sharing 44-100% identity with dioxygenases described within the Gram-negative Pseudomonas, Polaromonas, Sphingomonas, Acidovorax and Burkholderia genera and Gram-positive Mycobacterium, Gordonia, Terrabacter, Nocardioides and Bacillus genera were found in contaminated soils adjacent to the Brazilian Antarctic Station Comandante Ferraz. To our knowledge, the presence of PAH-RHD alpha coding genes from Gram-positive PAH-degrading bacteria has never been evidenced in Antarctic soils. Beta-diversity comparison analysis showed a different distribution of Gram-negative PAH-degrading bacteria among the Antarctic contaminated sites. This study provides important information about the PAH bioremediation potential of the Antarctic soils studied here. (C) 2011 Elsevier B.V. All rights reserved.</t>
  </si>
  <si>
    <t>[Seldin, Lucy] Univ Fed Rio de Janeiro, Ctr Ciencias Saude, Lab Genet Microbiana, Dept Microbiol Geral,IMPPG, BR-21941590 Rio De Janeiro, Brazil; [Peixoto, Raquel; Rosado, Alexandre Soares] Univ Fed Rio de Janeiro, IMPPG, Lab Ecol Mol Microbiana, BR-21941590 Rio De Janeiro, RJ, Brazil</t>
  </si>
  <si>
    <t>Universidade Federal do Rio de Janeiro; Universidade Federal do Rio de Janeiro</t>
  </si>
  <si>
    <t>Seldin, L (corresponding author), Univ Fed Rio de Janeiro, Ctr Ciencias Saude, Lab Genet Microbiana, Dept Microbiol Geral,IMPPG, Bloco 1, BR-21941590 Rio De Janeiro, Brazil.</t>
  </si>
  <si>
    <t>lseldin@micro.ufrj.br</t>
  </si>
  <si>
    <t>Rosado, Alexandre Soares/G-1955-2012; Seldin, Lucy/S-2530-2019; Seldin, Lucy/H-9310-2012; Jurelevicius, Diogo A/I-8235-2014; Peixoto, Raquel/V-2554-2019</t>
  </si>
  <si>
    <t>Rosado, Alexandre Soares/0000-0001-5135-1394; Seldin, Lucy/0000-0002-4992-6395; Seldin, Lucy/0000-0002-4992-6395; Peixoto, Raquel/0000-0002-9536-3132</t>
  </si>
  <si>
    <t>National Research Council of Brazil (CNPq); FAPERJ; Brazilian Antarctic Program, PROANTAR, as part of the IPY [403, 520194/2006-3]</t>
  </si>
  <si>
    <t>National Research Council of Brazil (CNPq)(Conselho Nacional de Desenvolvimento Cientifico e Tecnologico (CNPQ)); FAPERJ(Fundacao Carlos Chagas Filho de Amparo a Pesquisa do Estado do Rio De Janeiro (FAPERJ)); Brazilian Antarctic Program, PROANTAR, as part of the IPY</t>
  </si>
  <si>
    <t>This study was supported by grants from the National Research Council of Brazil (CNPq), FAPERJ and received financial and logistic support from the Brazilian Antarctic Program, PROANTAR, as part of the IPY Activity no. 403 'MIDIAPI Microbial Diversity of Terrestrial and Maritime ecosystems in Antarctic Peninsula' (520194/2006-3).</t>
  </si>
  <si>
    <t>0929-1393</t>
  </si>
  <si>
    <t>1873-0272</t>
  </si>
  <si>
    <t>APPL SOIL ECOL</t>
  </si>
  <si>
    <t>Appl. Soil Ecol.</t>
  </si>
  <si>
    <t>10.1016/j.apsoil.2011.12.008</t>
  </si>
  <si>
    <t>Soil Science</t>
  </si>
  <si>
    <t>Agriculture</t>
  </si>
  <si>
    <t>931PD</t>
  </si>
  <si>
    <t>WOS:000303230900001</t>
  </si>
  <si>
    <t>Braesicke, P; Hai, OS; Abu Samah, A</t>
  </si>
  <si>
    <t>Braesicke, Peter; Hai, Ooi See; Abu Samah, Azizan</t>
  </si>
  <si>
    <t>Properties of strong off-shore Borneo vortices: a composite analysis of flow pattern and composition as captured by ERA-Interim</t>
  </si>
  <si>
    <t>ATMOSPHERIC SCIENCE LETTERS</t>
  </si>
  <si>
    <t>Borneo vortex; water vapour; Ozone; ERA-Interim</t>
  </si>
  <si>
    <t>WESTERN MARITIME CONTINENT; WINTER; RAINFALL</t>
  </si>
  <si>
    <t>The Borneo vortex (BV) is an important source of extreme weather for Malaysia. We describe climatological properties of strong off-shore BVs using a potential vorticity (PV) threshold analysis of ERA-Interim data. The composite BV at the location of most likely high PV occurrence has a warm core with enhanced specific humidity between 800 and 200 hPa, and a dry layer above. Two effects contribute to this structure: Air is vertically transported upwards in the BV whilst precipitating and the large scale flow in which the BV is embedded advect dry, ozone-rich air from the equatorial tropical tropopause layer towards higher latitudes. Copyright (C) 2012 Royal Meteorological Society</t>
  </si>
  <si>
    <t>[Braesicke, Peter] Univ Cambridge, Dept Chem, Natl Ctr Atmospher Sci NCAS, Cambridge CB2 1EW, England; [Hai, Ooi See; Abu Samah, Azizan] Univ Malaya, Natl Antarctic Res Ctr NARC, Inst Postgrad Studies, Kuala Lumpur 50603, Malaysia</t>
  </si>
  <si>
    <t>University of Cambridge; Universiti Malaya</t>
  </si>
  <si>
    <t>Braesicke, P (corresponding author), Univ Cambridge, Dept Chem, Natl Ctr Atmospher Sci NCAS, Lensfield Rd, Cambridge CB2 1EW, England.</t>
  </si>
  <si>
    <t>pb261@cam.ac.uk</t>
  </si>
  <si>
    <t>Braesicke, Peter/D-8330-2016; ABU SAMAH, AZIZAN HJ/B-8295-2010</t>
  </si>
  <si>
    <t>Braesicke, Peter/0000-0003-1423-0619;</t>
  </si>
  <si>
    <t>NERC; Malaysian Government [04-01-03-SF0410]; Natural Environment Research Council [ncas10009] Funding Source: researchfish</t>
  </si>
  <si>
    <t>NERC(UK Research &amp; Innovation (UKRI)Natural Environment Research Council (NERC)); Malaysian Government; Natural Environment Research Council(UK Research &amp; Innovation (UKRI)Natural Environment Research Council (NERC))</t>
  </si>
  <si>
    <t>We would like to thank NERC for supporting NCAS and the Malaysian Government for providing eScienceFund grant 04-01-03-SF0410. We thank two anonymous referees for their helpful comments.</t>
  </si>
  <si>
    <t>1530-261X</t>
  </si>
  <si>
    <t>ATMOS SCI LETT</t>
  </si>
  <si>
    <t>Atmos. Sci. Lett.</t>
  </si>
  <si>
    <t>10.1002/asl.372</t>
  </si>
  <si>
    <t>924PO</t>
  </si>
  <si>
    <t>WOS:000302704000008</t>
  </si>
  <si>
    <t>Llanillo, PJ; Pelegrí, JL; Duarte, CM; Emelianov, M; Gasser, M; Gourrion, J; Rodríguez-Santana, A</t>
  </si>
  <si>
    <t>Llanillo, P. J.; Pelegri, J. L.; Duarte, C. M.; Emelianov, M.; Gasser, M.; Gourrion, J.; Rodriguez-Santana, A.</t>
  </si>
  <si>
    <t>Meridional and zonal changes in water properties along the continental slope off central and northern Chile</t>
  </si>
  <si>
    <t>quasi-extended optimum multiparameter analysis; water masses; oxygen minimum zone; Humboldt Current System</t>
  </si>
  <si>
    <t>OPTIMUM MULTIPARAMETER ANALYSIS; CURRENT SYSTEM; OXYGEN; DISTRIBUTIONS; CIRCULATION; CARBON; OCEAN</t>
  </si>
  <si>
    <t>The Humboldt-09 cruise covered a narrow meridional band along the Chilean continental slope (44-23 degrees S). Here we use physical and biochemical data from a long meridional section (4000 km) and three short zonal sections (100 km) to describe the distribution of the different water masses found in this region. Six water masses were identified: Subantarctic Water (SAAW), Summer Subantarctic Water (SSAW), Subtropical Water (STW), Equatorial Subsurface Water (ESSW), Antarctic Intermediate Water (AAIW), and Pacific Deep Water (PDW). For the first time, a novel set of source water mass properties (or water types) is introduced for SSAW, and nutrient and dissolved oxygen water types are proposed for all the water masses. Optimum multiparameter (OMP) analysis was used through an iterative process to obtain a sound definition of the water types that minimizes the residuals of the method. Both the classic OMP and the quasi-extended OMP models reproduced the data rather well. Finally, the spatial distribution of the different water masses was calculated with the quasi-extended OMP, which is not influenced by the respiration of organic matter. The distribution of the different water masses is presented over the meridional and zonal transects and in property-property diagrams. A smooth meridional transition from subantarctic to tropical and equatorial water masses is observed in this area. This transition takes place in surface, central, and intermediate waters over distances of the order of 1000 kin. The meridional transition contrasts with the abrupt zonal changes found in the cross-slope direction, which are of comparable magnitude but over distances of the order of 100 km. Both AAIW and SAAW (fresh and well oxygenated) partially mix with the hypoxic ESSW and, therefore, play an important role in the ventilation of the southern part of the oxygen minimum zone.</t>
  </si>
  <si>
    <t>[Llanillo, P. J.; Pelegri, J. L.; Emelianov, M.; Gasser, M.; Gourrion, J.] CSIC, Inst Ciencies Mar, E-08003 Barcelona, Spain; [Llanillo, P. J.; Pelegri, J. L.; Duarte, C. M.] Pontificia Univ Catolica Chile, Fac Ciencias Biol, Lab Int Cambio Global LINCGlobal, CSIC PUC, Santiago, Chile; [Duarte, C. M.] CS1C, Inst Mediterraneo Estudios Avanzados, Esporles 07190, Illes Balears, Spain; [Rodriguez-Santana, A.] Univ Las Palmas Gran Canaria, Las Palmas Gran Canaria 35017, Spain</t>
  </si>
  <si>
    <t>Consejo Superior de Investigaciones Cientificas (CSIC); CSIC - Centro Mediterraneo de Investigaciones Marinas y Ambientales (CMIMA); CSIC - Instituto de Ciencias del Mar (ICM); Pontificia Universidad Catolica de Chile; Consejo Superior de Investigaciones Cientificas (CSIC); Universidad de Las Palmas de Gran Canaria</t>
  </si>
  <si>
    <t>Llanillo, PJ (corresponding author), CSIC, Inst Ciencies Mar, Passeig Maritim Barceloneta 37-49, E-08003 Barcelona, Spain.</t>
  </si>
  <si>
    <t>llanillo@icm.csic.es</t>
  </si>
  <si>
    <t>Rodriguez-Santana, Angel/H-8596-2015; Pelegrí, Josep L/L-5815-2014; Duarte, Carlos M/A-7670-2013; Emelianov, Mikhail/M-1400-2014; Duarte Quesada, Carlos Manuel/ABD-6208-2021; Llanillo, Pedro/L-5877-2015</t>
  </si>
  <si>
    <t>Rodriguez-Santana, Angel/0000-0003-1960-6777; Pelegrí, Josep L/0000-0003-0661-2190; Duarte, Carlos M/0000-0002-1213-1361; Emelianov, Mikhail/0000-0002-1459-2911; Llanillo, Pedro/0000-0002-9308-501X</t>
  </si>
  <si>
    <t>JAE-predoc assistantship from the Council for Scientific Research (CSIC, Spain); European Social Fund; Campana Oceanografica Humboldt, Transito de Retorno del BIO Hesperides Primavera [CTM2008-02497-E/MAR]; Spanish Ministry of Science and Innovation</t>
  </si>
  <si>
    <t>JAE-predoc assistantship from the Council for Scientific Research (CSIC, Spain); European Social Fund(European Social Fund (ESF)); Campana Oceanografica Humboldt, Transito de Retorno del BIO Hesperides Primavera; Spanish Ministry of Science and Innovation(Spanish Government)</t>
  </si>
  <si>
    <t>The first author was supported by a JAE-predoc assistantship from the Council for Scientific Research (CSIC, Spain) and the European Social Fund. The Humboldt-09 cruise was supported through project Campana Oceanografica Humboldt-2009, Transito de Retorno del BIO Hesperides Primavera 2009 (CTM2008-02497-E/MAR), financed by the Spanish Ministry of Science and Innovation. The authors would like to thank the crew and technical staff of the R/V Hesperides during the Humboldt-09 cruise, particularly J Llinas, J Vallo, and M Pastor for their help with the measurements. We are very grateful to F Fernandez and J Pena for useful comments regarding the OMP analysis and to M Abad for the inorganic nutrient analysis.</t>
  </si>
  <si>
    <t>10.7773/cm.v38i1B.1814</t>
  </si>
  <si>
    <t>WOS:000305593100011</t>
  </si>
  <si>
    <t>Smith, RS; Gregory, J</t>
  </si>
  <si>
    <t>Smith, Robin S.; Gregory, Jonathan</t>
  </si>
  <si>
    <t>The last glacial cycle: transient simulations with an AOGCM</t>
  </si>
  <si>
    <t>CLIMATE DYNAMICS</t>
  </si>
  <si>
    <t>GENERAL-CIRCULATION MODEL; ICE-SHEET; LATE PLEISTOCENE; CLIMATE-CHANGE; BOUNDARY-CONDITIONS; COUPLED MODEL; GREENLAND; VARIABILITY; SENSITIVITY; MAXIMUM</t>
  </si>
  <si>
    <t>A number of transient climate runs simulating the last 120 kyr have been carried out using FAMOUS, a fast atmosphere-ocean general circulation model (AOGCM). This is the first time such experiments have been done with a full AOGCM, providing a three-dimensional simulation of both atmosphere and ocean over this period. Our simulation thus includes internally generated temporal variability over periods from days to millennia, and physical, detailed representations of important processes such as clouds and precipitation. Although the model is fast, computational restrictions mean that the rate of change of the forcings has been increased by a factor of 10, making each experiment 12 kyr long. Atmospheric greenhouse gases (GHGs), northern hemisphere ice sheets and variations in solar radiation arising from changes in the Earth's orbit are treated as forcing factors, and are applied either separately or combined in different experiments. The long-term temperature changes on Antarctica match well with reconstructions derived from ice-core data, as does variability on timescales longer than 10 kyr. Last Glacial Maximum (LGM) cooling on Greenland is reasonably well simulated, although our simulations, which lack ice-sheet meltwater forcing, do not reproduce the abrupt, millennial scale climate shifts seen in northern hemisphere climate proxies or their slower southern hemisphere counterparts. The spatial pattern of sea surface cooling at the LGM matches proxy reconstructions reasonably well. There is significant anti-correlated variability in the strengths of the Atlantic meridional overturning circulation (AMOC) and the Antarctic Circumpolar Current (ACC) on timescales greater than 10 kyr in our experiments. We find that GHG forcing weakens the AMOC and strengthens the ACC, whilst the presence of northern hemisphere ice-sheets strengthens the AMOC and weakens the ACC. The structure of the AMOC at the LGM is found to be sensitive to the details of the ice-sheet reconstruction used. The precessional component of the orbital forcing induces similar to 20 kyr oscillations in the AMOC and ACC, whose amplitude is mediated by changes in the eccentricity of the Earth's orbit. These forcing influences combine, to first order, in a linear fashion to produce the mean climate and ocean variability seen in the run with all forcings.</t>
  </si>
  <si>
    <t>[Smith, Robin S.; Gregory, Jonathan] Univ Reading, Dept Meteorol, NCAS Climate, Reading, Berks, England; [Gregory, Jonathan] Met Off Hadley Ctr, Exeter, Devon, England</t>
  </si>
  <si>
    <t>University of Reading; UK Research &amp; Innovation (UKRI); Natural Environment Research Council (NERC); NERC National Centre for Atmospheric Science; Met Office - UK; Hadley Centre</t>
  </si>
  <si>
    <t>Smith, RS (corresponding author), Univ Reading, Dept Meteorol, NCAS Climate, Reading, Berks, England.</t>
  </si>
  <si>
    <t>r.s.smith@reading.ac.uk</t>
  </si>
  <si>
    <t>Gregory, Jonathan/J-2939-2016</t>
  </si>
  <si>
    <t>Gregory, Jonathan/0000-0003-1296-8644; Smith, Robin/0000-0001-7479-7778</t>
  </si>
  <si>
    <t>NCAS Computer Modelling Support Team; UK RAPID [NER/T/S/2002/00462]; Quaternary QUEST [NE/D00182X/1]; QUEST-ESM; DECC; Defra; MoD [GA01101]; NERC [NE/I011099/1] Funding Source: UKRI; Natural Environment Research Council [ncas10009, NE/I011099/1] Funding Source: researchfish</t>
  </si>
  <si>
    <t>NCAS Computer Modelling Support Team; UK RAPID; Quaternary QUEST; QUEST-ESM; DECC; Defra(Department for Environment, Food &amp; Rural Affairs (DEFRA)); MoD; NERC(UK Research &amp; Innovation (UKRI)Natural Environment Research Council (NERC)); Natural Environment Research Council(UK Research &amp; Innovation (UKRI)Natural Environment Research Council (NERC))</t>
  </si>
  <si>
    <t>This paper was improved following discussions with our anonymous reviewer, whom we would like to thank. We would like to acknowledge the support of Simon Wilson and other members of the NCAS Computer Modelling Support Team in this work. The work was supported by grants from the UK RAPID (NER/T/S/2002/00462), Quaternary QUEST (NE/D00182X/1) and QUEST-ESM projects. Jonathan Gregory was partly supported by the Joint DECC, Defra and MoD Integrated Climate Programme, GA01101 (DECC/Defra). We thank Valerie Masson-Delmotte for providing us with NGRIP temperature reconstruction data, and Philippe Huybrechts for providing his ice-sheet reconstruction.</t>
  </si>
  <si>
    <t>0930-7575</t>
  </si>
  <si>
    <t>1432-0894</t>
  </si>
  <si>
    <t>CLIM DYNAM</t>
  </si>
  <si>
    <t>Clim. Dyn.</t>
  </si>
  <si>
    <t>7-8</t>
  </si>
  <si>
    <t>10.1007/s00382-011-1283-y</t>
  </si>
  <si>
    <t>918JZ</t>
  </si>
  <si>
    <t>Green Accepted, hybrid</t>
  </si>
  <si>
    <t>WOS:000302247000018</t>
  </si>
  <si>
    <t>Augustine, N; Peter, AW; Kerkar, S; Thomas, S</t>
  </si>
  <si>
    <t>Augustine, Nimmy; Peter, Wilson A.; Kerkar, Savita; Thomas, Sabu</t>
  </si>
  <si>
    <t>Arctic Actinomycetes as Potential Inhibitors of Vibrio cholerae Biofilm</t>
  </si>
  <si>
    <t>CURRENT MICROBIOLOGY</t>
  </si>
  <si>
    <t>QUORUM-SENSING INHIBITORS; EXPRESSION; APHA</t>
  </si>
  <si>
    <t>The aim of this study was to identify novel biofilm inhibitors from actinomycetes isolated from the Arctic against Vibrio cholerae, the causative agent of cholera. The biofilm inhibitory activity of actinomycetes was assessed using biofilm assay and was confirmed using air-liquid interphase coverslip assay. The potential isolates were identified using 16S rRNA gene sequencing. Of all, three isolates showed significant biofilm inhibition against V. cholerae. The results showed that 20% of the actinomycetes culture supernatant could inhibit up to 80% of the biofilm formation. When different extracted fractions were assessed, significant biofilm inhibition activity was only seen in the diethyl ether fraction of A745. At 200 mu g ml(-1) of diethyl ether fraction, 60% inhibition of V. cholerae biofilm was observed. The two potential isolates were found to be Streptomyces sp. and one isolate belonged to Nocardiopsis sp. This is the first report showing a Streptomyces sp. and Nocardiopsis sp. isolated from the Arctic having a biofilm inhibitory activity against V. cholerae. The spread of drug resistant V. cholerae strains is a major clinical problem and the ineffectiveness in antibiotic treatment necessitates finding new modes of prevention and containment of the disease, cholera. The formation of biofilms during the proliferation of V. cholerae is linked to its pathogenesis. Hence, the bioactive compound from the culture supernatant of the isolates identified in this study may be a promising source for the development of a potential quorum sensing inhibitors against V. cholerae.</t>
  </si>
  <si>
    <t>[Augustine, Nimmy; Peter, Wilson A.; Thomas, Sabu] Rajiv Gandhi Ctr Biotechnol, Dept Mol Microbiol, Cholera &amp; Environm Microbiol Lab, Thiruvananthapuram 695014, Kerala, India; [Kerkar, Savita] Goa Univ, Dept Biotechnol, Taleigao Plateau 403206, Goa, India</t>
  </si>
  <si>
    <t>Department of Biotechnology (DBT) India; Rajiv Gandhi Centre for Biotechnology (RGCB); Goa University</t>
  </si>
  <si>
    <t>Thomas, S (corresponding author), Rajiv Gandhi Ctr Biotechnol, Dept Mol Microbiol, Cholera &amp; Environm Microbiol Lab, Thiruvananthapuram 695014, Kerala, India.</t>
  </si>
  <si>
    <t>sabu@rgcb.res.in</t>
  </si>
  <si>
    <t>Rajiv Gandhi Centre for Biotechnology, Trivandrum, India</t>
  </si>
  <si>
    <t>This study was supported by an intramural support from Rajiv Gandhi Centre for Biotechnology, Trivandrum, India. Dr. Sabu Thomas is thankful to Shri. Rasik Ravindra, Director and Dr. S. Rajan, Programme Director, National Centre for Antarctic and Ocean Research, Goa and Ministry of Earth Science, Govt. of India for having provided all the facilities and support during the Indian Arctic Expedition-2009. The authors are thankful to Prof. M. Radhakrishna Pillai, Director, RGCB for the facilities provided.</t>
  </si>
  <si>
    <t>0343-8651</t>
  </si>
  <si>
    <t>1432-0991</t>
  </si>
  <si>
    <t>CURR MICROBIOL</t>
  </si>
  <si>
    <t>Curr. Microbiol.</t>
  </si>
  <si>
    <t>10.1007/s00284-011-0073-4</t>
  </si>
  <si>
    <t>898VI</t>
  </si>
  <si>
    <t>WOS:000300770000006</t>
  </si>
  <si>
    <t>Hörhold, MW; Laepple, T; Freitag, J; Bigler, M; Fischer, H; Kipfstuhl, S</t>
  </si>
  <si>
    <t>Hoerhold, M. W.; Laepple, T.; Freitag, J.; Bigler, M.; Fischer, H.; Kipfstuhl, S.</t>
  </si>
  <si>
    <t>On the impact of impurities on the densification of polar firn</t>
  </si>
  <si>
    <t>EARTH AND PLANETARY SCIENCE LETTERS</t>
  </si>
  <si>
    <t>polar firn density; densification; impurity; density variability</t>
  </si>
  <si>
    <t>GREENLAND ICE CORE; DRONNING MAUD-LAND; ANTARCTICA; ACCUMULATION; DELTA-N-15; RECORD</t>
  </si>
  <si>
    <t>Understanding polar firn densification is crucial for reconstructing the age of greenhouse gas concentrations extracted from ice cores, and for the interpretation of air in ice as a dating tool or as a climate proxy. Firn densification is generally modeled as a steady burial and sintering process of defined layers, where the structure of the layering is maintained along the whole firn and ice column. However, available high-resolution density data, as well as firn air samples, question this picture and point to a lack of understanding of firn densification. Based on analysis of high-resolution density and calcium concentration records from Antarctic and Greenland ice cores, we show for the first time that also impurities may have a significant impact on the densification. Analysis of firn cores shows a correlation between density and the calcium in (Ca++) concentration, and this correlation increases with depth. The existence of this relationship is independent of the local climatic conditions at the core sites analyzed. The strong positive correlation between the density and the logarithm of Ca++ concentration indicates that impurities induce softening and lead to faster densification over a wide range of concentrations. In one core, the impurity effect manifests itself so strongly that the density develops a seasonal cycle closely following the seasonal cycle of Ca++. Our results clearly show that the structure of the firn layering changes with depth and suggest that the increased variability in density observed in deep firn, recently described as a universal feature of polar firn, may arise from the influence of Ca++ and/or other impurities. The impurity effect is likely to have direct implications on our understanding of glacial firn densification and on glacial gas age estimates. (C) 2012 Elsevier DV. All rights reserved.</t>
  </si>
  <si>
    <t>[Hoerhold, M. W.; Laepple, T.; Freitag, J.; Kipfstuhl, S.] Alfred Wegener Inst Marine &amp; Polar Res, D-27570 Bremerhaven, Germany; [Bigler, M.; Fischer, H.] Univ Bern, Inst Phys, CH-3012 Bern, Switzerland; [Bigler, M.; Fischer, H.] Univ Bern, Oeschger Ctr Climate Change Res, CH-3012 Bern, Switzerland</t>
  </si>
  <si>
    <t>Helmholtz Association; Alfred Wegener Institute, Helmholtz Centre for Polar &amp; Marine Research; University of Bern; University of Bern</t>
  </si>
  <si>
    <t>Freitag, J (corresponding author), Alfred Wegener Inst Marine &amp; Polar Res, Handelshafen 12, D-27570 Bremerhaven, Germany.</t>
  </si>
  <si>
    <t>Johannes.Freitag@awi.de</t>
  </si>
  <si>
    <t>Bigler, Matthias/HTT-3872-2023; Fischer, Hubertus/A-1211-2014; Laepple, Thomas/M-8783-2015</t>
  </si>
  <si>
    <t>Bigler, Matthias/0000-0003-0184-4013; Fischer, Hubertus/0000-0002-2787-4221; Laepple, Thomas/0000-0001-8108-7520</t>
  </si>
  <si>
    <t>Deutsche Forschungsgemeinschaft (DFG) [FR2527/1-1]</t>
  </si>
  <si>
    <t>Deutsche Forschungsgemeinschaft (DFG)(German Research Foundation (DFG))</t>
  </si>
  <si>
    <t>This work is funded by the Deutsche Forschungsgemeinschaft (DFG) grant FR2527/1-1. We thank the field team of the North-Greenland traverse 1993-1995 and Hans Oerter and the team of the DML-pre-site survey 1997/1998. We warmly thank Zan Stine for excellent assistance with the manuscript.</t>
  </si>
  <si>
    <t>0012-821X</t>
  </si>
  <si>
    <t>1385-013X</t>
  </si>
  <si>
    <t>EARTH PLANET SC LETT</t>
  </si>
  <si>
    <t>Earth Planet. Sci. Lett.</t>
  </si>
  <si>
    <t>APR 1</t>
  </si>
  <si>
    <t>10.1016/j.epsl.2011.12.022</t>
  </si>
  <si>
    <t>927BI</t>
  </si>
  <si>
    <t>WOS:000302881500010</t>
  </si>
  <si>
    <t>Lu, ZL; Rickaby, REM; Kennedy, H; Kennedy, P; Pancost, RD; Shaw, S; Lennie, A; Wellner, J; Anderson, JB</t>
  </si>
  <si>
    <t>Lu, Zunli; Rickaby, Rosalind E. M.; Kennedy, Hilary; Kennedy, Paul; Pancost, Richard D.; Shaw, Samuel; Lennie, Alistair; Wellner, Julia; Anderson, John B.</t>
  </si>
  <si>
    <t>An ikaite record of late Holocene climate at the Antarctic Peninsula</t>
  </si>
  <si>
    <t>ikaite; hydration water; stable isotope; Holocene; Antarctic Peninsula</t>
  </si>
  <si>
    <t>ICE SHELF; BRANSFIELD BASIN; METHANE; SEA; PSEUDOMORPHS; TEMPERATURE; GLENDONITES; DELTA-O-18; SEDIMENTS; COLUMNS</t>
  </si>
  <si>
    <t>Calcium carbonate can crystallize in a hydrated form as ikaite at low temperatures. The hydration water in ikaite grown in laboratory experiments records the delta O-18 of ambient water, a feature potentially useful for reconstructing delta O-18 of local seawater. We report the first downcore delta O-18 record of natural ikaite hydration waters and crystals collected from the Antarctic Peninsula (AP), a region sensitive to climate fluctuations. We are able to establish the zone of ikaite formation within shallow sediments, based on porewater chemical and isotopic data. Having constrained the depth of ikaite formation and delta O-18 of ikaite crystals and hydration waters, we are able to infer local changes in fjord delta O-18 versus time during the late Holocene. This ikaite record qualitatively supports that both the Medieval Warm Period and Little Ice Age extended to the Antarctic Peninsula. Published by Elsevier B.V.</t>
  </si>
  <si>
    <t>[Lu, Zunli] Syracuse Univ, Dept Earth Sci, Syracuse, NY 13244 USA; [Rickaby, Rosalind E. M.] Univ Oxford, Dept Earth Sci, Oxford OX1 3AN, England; [Kennedy, Hilary; Kennedy, Paul] Bangor Univ, Sch Ocean Sci, Menai Bridge LL59 5AB, Anglesey, Wales; [Pancost, Richard D.] Univ Bristol, Sch Chem, Organ Geochem Unit, Bristol Biogeochem Res Ctr, Bristol BS8 1TS, Avon, England; [Shaw, Samuel] Univ Leeds, Sch Earth &amp; Environm, Leeds LS2 9JT, W Yorkshire, England; [Lennie, Alistair] Diamond Light Source, Didcot OX11 0DE, Oxon, England; [Wellner, Julia] Univ Houston, Dept Earth &amp; Atmospher Sci, Houston, TX USA; [Anderson, John B.] Rice Univ, Dept Earth Sci, Houston, TX USA</t>
  </si>
  <si>
    <t>Syracuse University; University of Oxford; Bangor University; University of Bristol; University of Leeds; Diamond Light Source; University of Houston System; University of Houston; Rice University</t>
  </si>
  <si>
    <t>Lu, ZL (corresponding author), Syracuse Univ, Dept Earth Sci, Syracuse, NY 13244 USA.</t>
  </si>
  <si>
    <t>zunlilu@syr.edu</t>
  </si>
  <si>
    <t>Shaw, Sam/JAO-0133-2023; Shaw, Sam/A-3528-2017; Kennedy, Hilary A/M-5574-2014; Shaw, Sam/D-6869-2011; Lu, Zunli/C-6765-2013; Anderson, John/B-1011-2012</t>
  </si>
  <si>
    <t>Shaw, Sam/0000-0002-6353-5454; Kennedy, Hilary A/0000-0003-2290-2120; Rickaby, Rosalind/0000-0002-6095-8419; Pancost, Richard/0000-0003-0298-4026</t>
  </si>
  <si>
    <t>Natural Environment Research Council (NERC) [NE/E014801/1]; NERC [NE/E014801/1, NE/E018432/1] Funding Source: UKRI; Natural Environment Research Council [NE/E018432/1, NE/E014801/1] Funding Source: researchfish; Directorate For Geosciences; Division Of Polar Programs [0739596] Funding Source: National Science Foundation</t>
  </si>
  <si>
    <t>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 Directorate For Geosciences; Division Of Polar Programs(National Science Foundation (NSF)NSF - Directorate for Geosciences (GEO))</t>
  </si>
  <si>
    <t>We are grateful to the scientific party and crew members of NBP0703. Bradley Michalchuk, Rice University, shared detailed core description. We thank Bastian Georg, Norman Charnley and Stathys Papadimitriou, for help on technical issues. The manuscript was improved by comments from three anonymous reviewers and the editor Gideon Henderson. This work is supported by Natural Environment Research Council (NERC award NE/E014801/1).</t>
  </si>
  <si>
    <t>10.1016/j.epsl.2012.01.036</t>
  </si>
  <si>
    <t>WOS:000302881500012</t>
  </si>
  <si>
    <t>Choi, KY; Kim, SH; Chon, HT</t>
  </si>
  <si>
    <t>Choi, Ki Young; Kim, Suk Hyun; Chon, Hyo Taek</t>
  </si>
  <si>
    <t>Relationship between total concentration and dilute HCl extraction of heavy metals in sediments of harbors and coastal areas in Korea</t>
  </si>
  <si>
    <t>ENVIRONMENTAL GEOCHEMISTRY AND HEALTH</t>
  </si>
  <si>
    <t>Heavy metals; Marine sediment; Enrichment factor; Dilute HCl extractions</t>
  </si>
  <si>
    <t>ANTARCTIC MARINE-SEDIMENTS; SEQUENTIAL EXTRACTION; ACID-EXTRACTION; BOSTON HARBOR; CONTAMINATION; GEOCHEMISTRY; INDIA; BAY</t>
  </si>
  <si>
    <t>Total concentrations of Cr, Ni, Cu, Zn, Cd and Pb in surface sediments were determined to investigate the regional trends of heavy metal contamination in 11 coastal areas in Korea. Enrichment factor (EF) of heavy metals was calculated by comparing the level of their regional background. The averages of EF values in study areas were 0.99 for Cr, 1.05 for Ni, 4.23 for Cu, 1.80 for Zn, 3.92 for Cd and 1.54 for Pb, respectively. Dilute HCl extractions were useful to deduce the anthropogenic sources of heavy metals and the 1 M HCl extractable fractions of each metal varied from 0.3 to 37.3% for Cr, 1.9 to 66.3% for Ni, 4.2 to 92.9% for Cu, 7.1 to 99.7% for Zn, 10.9 to 98.9% for Cd and 15.0 to 99.1% for Pb. Comparing 1 M HCl extractable fraction to total concentration, large portions of Cu, Zn, Cd and Pb were present as potentially bioavailable fractions from anthropogenic input and were significantly correlated with their EF values showing r &gt; 0.68.</t>
  </si>
  <si>
    <t>[Chon, Hyo Taek] Seoul Natl Univ, Dept Energy Resources Engn, Seoul 151744, South Korea; [Choi, Ki Young; Kim, Suk Hyun] Korea Ocean Res &amp; Dev Inst, Ansan Kyunggido 426744, South Korea</t>
  </si>
  <si>
    <t>Seoul National University (SNU); Korea Institute of Ocean Science &amp; Technology (KIOST)</t>
  </si>
  <si>
    <t>Chon, HT (corresponding author), Seoul Natl Univ, Dept Energy Resources Engn, Seoul 151744, South Korea.</t>
  </si>
  <si>
    <t>chon@snu.ac.kr</t>
  </si>
  <si>
    <t>Korea Ocean Research and Development Institute through the Ministry of Maritime Affairs and Fisheries, South Korea [PE27900, PE33300, PE39300]</t>
  </si>
  <si>
    <t>Korea Ocean Research and Development Institute through the Ministry of Maritime Affairs and Fisheries, South Korea</t>
  </si>
  <si>
    <t>This study was conducted by the funding of Korea Ocean Research and Development Institute Grants (PE27900, PE33300 and PE39300) through the Ministry of Maritime Affairs and Fisheries, South Korea.</t>
  </si>
  <si>
    <t>0269-4042</t>
  </si>
  <si>
    <t>ENVIRON GEOCHEM HLTH</t>
  </si>
  <si>
    <t>Environ. Geochem. Health</t>
  </si>
  <si>
    <t>10.1007/s10653-011-9425-z</t>
  </si>
  <si>
    <t>Engineering, Environmental; Environmental Sciences; Public, Environmental &amp; Occupational Health; Water Resources</t>
  </si>
  <si>
    <t>Engineering; Environmental Sciences &amp; Ecology; Public, Environmental &amp; Occupational Health; Water Resources</t>
  </si>
  <si>
    <t>904GK</t>
  </si>
  <si>
    <t>WOS:000301182100010</t>
  </si>
  <si>
    <t>Okere, UV; Cabrerizo, A; Dachs, J; Jones, KC; Semple, KT</t>
  </si>
  <si>
    <t>Okere, Uchechukwu V.; Cabrerizo, Ana; Dachs, Jordi; Jones, Kevin C.; Semple, Kirk T.</t>
  </si>
  <si>
    <t>Biodegradation of phenanthrene by indigenous microorganisms in soils from Livingstone Island, Antarctica</t>
  </si>
  <si>
    <t>FEMS MICROBIOLOGY LETTERS</t>
  </si>
  <si>
    <t>Livingstone Island; sub-Antarctica; microbial degradation; phenanthrene; soil</t>
  </si>
  <si>
    <t>POLYCYCLIC AROMATIC-HYDROCARBONS; VOLATILE ORGANIC-COMPOUNDS; PETROLEUM-HYDROCARBONS; DEGRADING BACTERIA; CRUDE-OIL; DEGRADATION; BIOREMEDIATION; TEMPERATURE; MINERALIZATION; WATER</t>
  </si>
  <si>
    <t>Biodegradation of polycyclic aromatic hydrocarbons (PAHs) in soils has been linked to history of exposure to PAHs and prevailing environmental conditions. This work assessed the capacity of indigenous microorganisms in soils collected in Livingstone Island (South Shetlands Islands, Antarctica) with no history of pollution (?PAHs: 0.141.47 similar to ng similar to g-1 dw) to degrade 14C-phenanhthrene at 4, 12 and 22 similar to circle C. The study provides evidence of the presence of phenanthrene-degrading microorganisms in all studied soils. Generally, the percentage of 14C-phenanhthrene mineralized increased with increasing temperature. The highest extent of 14C-phenanhthrene mineralization (47.93%) was observed in the slurried system at 22 similar to degrees C. This work supports findings of the presence of PAH-degrading microorganisms in uncontaminated soils and suggests the case is the same for uncontaminated Antarctic remote soils.</t>
  </si>
  <si>
    <t>[Okere, Uchechukwu V.; Jones, Kevin C.; Semple, Kirk T.] Univ Lancaster, Lancaster Environm Ctr, Lancaster LA1 4YQ, England; [Cabrerizo, Ana; Dachs, Jordi] IDAEA CSIC, Dept Environm Chem, Barcelona, Catalonia, Spain</t>
  </si>
  <si>
    <t>Lancaster University; Consejo Superior de Investigaciones Cientificas (CSIC); CSIC - Centro de Investigacion y Desarrollo Pascual Vila (CID-CSIC); CSIC - Instituto de Diagnostico Ambiental y Estudios del Agua (IDAEA)</t>
  </si>
  <si>
    <t>Semple, KT (corresponding author), Univ Lancaster, Lancaster Environm Ctr, Lancaster LA1 4YQ, England.</t>
  </si>
  <si>
    <t>k.semple@lancaster.ac.uk</t>
  </si>
  <si>
    <t>Cabrerizo, Ana/AAA-9050-2020; Jones, Kevin C/F-4296-2014; Semple, Kirk/N-8875-2019; Cabrerizo, Ana/D-8256-2018</t>
  </si>
  <si>
    <t>Semple, Kirk/0000-0002-4046-2037; Jones, Kevin Christopher/0000-0001-7108-9776; Okere, Uchechukwu/0000-0003-0343-5686; Cabrerizo, Ana/0000-0002-5933-1483; Dachs, Jordi/0000-0002-4237-169X</t>
  </si>
  <si>
    <t>Natural Environment Research Council [ceh010010] Funding Source: researchfish</t>
  </si>
  <si>
    <t>Natural Environment Research Council(UK Research &amp; Innovation (UKRI)Natural Environment Research Council (NERC))</t>
  </si>
  <si>
    <t>0378-1097</t>
  </si>
  <si>
    <t>1574-6968</t>
  </si>
  <si>
    <t>FEMS MICROBIOL LETT</t>
  </si>
  <si>
    <t>FEMS Microbiol. Lett.</t>
  </si>
  <si>
    <t>10.1111/j.1574-6968.2012.02501.x</t>
  </si>
  <si>
    <t>900ZX</t>
  </si>
  <si>
    <t>WOS:000300932500009</t>
  </si>
  <si>
    <t>Crossin, GT; Phillips, RA; Trathan, PN; Fox, DS; Dawson, A; Wynne-Edwards, KE; Williams, TD</t>
  </si>
  <si>
    <t>Crossin, Glenn T.; Phillips, Richard A.; Trathan, Phil N.; Fox, Derren S.; Dawson, Alistair; Wynne-Edwards, Katherine E.; Williams, Tony D.</t>
  </si>
  <si>
    <t>Migratory carryover effects and endocrinological correlates of reproductive decisions and reproductive success in female albatrosses</t>
  </si>
  <si>
    <t>GENERAL AND COMPARATIVE ENDOCRINOLOGY</t>
  </si>
  <si>
    <t>Trade-offs; Vitellogenin; Physiological conflict; Yolk precursors; Reproductive hormones; Seabirds</t>
  </si>
  <si>
    <t>LONG-LIVED BIRD; EGG-SIZE; DIOMEDEA-MELANOPHRIS; HABITAT QUALITY; BODY CONDITION; AGE; MANIPULATION; PERFORMANCE; EXPERIENCE; ESTROGEN</t>
  </si>
  <si>
    <t>Physiological mechanisms mediating carryover effects, wherein events or activities occurring in one season, habitat, or life-history stage affect important processes in subsequent life-history stages, are largely unknown. The mechanism most commonly invoked to explain carryover effects from migration centres on the acquisition and utilization of resources (e.g. body mass, or individual 'condition'). However, other mechanisms are plausible, e.g. trade-offs reflecting conflict or incompatibility between physiological regulatory systems required for different activities or life-history stages (migration vs. reproduction). Here we show that in female black-browed albatrosses (Thalassarche melanophris) the decision to reproduce or to defer reproduction, made prior to their arrival at breeding colonies after long-distance migration, is associated with condition-related (body mass, hematocrit, hemoglobin concentrations) and hormonal (progesterone, testosterone, estrogen-dependent yolk precursors) traits. In contrast, reproductive success showed little association with condition but showed significant associations with the steroidogenic processes underlying follicle development. Specifically, success was determined by reproductive readiness via differences in steroid hormones and hormone-dependent traits. Successful albatrosses were characterized by high progesterone and high estradiol-dependent yolk precursor levels, whereas failed albatrosses had high testosterone and low yolk precursor levels. Results are discussed with reference to migratory carryover effects and how these can differentially affect the physiologies influencing reproductive decisions and reproductive success. (C) 2012 Elsevier Inc. All rights reserved.</t>
  </si>
  <si>
    <t>[Crossin, Glenn T.; Dawson, Alistair] NERC, Ctr Ecol &amp; Hydrol, Penicuik EH26 0QB, Midlothian, Scotland; [Crossin, Glenn T.; Williams, Tony D.] Simon Fraser Univ, Dept Biol Sci, Burnaby, BC V5A 1S6, Canada; [Phillips, Richard A.; Trathan, Phil N.; Fox, Derren S.] British Antarctic Survey, NERC, Cambridge CB3 0ET, England; [Wynne-Edwards, Katherine E.] Univ Calgary, Fac Vet Med, Calgary, AB T2N 4N1, Canada</t>
  </si>
  <si>
    <t>UK Research &amp; Innovation (UKRI); Natural Environment Research Council (NERC); UK Centre for Ecology &amp; Hydrology (UKCEH); Simon Fraser University; UK Research &amp; Innovation (UKRI); Natural Environment Research Council (NERC); NERC British Antarctic Survey; University of Calgary</t>
  </si>
  <si>
    <t>Crossin, GT (corresponding author), Dalhousie Univ, Dept Biol, Halifax, NS B3H 4R2, Canada.</t>
  </si>
  <si>
    <t>gtc@dal.ca</t>
  </si>
  <si>
    <t>Wynne-Edwards, Katherine/P-2326-2019; Wynne-Edwards, Katherine/D-9036-2012; Dawson, Alistair/B-4221-2012</t>
  </si>
  <si>
    <t>Wynne-Edwards, Katherine/0000-0002-2944-4516; Dawson, Alistair/0000-0001-6492-872X; Crossin, Glenn/0000-0003-1080-1189</t>
  </si>
  <si>
    <t>British Antarctic Survey through an Antarctic Funding Initiative; National Science and Engineering Research Council of Canada (NSERC); NSERC E-BIRD; NERC [bas0100025] Funding Source: UKRI; Natural Environment Research Council [CEH010021, bas0100025] Funding Source: researchfish</t>
  </si>
  <si>
    <t>British Antarctic Survey through an Antarctic Funding Initiative; National Science and Engineering Research Council of Canada (NSERC)(Natural Sciences and Engineering Research Council of Canada (NSERC)); NSERC E-BIRD; NERC(UK Research &amp; Innovation (UKRI)Natural Environment Research Council (NERC)); Natural Environment Research Council(UK Research &amp; Innovation (UKRI)Natural Environment Research Council (NERC))</t>
  </si>
  <si>
    <t>We extend thanks to Fabrice Le Bouard for logistical support, Stacey Adlard, Ewan Edwards, and Jaume Forcada for field support, to Lea Bond for laboratory support, and to Andy Wood for data support. Financial support was provided by the British Antarctic Survey through an Antarctic Funding Initiative Collaborative Gearing Scheme awarded to AD, PNT, and RAP. Additional support was provided through a National Science and Engineering Research Council of Canada (NSERC) Post-doctoral Fellowship, and NSERC E-BIRD funding, to GTC, and NSERC Discovery Grants to TDW and KEWE.</t>
  </si>
  <si>
    <t>0016-6480</t>
  </si>
  <si>
    <t>1095-6840</t>
  </si>
  <si>
    <t>GEN COMP ENDOCR</t>
  </si>
  <si>
    <t>Gen. Comp. Endocrinol.</t>
  </si>
  <si>
    <t>10.1016/j.ygcen.2012.01.006</t>
  </si>
  <si>
    <t>Endocrinology &amp; Metabolism; Zoology</t>
  </si>
  <si>
    <t>921BQ</t>
  </si>
  <si>
    <t>WOS:000302453400006</t>
  </si>
  <si>
    <t>Bai, YG; Zhang, PY; Chen, GC; Cao, JF; Huang, TT; Chen, KS</t>
  </si>
  <si>
    <t>Bai, Yungui; Zhang, Pengying; Chen, Guochuang; Cao, Jianfeng; Huang, Taotao; Chen, Kaoshan</t>
  </si>
  <si>
    <t>Macrophage immunomodulatory activity of extracellular polysaccharide (PEP) of Antarctic bacterium Pseudoaltermonas sp.S-5</t>
  </si>
  <si>
    <t>INTERNATIONAL IMMUNOPHARMACOLOGY</t>
  </si>
  <si>
    <t>Antarctic bacteria; Pseudoaltermonas sp.S-5; Polysaccharide; Immunomodulator; Macrophages</t>
  </si>
  <si>
    <t>PERITONEAL-MACROPHAGES; INNATE IMMUNITY; SEA-ICE; ACTIVATION; GALACTOMANNAN; SUBSTANCES</t>
  </si>
  <si>
    <t>Antarctic bacteria are a novel source of polysaccharides which might have potential applications as biological response modifiers (BRM). A heteropolysaccharide (PEP) was isolated from the liquid culture broth of the Antarctic bacterium Pseudoaltermonas sp.S-5. PEP contained Mannose, Glucose, and Galactose in a ratio of 4.8:50.9:44.3. High performance gel permeation chromatography of this polysaccharide showed a unimodal profile, and the molecular weight was 397 kDa. PEP was studied for its immunological effects on peritoneal macrophage cells. Morphological alterations were observed in macrophages treated with PEP. In vitro exposure to PEP increased the occurrence of activated macrophages and endocytic index in a dose-dependent pattern (2.5-50 mu g/ml) after 24 h of incubation, since increase of 136% and 133% was detected in the activated macrophage percentage and endocytic index respectively compared to untreated cells. At 200 mu g/ml PEP caused a greatest increase (44.5%) in NO production when compared to the control group; however, this polysaccharide did not affect respiratory burst in the absence of PMA. Furthermore, it was demonstrated that PEP induces macrophages to secrete tumor necrosis factor (TNF)-alpha and interleukin (IL)-1 beta. These results suggested that PEP from Pseudoaltermonas sp.S-5 can be classified as a BRM. (C) 2012 Elsevier B.V. All rights reserved.</t>
  </si>
  <si>
    <t>[Zhang, Pengying; Chen, Kaoshan] Shandong Univ, Sch Life Sci, Natl Glycoengn Res Ctr, Jinan 250100, Peoples R China</t>
  </si>
  <si>
    <t>Shandong University</t>
  </si>
  <si>
    <t>Chen, KS (corresponding author), Shandong Univ, Sch Life Sci, Natl Glycoengn Res Ctr, 27 Shanda Nanlu, Jinan 250100, Peoples R China.</t>
  </si>
  <si>
    <t>ksc313@126.com</t>
  </si>
  <si>
    <t>Major State Basic Research Development Program of China (973 Program) [2012CB822102]; High Technology Research and Development Program of China (863 Program) [2012AA021501, 2007AA10Z334]</t>
  </si>
  <si>
    <t>Major State Basic Research Development Program of China (973 Program)(National Basic Research Program of China); High Technology Research and Development Program of China (863 Program)(National High Technology Research and Development Program of China)</t>
  </si>
  <si>
    <t>This study was financially supported by the Major State Basic Research Development Program of China (973 Program) (No. 2012CB822102) and the High Technology Research and Development Program of China (863 Program) (Nos. 2012AA021501 and 2007AA10Z334).</t>
  </si>
  <si>
    <t>1567-5769</t>
  </si>
  <si>
    <t>1878-1705</t>
  </si>
  <si>
    <t>INT IMMUNOPHARMACOL</t>
  </si>
  <si>
    <t>Int. Immunopharmacol.</t>
  </si>
  <si>
    <t>10.1016/j.intimp.2012.02.009</t>
  </si>
  <si>
    <t>Immunology; Pharmacology &amp; Pharmacy</t>
  </si>
  <si>
    <t>930MP</t>
  </si>
  <si>
    <t>WOS:000303143800010</t>
  </si>
  <si>
    <t>Yang, HJ; Fan, SS; Lang, XM; Wang, YH; Sun, XL</t>
  </si>
  <si>
    <t>Yang, Hongjun; Fan, Shuanshi; Lang, Xuemei; Wang, Yanhong; Sun, Xulin</t>
  </si>
  <si>
    <t>Hydrate Dissociation Conditions for Mixtures of Air plus Tetrahydrofuran, Air plus Cyclopentane, and Air plus Tetra-n-butyl Ammonium Bromide</t>
  </si>
  <si>
    <t>JOURNAL OF CHEMICAL AND ENGINEERING DATA</t>
  </si>
  <si>
    <t>PHASE-EQUILIBRIA; ICE CORE; NITROGEN; OXYGEN; METHANE; SYSTEM</t>
  </si>
  <si>
    <t>Substantial oxygen enrichment is observed in the natural air hydrates formed in Arctic and Antarctic ice sheets. Inspired by this phenomenon, a novel air separation method, utilizing hydrate crystallization, is proposed in our work. The three-phase equilibrium pressure for the air + water system is greater than 15 MPa as the temperature is upon ice point, which makes the air separation impractical by hydrate formation under mild temperature conditions. So, some additives were selected to reduce the phase equilibrium pressure of air hydrates at a fixed temperature. In this work, hydrate dissociation conditions for the air + tetrahydrofuran (THF) + water system (x = 0.0300 and 0.0500), the air + cyclopentane (CP) + water system (x = 0.0300 and 0.0556), and the air + tetra-n-butyl ammonium bromide (TBAB) + water system (w = 0.20 and 0.30) were measured in the temperature ranges of (279.7 to 290.5) K, (284.0 to 296.2) K, and (283.4 to 288.0) K, respectively. The comparison result shows that, in the pressure range of (0 to 1.5) MPa, the promotion effect of these three additives on the air + water system follows TBAB &gt; CP &gt; THF.</t>
  </si>
  <si>
    <t>[Yang, Hongjun; Fan, Shuanshi; Lang, Xuemei; Wang, Yanhong; Sun, Xulin] S China Univ Technol, Sch Chem &amp; Chem Engn, Minist Educ, Key Lab Enhanced Heat Transfer &amp; Energy Conservat, Guangzhou 510640, Peoples R China</t>
  </si>
  <si>
    <t>South China University of Technology</t>
  </si>
  <si>
    <t>Wang, YH (corresponding author), S China Univ Technol, Sch Chem &amp; Chem Engn, Minist Educ, Key Lab Enhanced Heat Transfer &amp; Energy Conservat, Guangzhou 510640, Peoples R China.</t>
  </si>
  <si>
    <t>wyh@scut.edu.cn</t>
  </si>
  <si>
    <t>Wang, Yanhong/AAR-6420-2021</t>
  </si>
  <si>
    <t>National Natural Science Foundation of China [51176051]; National Basic Research Program of China (973 Program) [2009CB219504-03]; Colleges and Universities High-level Talents Program of Guangdong</t>
  </si>
  <si>
    <t>National Natural Science Foundation of China(National Natural Science Foundation of China (NSFC)); National Basic Research Program of China (973 Program)(National Basic Research Program of China); Colleges and Universities High-level Talents Program of Guangdong</t>
  </si>
  <si>
    <t>The work was supported by the National Natural Science Foundation of China (Grant No. 51176051), the National Basic Research Program of China (973 Program) (Grant No. 2009CB219504-03), and the Colleges and Universities High-level Talents Program of Guangdong.</t>
  </si>
  <si>
    <t>0021-9568</t>
  </si>
  <si>
    <t>J CHEM ENG DATA</t>
  </si>
  <si>
    <t>J. Chem. Eng. Data</t>
  </si>
  <si>
    <t>10.1021/je201330j</t>
  </si>
  <si>
    <t>Thermodynamics; Chemistry, Multidisciplinary; Engineering, Chemical</t>
  </si>
  <si>
    <t>Thermodynamics; Chemistry; Engineering</t>
  </si>
  <si>
    <t>923AR</t>
  </si>
  <si>
    <t>WOS:000302590900030</t>
  </si>
  <si>
    <t>Weijer, W; Sloyan, BM; Maltrud, ME; Jeffery, N; Hecht, MW; Hartin, CA; van Sebille, E; Wainer, I; Landrum, L</t>
  </si>
  <si>
    <t>Weijer, Wilbert; Sloyan, Bernadette M.; Maltrud, Mathew E.; Jeffery, Nicole; Hecht, Matthew W.; Hartin, Corinne A.; van Sebille, Erik; Wainer, Ilana; Landrum, Laura</t>
  </si>
  <si>
    <t>The Southern Ocean and Its Climate in CCSM4</t>
  </si>
  <si>
    <t>ANTARCTIC CIRCUMPOLAR CURRENT; ATLANTIC INTEROCEAN EXCHANGE; BRAZIL-MALVINAS CONFLUENCE; AGULHAS LEAKAGE; BOTTOM WATER; ANNULAR MODE; OVERTURNING CIRCULATION; WEDDELL SEA; EL-NINO; 20TH-CENTURY CLIMATE</t>
  </si>
  <si>
    <t>The new Community Climate System Model, version 4 (CCSM4), provides a powerful tool to understand and predict the earth's climate system. Several aspects of the Southern Ocean in the CCSM4 are explored, including the surface climatology and interannual variability, simulation of key climate water masses (Antarctic Bottom Water, Subantarctic Mode Water, and Antarctic Intermediate Water), the transport and structure of the Antarctic Circumpolar Current, and interbasin exchange via the Agulhas and Tasman leakages and at the Brazil-Malvinas Confluence. It is found that the CCSM4 has varying degrees of accuracy in the simulation of the climate of the Southern Ocean when compared with observations. This study has identified aspects of the model that warrant further analysis that will result in a more comprehensive understanding of ocean-atmosphere-ice dynamics and interactions that control the earth's climate and its variability.</t>
  </si>
  <si>
    <t>[Weijer, Wilbert; Maltrud, Mathew E.; Jeffery, Nicole; Hecht, Matthew W.] Los Alamos Natl Lab, Los Alamos, NM 87545 USA; [Weijer, Wilbert] New Mexico Consortium, Los Alamos, NM USA; [Sloyan, Bernadette M.] CSIRO, Ctr Australian Weather &amp; Climate Res, Hobart, Tas, Australia; [Sloyan, Bernadette M.] CSIRO Wealth Oceans Natl Res Flagship, Hobart, Tas, Australia; [Hartin, Corinne A.; van Sebille, Erik] Univ Miami, Rosenstiel Sch Marine &amp; Atmospher Sci, Miami, FL 33149 USA; [Wainer, Ilana] Univ Sao Paulo, Dept Phys Oceanog, Sao Paulo, Brazil; [Landrum, Laura] Natl Ctr Atmospher Res, Boulder, CO 80307 USA</t>
  </si>
  <si>
    <t>United States Department of Energy (DOE); Los Alamos National Laboratory; Commonwealth Scientific &amp; Industrial Research Organisation (CSIRO); Commonwealth Scientific &amp; Industrial Research Organisation (CSIRO); University of Miami; Universidade de Sao Paulo; National Center Atmospheric Research (NCAR) - USA</t>
  </si>
  <si>
    <t>Weijer, W (corresponding author), Los Alamos Natl Lab, CCS-2,MS B296, Los Alamos, NM 87545 USA.</t>
  </si>
  <si>
    <t>wilbert@lanl.gov</t>
  </si>
  <si>
    <t>Sloyan, Bernadette/N-8989-2014; Weijer, Wilbert/AAT-3247-2021; van Sebille, Erik/F-6781-2010; Weijer, Wilbert/A-7909-2010; WAINER, ILANA/B-4540-2011</t>
  </si>
  <si>
    <t>Sloyan, Bernadette/0000-0003-0250-0167; Weijer, Wilbert/0000-0002-5654-562X; Weijer, Wilbert/0000-0002-5654-562X; Hartin, Corinne/0000-0003-1834-6539; Landrum, Laura/0000-0002-6003-1146; Hecht, Matthew/0000-0003-0946-4007; van Sebille, Erik/0000-0003-2041-0704; WAINER, ILANA/0000-0003-3784-623X</t>
  </si>
  <si>
    <t>National Science Foundation (NSF) [0908675]; Office of Science of the U.S. Department of Energy (DOE-OoS); NSF-OCE [0928473]; Department of Climate Change and Energy Efficiency; CSIRO (BMS); CNPq-MCT/INCT; FAPESP; Directorate For Geosciences; Division Of Ocean Sciences [0928473] Funding Source: National Science Foundation; Directorate For Geosciences; Office of Polar Programs (OPP) [0908675] Funding Source: National Science Foundation</t>
  </si>
  <si>
    <t>National Science Foundation (NSF)(National Science Foundation (NSF)); Office of Science of the U.S. Department of Energy (DOE-OoS)(United States Department of Energy (DOE)); NSF-OCE(National Science Foundation (NSF)NSF - Directorate for Geosciences (GEO)); Department of Climate Change and Energy Efficiency; CSIRO (BMS)(Commonwealth Scientific &amp; Industrial Research Organisation (CSIRO)); CNPq-MCT/INCT; FAPESP(Fundacao de Amparo a Pesquisa do Estado de Sao Paulo (FAPESP)); Directorate For Geosciences; Division Of Ocean Sciences(National Science Foundation (NSF)NSF - Directorate for Geosciences (GEO)); Directorate For Geosciences; Office of Polar Programs (OPP)(National Science Foundation (NSF)NSF - Directorate for Geosciences (GEO))</t>
  </si>
  <si>
    <t>The CESM project is supported by the National Science Foundation (NSF) and the Office of Science of the U.S. Department of Energy (DOE-OoS). This research was supported by the Regional and Global Climate Prediction Program of the DOE-OoS (WW, MEM, NJ, and MWH); NSF-OCE Award 0928473 (WW); the Australian Climate Change Science Program, funded jointly by the Department of Climate Change and Energy Efficiency and CSIRO (BMS); CNPq-MCT/INCT and FAPESP (IW); NSF (EvS, CAH); and NSF Polar Programs Grant 0908675 (LL). The National Center for Atmospheric Research (NCAR) is sponsored by NSF. Computing resources were provided by the Climate Simulation Laboratory at NCAR's Computational and Information Systems Laboratory (CISL), sponsored by NSF and other agencies. The authors thank Gary Strand and the staff of the Earth System Grid for processing the CCSM4 data and making it available through http://www.earthsystemgrid.org. Thanks to Martin Visbeck (IFM-GEOMAR) and Gareth Marshall (BAS) for providing their SAM indices. ERA-40 data were provided by the European Centre for Medium-Range Weather Forecasts (ECMWF). NOAA ERSSTv3b data were provided by the NOAA/OAR/ESRL Physical Sciences Division in Boulder, CO, from their website at http://www.esrl.noaa.gov/psd/. The Connectivity Modeling System (CMS) for the Lagrangian advection of particles most</t>
  </si>
  <si>
    <t>10.1175/JCLI-D-11-00302.1</t>
  </si>
  <si>
    <t>925UN</t>
  </si>
  <si>
    <t>WOS:000302787300006</t>
  </si>
  <si>
    <t>Yang, J; Peltier, WR; Hu, YY</t>
  </si>
  <si>
    <t>Yang, Jun; Peltier, W. Richard; Hu, Yongyun</t>
  </si>
  <si>
    <t>The Initiation of Modern Soft Snowball and Hard Snowball Climates in CCSM3. Part II: Climate Dynamic Feedbacks</t>
  </si>
  <si>
    <t>SEA-ICE; HEAT-TRANSPORT; CARBON-CYCLE; DEEP-TIME; EARTH; OCEAN; ATMOSPHERE; ENERGY; CO2; CIRCULATIONS</t>
  </si>
  <si>
    <t>This study investigates the climate dynamic feedbacks during a transition from the present climate to the extremely cold climate of a Snowball Earth using the Community Climate System Model, version 3 (CCSM3). With the land-sea distribution fixed to modern, it is found that by reducing solar luminosity and/or carbon dioxide concentration: 1) the amount of atmospheric water vapor and its attendant greenhouse effect decrease with the logarithm of sea ice cover, thereby promoting the expansion of sea ice; 2) over the sea ice, the cloud radiative feedback is positive, thus enhancing sea ice advance; over the ocean, the cloud radiative feedback is first negative and then becomes positive as sea ice enters the tropics; and 3) the strength of the atmospheric Hadley cell and the wind-driven ocean circulation increases significantly in the Southern Hemisphere, inhibiting the expansion of sea ice into the tropics. Meanwhile, the North Atlantic Deep Water cell disappears and the Antarctic Bottom Water cell strengthens and expands to occupy almost the entire Atlantic basin. In the experiment with 6% less solar radiation and 70 ppmv CO2 compared to the control experiment with 100% solar radiation and 355 ppmv CO2 near the ice edge (28 degrees S latitude), the changes of solar radiation, CO2 forcing, water vapor greenhouse effect, longwave cloud forcing at the top of the model, and atmospheric and oceanic energy transport are -22.4, -6.2, -54.4, +6.2, and +16.3 W m(-2), respectively. Therefore, the major controlling factors in producing global ice cover are ice albedo feedback (Yang et al., Part I) and water vapor feedback.</t>
  </si>
  <si>
    <t>[Yang, Jun; Peltier, W. Richard] Univ Toronto, Dept Phys, Toronto, ON, Canada; [Yang, Jun; Hu, Yongyun] Peking Univ, Lab Climate &amp; Ocean Atmosphere Studies, Dept Atmospher &amp; Ocean Sci, Sch Phys, Beijing 100871, Peoples R China</t>
  </si>
  <si>
    <t>University of Toronto; Peking University</t>
  </si>
  <si>
    <t>Yang, J (corresponding author), 40 Gerrard St E,Apt 3308, Toronto, ON M5B 2E8, Canada.</t>
  </si>
  <si>
    <t>jyangdas@atmosp.physics.utoronto.ca</t>
  </si>
  <si>
    <t>Hu, Yongyun/B-6786-2016; Peltier, William R./A-1102-2008; Yang, Jun/AAI-6219-2021</t>
  </si>
  <si>
    <t>Hu, Yongyun/0000-0002-4003-4630;</t>
  </si>
  <si>
    <t>National Basic Research Program of China (973 Program) [2010CB428606]; NSF of China [40875042, 41025018]; China Scholarship Council; Canadian Foundation for Climate and Atmospheric Sciences; consortium of Canadian universities; NSERC [A9627]</t>
  </si>
  <si>
    <t>National Basic Research Program of China (973 Program)(National Basic Research Program of China); NSF of China(National Natural Science Foundation of China (NSFC)); China Scholarship Council(China Scholarship Council); Canadian Foundation for Climate and Atmospheric Sciences; consortium of Canadian universities; NSERC(Natural Sciences and Engineering Research Council of Canada (NSERC))</t>
  </si>
  <si>
    <t>We thank the two anonymous referees for their comments. We also thank Yonggang Liu and Alireza Mashayekhi for the deep discussions. J. Yang and Y. Y. Hu are supported by the National Basic Research Program of China (973 Program, 2010CB428606) and by NSF of China under Grants 40875042 and 41025018. J. Yang is partly supported by the Over-sea Study Program for Graduate Students of the China Scholarship Council. W. R. Peltier is supported by the Canadian Foundation for Climate and Atmospheric Sciences and a consortium of Canadian universities and by the NSERC Discovery Grant A9627. The required computations were performed on the SciNet facility at the University of Toronto, which is a component of the Compute Canada HPC platform.</t>
  </si>
  <si>
    <t>10.1175/JCLI-D-11-00190.1</t>
  </si>
  <si>
    <t>WOS:000302787300010</t>
  </si>
  <si>
    <t>Schloss, IR; Abele, D; Moreau, S; Demers, S; Bers, AV; González, O; Ferreyra, GA</t>
  </si>
  <si>
    <t>Schloss, Irene R.; Abele, Doris; Moreau, Sebastien; Demers, Serge; Bers, A. Valeria; Gonzalez, Oscar; Ferreyra, Gustavo A.</t>
  </si>
  <si>
    <t>Response of phytoplankton dynamics to 19-year (1991-2009) climate trends in Potter Cove (Antarctica)</t>
  </si>
  <si>
    <t>JOURNAL OF MARINE SYSTEMS</t>
  </si>
  <si>
    <t>Coastal fjord-like system; Antarctica; Temperature; Phytoplankton; SAM; Hydrography; Particulate matter</t>
  </si>
  <si>
    <t>KING-GEORGE-ISLAND; SOUTHERN-OCEAN; FOOD-WEB; SEA-ICE; PENINSULA; MARINE; VARIABILITY; WATERS; WEST; PRODUCTIVITY</t>
  </si>
  <si>
    <t>King George Island (KGI, Isla 25 de Mayo) is located within one of the most rapidly warming regions on Earth at the north-western tip of the Antarctic Peninsula, Since 1991 hydrographical characteristics and phytoplankton dynamics were monitored at two stations in Potter Cove, a fjord-like environment on the south-eastern KG! coastline. Seawater temperature and salinity, total suspended particulate matter (TSPM) and chlorophyll-a (Chl-a, a proxy for phytoplankton biomass) concentrations were measured in summer and winter over a 19-year period, together with local air temperature. Mean air temperatures rose by 0.39 and 0.48 degrees C per decade in summer and winter, respectively. Positive anomalies characterized wind speeds during the decade between the mid '90 and the mid 2000 years, whereas negative anomalies were observed from 2004 onwards. Day of sea ice formation and retreat, based on satellite data, did not change, although total sea ice cover diminished during the studied period. Surface water temperature increased during summer (0.36 degrees C per decade), whereas no trend was observed in salinity. Summer Chl-a concentrations were around 1 mg m(-3) Chl-a with no clear trend throughout the study period. TSPM increased in surface waters of the inner cove during the spring-summer months. The Southern Annular Mode (SAM) climate signal was apparent in the fluctuating interannual pattern of the hydrographic variables in the outer Potter Cove and bottom waters whereas surface hydrography was strongly governed by the local forcing of glacier melt. The results show that global trends have significant effects on local hydrographical and biological conditions in the coastal marine environments of Western Antarctica. (C) 2011 Elsevier B.V. All rights reserved.</t>
  </si>
  <si>
    <t>[Schloss, Irene R.; Gonzalez, Oscar] Inst Antartico Argentino, Buenos Aires, DF, Argentina; [Schloss, Irene R.] Consejo Nacl Invest Cient &amp; Tecn, RA-1033 Buenos Aires, DF, Argentina; [Schloss, Irene R.; Moreau, Sebastien; Demers, Serge; Ferreyra, Gustavo A.] Univ Quebec Rimouski, Inst Sci Mer Rimouski, Rimouski, PQ G5L 3A1, Canada; [Abele, Doris; Bers, A. Valeria] Alfred Wegener Inst Polar &amp; Marine Res, D-27570 Bremerhaven, Germany</t>
  </si>
  <si>
    <t>Instituto Antartico Argentino; Consejo Nacional de Investigaciones Cientificas y Tecnicas (CONICET); University of Quebec; Universite du Quebec a Rimouski; Helmholtz Association; Alfred Wegener Institute, Helmholtz Centre for Polar &amp; Marine Research</t>
  </si>
  <si>
    <t>Schloss, IR (corresponding author), Inst Antartico Argentino, Cerrito 1248,C1010AAZ, Buenos Aires, DF, Argentina.</t>
  </si>
  <si>
    <t>ischloss@dna.gov.ar</t>
  </si>
  <si>
    <t>Schloss, Irene R./U-5411-2018; ALI, ADEL AGEEL ABD/AAL-7770-2020</t>
  </si>
  <si>
    <t>Schloss, Irene R./0000-0002-5917-8925; Moreau, Sebastien/0000-0001-9446-812X; Abele, Doris/0000-0002-5766-5017; Ferreyra, Gustavo Adolfo/0000-0003-1953-5067</t>
  </si>
  <si>
    <t>PICTO-Agencia Nacional de Promocion Cientifica y Tecnica [05-35562]</t>
  </si>
  <si>
    <t>PICTO-Agencia Nacional de Promocion Cientifica y Tecnica</t>
  </si>
  <si>
    <t>We thank IAA, DNA and AWI for supporting 20 years of cooperative field work at Jubany Station-Dallmann laboratory. Further, numerous colleagues participated during different years in the field work for this long-term study and we would especially like to thank (in alphabetical order) Fabian Albello, Gaston Aguirre, Leonardo Cantoni, Santiago de la Vega, Alejandro Fernandez Ajo, Veronica Fuentes, Marcelo Hernando, Gustavo Latorre, Guillermo Mercuri, Alejandro Olariaga, Liliana Quartino, Ricardo Sahade, Marcos Tatian, Gabriela Tosonotto, and Alejandro Ulrich. Thanks also to Silvia Rodriguez for her constant help. We are indebted to the DNA and AWI logistics departments, Hartwig Gernandt, and Dirk Mengedoht for excellent support. Thanks also to the personnel of the Servicio Meteorologic Nacional of the Argentinean Air Force for providing the meteorological data. In addition, we thank Hugh Ducklow and an anonymous reviewer for their comments which, we think, helped to improve the manuscript. Grants: PICTO-Agencia Nacional de Promocion Cientifica y Tecnica 05-35562 to IRS. The 1989-2007 SMMR-SSM/I sea-ice cover data were from the EOS Distributed Active Archive Center (DAAC) at the National Snow and Ice Data Center, University of Colorado in Boulder, Colorado (http://nsidc.org). The paper also presents an outcome of the European-South American cooperation ESF-IMCOAST.</t>
  </si>
  <si>
    <t>0924-7963</t>
  </si>
  <si>
    <t>1879-1573</t>
  </si>
  <si>
    <t>J MARINE SYST</t>
  </si>
  <si>
    <t>J. Mar. Syst.</t>
  </si>
  <si>
    <t>10.1016/j.jmarsys.2011.10.006</t>
  </si>
  <si>
    <t>Geosciences, Multidisciplinary; Marine &amp; Freshwater Biology; Oceanography</t>
  </si>
  <si>
    <t>Geology; Marine &amp; Freshwater Biology; Oceanography</t>
  </si>
  <si>
    <t>875VZ</t>
  </si>
  <si>
    <t>WOS:000299064600005</t>
  </si>
  <si>
    <t>Quillfeldt, P; Masello, JF; Segelbacher, G</t>
  </si>
  <si>
    <t>Quillfeldt, Petra; Masello, Juan F.; Segelbacher, Gernot</t>
  </si>
  <si>
    <t>Extra-pair paternity in seabirds: a review and case study of Thin-billed Prions Pachyptila belcheri</t>
  </si>
  <si>
    <t>Extra-pair paternity in seabirds; Microsatellites; Paternity; Promiscuity in seabirds; South-western Atlantic; Thin-billed Prions</t>
  </si>
  <si>
    <t>NO EVIDENCE; MOLECULAR EVIDENCE; DIOMEDEA-EXULANS; GENETIC MONOGAMY; LOW-FREQUENCY; PARENTAGE; SHEARWATER; FERTILISATIONS; PROMISCUITY; COPULATIONS</t>
  </si>
  <si>
    <t>Seabirds are long-lived birds that exhibit very high levels of parental investment, and male parental care is indispensable. Seabirds have comparable breeding and life history parameters, being colonial, long-lived, and exhibiting little or no sex dimorphism. It is thought that these characteristics explain why seabirds exhibit a uniformly low level of extra-pair paternity. However, among the relatively few seabirds that have been studied to date, some regularly engage in extra-pair copulations, and the reasons for such inter-specific variability remain unclear. We here analyse paternity in a small sub-Antarctic seabird, the Thin-billed Prions Pachyptila belcheri, using species-specific microsatellites as genetic markers. We found that 7 of 34 chicks (21%) were not fathered by the male pair partner. This value is among the highest recorded for seabirds, and it now needs to be established if these result from forced copulations as suggested for some albatross species, or female cuckoldry.</t>
  </si>
  <si>
    <t>[Quillfeldt, Petra; Masello, Juan F.] Max Planck Inst Ornithol, Radolfzell am Bodensee, Germany; [Segelbacher, Gernot] Univ Freiburg, Dept Wildlife Ecol &amp; Management, D-79106 Freiburg, Germany</t>
  </si>
  <si>
    <t>Max Planck Society; University of Freiburg</t>
  </si>
  <si>
    <t>Quillfeldt, P (corresponding author), Max Planck Inst Ornithol, Radolfzell am Bodensee, Germany.</t>
  </si>
  <si>
    <t>petra.quillfeldt@gmx.de</t>
  </si>
  <si>
    <t>Quillfeldt, Petra/A-9549-2009; Segelbacher, Gernot/F-3633-2011; Masello, Juan Francisco/C-7133-2009</t>
  </si>
  <si>
    <t>Quillfeldt, Petra/0000-0002-4450-8688; Segelbacher, Gernot/0000-0002-8024-7008; Masello, Juan Francisco/0000-0002-6826-4016</t>
  </si>
  <si>
    <t>Falkland Islands Government (Environmental Planning Office); Deutsche Forschungsgemeinschaft DFG [Qu 148/1ff, SFB 454]</t>
  </si>
  <si>
    <t>Falkland Islands Government (Environmental Planning Office); Deutsche Forschungsgemeinschaft DFG(German Research Foundation (DFG))</t>
  </si>
  <si>
    <t>The New Island Conservation Trust, Ian, Maria and Georgina Strange and Dan Birch facilitated fieldwork at New Island, which was approved and co-funded by the Falkland Islands Government (Environmental Planning Office). This study was funded by grants provided by the Deutsche Forschungsgemeinschaft DFG (Qu 148/1ff and SFB 454). We thank Katja Fleckenstein and Hendrika (Rick) van Noordwijk for technical assistance with genetic analyses and Sjouke Kingma for help with CERVUS paternity analyses. We are grateful to Jan T. Lifjeld and an anonymous referee for their helpful comments.</t>
  </si>
  <si>
    <t>10.1007/s10336-011-0751-9</t>
  </si>
  <si>
    <t>WOS:000304734700013</t>
  </si>
  <si>
    <t>Sijp, WP; Gregory, JM; Tailleux, R; Spence, P</t>
  </si>
  <si>
    <t>Sijp, Willem P.; Gregory, Jonathan M.; Tailleux, Remi; Spence, Paul</t>
  </si>
  <si>
    <t>The Key Role of the Western Boundary in Linking the AMOC Strength to the North-South Pressure Gradient</t>
  </si>
  <si>
    <t>ATLANTIC THERMOHALINE CIRCULATION; MERIDIONAL OVERTURNING CIRCULATION; OCEAN MODEL; INTERIOR PATHWAYS; DRAKE PASSAGE; GLOBAL OCEAN; DEEP-WATER; TRANSPORT; DYNAMICS; VARIABILITY</t>
  </si>
  <si>
    <t>A key idea in the study of the Atlantic meridional overturning circulation (AMOC) is that its strength is proportional to the meridional density gradient or, more precisely, to the strength of the meridional pressure gradient. A physical basis that would indicate how to estimate the relevant meridional pressure gradient locally from the density distribution in numerical ocean models to test such an idea has been lacking however. Recently, studies of ocean energetics have suggested that the AMOC is driven by the release of available potential energy (APE) into kinetic energy (KE) and that such a conversion takes place primarily in the deep western boundary currents. In this paper, the authors develop an analytical description linking the western boundary current circulation below the interface separating the North Atlantic Deep Water (NADW) and Antarctic Intermediate Water (AAIW) to the shape of this interface. The simple analytical model also shows how available potential energy is converted into kinetic energy at each location and that the strength of the transport within the western boundary current is proportional to the local meridional pressure gradient at low latitudes. The present results suggest, therefore, that the conversion rate of potential energy may provide the necessary physical basis for linking the strength of the AMOC to the meridional pressure gradient and that this could be achieved by a detailed study of the APE to KE conversion in the western boundary current.</t>
  </si>
  <si>
    <t>[Sijp, Willem P.; Spence, Paul] Univ New S Wales, Climate Change Res Ctr, Sydney, NSW 2052, Australia; [Gregory, Jonathan M.; Tailleux, Remi] Univ Reading, Dept Meteorol, Reading, Berks, England; [Gregory, Jonathan M.] Met Off Hadley Ctr, Exeter, Devon, England</t>
  </si>
  <si>
    <t>University of New South Wales Sydney; University of Reading; Met Office - UK; Hadley Centre</t>
  </si>
  <si>
    <t>Sijp, WP (corresponding author), Univ New S Wales, Climate Change Res Ctr, Sydney, NSW 2052, Australia.</t>
  </si>
  <si>
    <t>w.sijp@unsw.edu.au</t>
  </si>
  <si>
    <t>Tailleux, Remi/E-9710-2019; Gregory, Jonathan/J-2939-2016; Sijp, Willem P/E-5988-2012; Spence, Paul/IZE-7366-2023</t>
  </si>
  <si>
    <t>Tailleux, Remi/0000-0001-8998-9107; Gregory, Jonathan/0000-0003-1296-8644; Spence, Paul/0000-0001-5156-2204; Sijp, Willem/0000-0002-5971-3860</t>
  </si>
  <si>
    <t>Australian Research Council; Australian Antarctic Science Program; Australian Commonwealth Government; Natural Environment Research Council [ncas10009] Funding Source: researchfish</t>
  </si>
  <si>
    <t>Australian Research Council(Australian Research Council); Australian Antarctic Science Program; Australian Commonwealth Government(Australian Government); Natural Environment Research Council(UK Research &amp; Innovation (UKRI)Natural Environment Research Council (NERC))</t>
  </si>
  <si>
    <t>We thank the University of Victoria staff for support in usage of their coupled climate model. This research was supported by the Australian Research Council and the Australian Antarctic Science Program. This research was undertaken on the NCI National Facility in Canberra, Australia, which is supported by the Australian Commonwealth Government. We thank Andreas Oschlies for hosting a visit to IFM-GEOMAR and supplying code and advice to allow W. P. Sijp, who constructed the idealized geometry model, to implement the turbulent kinetic energy scheme of Blanke and Delecluse (1993) based on Gaspar et al. (1990) into the model.</t>
  </si>
  <si>
    <t>1520-0485</t>
  </si>
  <si>
    <t>10.1175/JPO-D-11-0113.1</t>
  </si>
  <si>
    <t>929SD</t>
  </si>
  <si>
    <t>WOS:000303084900009</t>
  </si>
  <si>
    <t>Varpe, O</t>
  </si>
  <si>
    <t>Varpe, Oystein</t>
  </si>
  <si>
    <t>Fitness and phenology: annual routines and zooplankton adaptations to seasonal cycles</t>
  </si>
  <si>
    <t>Calanus; dynamic state-variable models; evolutionary ecology; match-mismatch; optimality modelling; reproductive value; seasonality</t>
  </si>
  <si>
    <t>DIEL VERTICAL MIGRATION; LIFE-HISTORY; CALANUS-FINMARCHICUS; ANTARCTIC KRILL; EUPHAUSIA-SUPERBA; REPRODUCTIVE STRATEGIES; MARINE COPEPOD; CLIMATE-CHANGE; LIPID-CONTENT; PACK-ICE</t>
  </si>
  <si>
    <t>Behaviour and life-history strategies of zooplankton have evolved in response to seasonal cycles in food availability, predation risk and abiotic conditions. A key challenge is to understand how different activities over the year are linked. For instance, how does a change in spring activities, such as the timing or amount of egg production, influence autumn activities, for instance energy storage or migration? Trade-offs viewed in relation to individual lifetime fitness consequences couple these events. The framework of optimal annual routines provides theory and methodology for consistent analyses of these temporal trade-offs. Here I describe the key parts of optimal annual routine models and how the models can be used to: (i) study phenology, life-history strategies, and population dynamics; (ii) predict responses to environmental change; and (iii) guide future zooplankton studies. I mainly discuss the adaptations of zooplankton species inhabiting high latitude oceans where the seasonal cycle and its effects are particularly strong. Empirical challenges include issues of seasonal resolution, state-dependent processes and individual variability. Two ecological problems with avenues for future work are discussed in particular detail: the role of sea ice and ice algae in the life cycle of copepods and krill, and the adaptive value and ecological consequences of semelparous versus iteroparous reproductive strategies.</t>
  </si>
  <si>
    <t>Norwegian Polar Res Inst, Fram Ctr, N-9296 Tromso, Norway</t>
  </si>
  <si>
    <t>Norwegian Polar Institute</t>
  </si>
  <si>
    <t>Varpe, O (corresponding author), Norwegian Polar Res Inst, Fram Ctr, N-9296 Tromso, Norway.</t>
  </si>
  <si>
    <t>oystein.varpe@gmail.com</t>
  </si>
  <si>
    <t>Varpe, Øystein/B-9693-2008</t>
  </si>
  <si>
    <t>Varpe, Øystein/0000-0002-5895-6983</t>
  </si>
  <si>
    <t>Centre for Ice, Climate and Ecosystems (ICE) at the Norwegian Polar Institute</t>
  </si>
  <si>
    <t>This work was supported by the Centre for Ice, Climate and Ecosystems (ICE) at the Norwegian Polar Institute.</t>
  </si>
  <si>
    <t>10.1093/plankt/fbr108</t>
  </si>
  <si>
    <t>906QD</t>
  </si>
  <si>
    <t>WOS:000301360800001</t>
  </si>
  <si>
    <t>McLeod, DJ; Hallegraeff, GM; Hosie, GW; Richardson, AJ</t>
  </si>
  <si>
    <t>McLeod, David J.; Hallegraeff, Gustaaf M.; Hosie, Graham W.; Richardson, Anthony J.</t>
  </si>
  <si>
    <t>Climate-driven range expansion of the red-tide dinoflagellate Noctiluca scintillans into the Southern Ocean</t>
  </si>
  <si>
    <t>Noctiluca; climate change; continuous plankton recorder; East Australian current; range expansion; Tasmania</t>
  </si>
  <si>
    <t>CONTINUOUS PLANKTON RECORDER; HARMFUL ALGAL BLOOMS; PHYTOPLANKTON BLOOMS; SEA; ABUNDANCE; AUSTRALIA; DYNAMICS; TASMANIA; COAST</t>
  </si>
  <si>
    <t>We describe a climate-driven range expansion of the red-tide dinoflagellate Noctiluca scintillans into the Southern Ocean (4531S 147E). Sea surface height data showed that a warm-core eddy moving southwards from Tasmania was the potential vector for the transport of Noctiluca. We provide evidence for active feeding of Noctiluca on Southern Ocean phytoplankton. Possible competition with other grazers may have implications for food web dynamics were Noctiluca to become established in the Southern Ocean.</t>
  </si>
  <si>
    <t>[McLeod, David J.; Richardson, Anthony J.] CSIRO Marine &amp; Atmospher Res, Ecosci Precinct, Brisbane, Qld 4102, Australia; [Hallegraeff, Gustaaf M.] Univ Tasmania, Inst Marine &amp; Antarctic Studies, Hobart, Tas 7001, Australia; [McLeod, David J.; Hosie, Graham W.] Dept Sustainabil Environm Water Populat &amp; Communi, Australian Antarctic Div, Kingston, Tas 7050, Australia; [Richardson, Anthony J.] Univ Queensland, Sch Math &amp; Phys, Ctr Applicat Nat Resource Math, St Lucia, Qld 4072, Australia; [Richardson, Anthony J.] Univ Queensland, Sch Biol Sci, Environm Decis Grp, Brisbane, Qld 4072, Australia</t>
  </si>
  <si>
    <t>Commonwealth Scientific &amp; Industrial Research Organisation (CSIRO); University of Tasmania; Australian Antarctic Division; University of Queensland; University of Queensland</t>
  </si>
  <si>
    <t>McLeod, DJ (corresponding author), CSIRO Marine &amp; Atmospher Res, Ecosci Precinct, GPO Box 2583, Brisbane, Qld 4102, Australia.</t>
  </si>
  <si>
    <t>david.mcleod@csiro.au</t>
  </si>
  <si>
    <t>Richardson, Anthony J/B-3649-2010; Hallegraeff, Gustaaf/C-8351-2013</t>
  </si>
  <si>
    <t>Richardson, Anthony J/0000-0002-9289-7366; Hallegraeff, Gustaaf/0000-0001-8464-7343</t>
  </si>
  <si>
    <t>CNES; Australian Antarctic Division [472]; Integrated Marine Observing System (IMOS); Australian Government through the National Collaborative Research Infrastructure Strategy; Super Science Initiative; NERC [NE/I030062/1] Funding Source: UKRI; Natural Environment Research Council [NE/I030062/1] Funding Source: researchfish</t>
  </si>
  <si>
    <t>CNES(Centre National D'etudes Spatiales); Australian Antarctic Division; Integrated Marine Observing System (IMOS); Australian Government through the National Collaborative Research Infrastructure Strategy(Australian GovernmentDepartment of Industry, Innovation and Science); Super Science Initiative; NERC(UK Research &amp; Innovation (UKRI)Natural Environment Research Council (NERC)); Natural Environment Research Council(UK Research &amp; Innovation (UKRI)Natural Environment Research Council (NERC))</t>
  </si>
  <si>
    <t>We would like to thank the captain and crew of the RSV Aurora Australis who helped deploy the CPR. We acknowledge Ben Raymond from the Australian Antarctic Data Centre (AADC) for his assistance with satellite data. Altimeter products were produced by SSALTO/DUACS and distributed by AVISO with support from CNES.; SO-CPR is supported by the Australian Antarctic Division through AAS Project 472. AusCPR is funded by the Integrated Marine Observing System (IMOS), which is funded by the Australian Government through the National Collaborative Research Infrastructure Strategy and the Super Science Initiative.</t>
  </si>
  <si>
    <t>10.1093/plankt/fbr112</t>
  </si>
  <si>
    <t>WOS:000301360800007</t>
  </si>
  <si>
    <t>Dolhi, JM; Ketchum, N; Morgan-Kiss, RM</t>
  </si>
  <si>
    <t>Dolhi, Jenna M.; Ketchum, Nicholas; Morgan-Kiss, Rachael M.</t>
  </si>
  <si>
    <t>Establishment of Microbial Eukaryotic Enrichment Cultures from a Chemically Stratified Antarctic Lake and Assessment of Carbon Fixation Potential</t>
  </si>
  <si>
    <t>JOVE-JOURNAL OF VISUALIZED EXPERIMENTS</t>
  </si>
  <si>
    <t>Microbiology; Issue 62; Antarctic lake; McMurdo Dry Valleys; Enrichment cultivation; Microbial eukaryotes; RubisCO</t>
  </si>
  <si>
    <t>DRY VALLEY LAKES; DINOFLAGELLATE; DIVERSITY; ALGAE; TOO</t>
  </si>
  <si>
    <t>Lake Bonney is one of numerous permanently ice-covered lakes located in the McMurdo Dry Valleys, Antarctica. The perennial ice cover maintains a chemically stratified water column and unlike other inland bodies of water, largely prevents external input of carbon and nutrients from streams. Biota are exposed to numerous environmental stresses, including year-round severe nutrient deficiency, low temperatures, extreme shade, hypersalinity, and 24-hour darkness during the winter (1). These extreme environmental conditions limit the biota in Lake Bonney almost exclusively to microorganisms (2). Single-celled microbial eukaryotes (called protists) are important players in global biogeochemical cycling (3) and play important ecological roles in the cycling of carbon in the dry valley lakes, occupying both primary and tertiary roles in the aquatic food web. In the dry valley aquatic food web, protists that fix inorganic carbon (autotrophy) are the major producers of organic carbon for organotrophic organisms (4,) (2). Phagotrophic or heterotrophic protists capable of ingesting bacteria and smaller protists act as the top predators in the food web (5). Last, an unknown proportion of the protist population is capable of combined mixotrophic metabolism (6,) (7). Mixotrophy in protists involves the ability to combine photosynthetic capability with phagotrophic ingestion of prey microorganisms. This form of mixotrophy differs from mixotrophic metabolism in bacterial species, which generally involves uptake dissolved carbon molecules. There are currently very few protist isolates from permanently ice-capped polar lakes, and studies of protist diversity and ecology in this extreme environment have been limited (8,) (4,) (9,) (10,) (5). A better understanding of protist metabolic versatility in the simple dry valley lake food web will aid in the development of models for the role of protists in the global carbon cycle. We employed an enrichment culture approach to isolate potentially phototrophic and mixotrophic protists from Lake Bonney. Sampling depths in the water column were chosen based on the location of primary production maxima and protist phylogenetic diversity (4, 11), as well as variability in major abiotic factors affecting protist trophic modes: shallow sampling depths are limited for major nutrients, while deeper sampling depths are limited by light availability. In addition, lake water samples were supplemented with multiple types of growth media to promote the growth of a variety of phototrophic organisms. RubisCO catalyzes the rate limiting step in the Calvin Benson Bassham (CBB) cycle, the major pathway by which autotrophic organisms fix inorganic carbon and provide organic carbon for higher trophic levels in aquatic and terrestrial food webs (12). In this study, we applied a radioisotope assay modified for filtered samples (13) to monitor maximum carboxylase activity as a proxy for carbon fixation potential and metabolic versatility in the Lake Bonney enrichment cultures.</t>
  </si>
  <si>
    <t>[Dolhi, Jenna M.; Ketchum, Nicholas; Morgan-Kiss, Rachael M.] Miami Univ, Dept Microbiol, Oxford, OH 45056 USA</t>
  </si>
  <si>
    <t>University System of Ohio; Miami University</t>
  </si>
  <si>
    <t>Morgan-Kiss, RM (corresponding author), Miami Univ, Dept Microbiol, Oxford, OH 45056 USA.</t>
  </si>
  <si>
    <t>morganr2@muohio.edu</t>
  </si>
  <si>
    <t>Ketchum, Nicholas/0000-0003-3137-5430; Morgan-kiss, Rachael/0000-0003-4783-5358</t>
  </si>
  <si>
    <t>NSF Office of Polar Programs Grants [0631659, 1056396]; Directorate For Geosciences; Office of Polar Programs (OPP) [1056396] Funding Source: National Science Foundation; Directorate For Geosciences; Office of Polar Programs (OPP) [1115245] Funding Source: National Science Foundation; Division Of Polar Programs; Directorate For Geosciences [0631659] Funding Source: National Science Foundation</t>
  </si>
  <si>
    <t>NSF Office of Polar Programs Grants; Directorate For Geosciences; Office of Polar Programs (OPP)(National Science Foundation (NSF)NSF - Directorate for Geosciences (GEO)); Directorate For Geosciences; Office of Polar Programs (OPP)(National Science Foundation (NSF)NSF - Directorate for Geosciences (GEO)); Division Of Polar Programs; Directorate For Geosciences(National Science Foundation (NSF)NSF - Directorate for Geosciences (GEO))</t>
  </si>
  <si>
    <t>The authors thank J. Priscu, A. Chiuchiolo and the McMurdo LTER limnology team for assistance in collection and preservation of the samples in Antarctica. We thank Ratheon Polar Services and PHI helicopters for logistical support. Light micrographs were generated in Miami's Center for Advanced Microscopy and Imaging Center. This work was supported by NSF Office of Polar Programs Grants 0631659 and 1056396.</t>
  </si>
  <si>
    <t>JOURNAL OF VISUALIZED EXPERIMENTS</t>
  </si>
  <si>
    <t>1 ALEWIFE CENTER, STE 200, CAMBRIDGE, MA 02140 USA</t>
  </si>
  <si>
    <t>1940-087X</t>
  </si>
  <si>
    <t>JOVE-J VIS EXP</t>
  </si>
  <si>
    <t>J. Vis. Exp.</t>
  </si>
  <si>
    <t>e3992</t>
  </si>
  <si>
    <t>10.3791/3992</t>
  </si>
  <si>
    <t>V36PG</t>
  </si>
  <si>
    <t>WOS:000209222900055</t>
  </si>
  <si>
    <t>Iwata, T; Sakamoto, KQ; Takahashi, A; Edwards, EWJ; Staniland, IJ; Trathan, PN; Naito, Y</t>
  </si>
  <si>
    <t>Iwata, Takashi; Sakamoto, Kentaro Q.; Takahashi, Akinori; Edwards, Ewan W. J.; Staniland, Iain J.; Trathan, Philip N.; Naito, Yasuhiko</t>
  </si>
  <si>
    <t>Using a mandible accelerometer to study fine-scale foraging behavior of free-ranging Antarctic fur seals</t>
  </si>
  <si>
    <t>MARINE MAMMAL SCIENCE</t>
  </si>
  <si>
    <t>DIVING BEHAVIOR; ARCTOCEPHALUS-GAZELLA; ACCELERATION; PREDATORS; PATTERNS</t>
  </si>
  <si>
    <t>[Iwata, Takashi; Takahashi, Akinori] Grad Univ Adv Studies, Tachikawa, Tokyo 1908518, Japan; [Sakamoto, Kentaro Q.] Hokkaido Univ, Grad Sch Vet Med, Sapporo, Hokkaido 0600818, Japan; [Takahashi, Akinori; Naito, Yasuhiko] Natl Inst Polar Res, Tachikawa, Tokyo 1908518, Japan; [Edwards, Ewan W. J.; Staniland, Iain J.; Trathan, Philip N.] British Antarctic Survey, Nat Environm Res Council, Cambridge CB3 0ET, England</t>
  </si>
  <si>
    <t>Graduate University for Advanced Studies - Japan; Hokkaido University; Research Organization of Information &amp; Systems (ROIS); National Institute of Polar Research (NIPR) - Japan; UK Research &amp; Innovation (UKRI); Natural Environment Research Council (NERC); NERC British Antarctic Survey</t>
  </si>
  <si>
    <t>Iwata, T (corresponding author), Grad Univ Adv Studies, 10-3 Midoricho, Tachikawa, Tokyo 1908518, Japan.</t>
  </si>
  <si>
    <t>tiwata@nipr.ac.jp</t>
  </si>
  <si>
    <t>Iwata, Takashi/U-7234-2018; Sakamoto, Kentaro/N-7424-2019; Sakamoto, Kentaro/A-4843-2012; Staniland, Iain/I-4725-2012</t>
  </si>
  <si>
    <t>Iwata, Takashi/0000-0001-5492-9411; Sakamoto, Kentaro/0000-0002-8499-799X; Sakamoto, Kentaro/0000-0002-8499-799X; Staniland, Iain/0000-0003-2736-9134</t>
  </si>
  <si>
    <t>NERC [bas0100025] Funding Source: UKRI; Natural Environment Research Council [bas0100025] Funding Source: researchfish; Grants-in-Aid for Scientific Research [21380128, 22688023] Funding Source: KAKEN</t>
  </si>
  <si>
    <t>NERC(UK Research &amp; Innovation (UKRI)Natural Environment Research Council (NERC));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t>
  </si>
  <si>
    <t>0824-0469</t>
  </si>
  <si>
    <t>1748-7692</t>
  </si>
  <si>
    <t>MAR MAMMAL SCI</t>
  </si>
  <si>
    <t>Mar. Mamm. Sci.</t>
  </si>
  <si>
    <t>10.1111/j.1748-7692.2011.00482.x</t>
  </si>
  <si>
    <t>Marine &amp; Freshwater Biology; Zoology</t>
  </si>
  <si>
    <t>929HI</t>
  </si>
  <si>
    <t>WOS:000303051500016</t>
  </si>
  <si>
    <t>Kovacs, KM; Aguilar, A; Aurioles, D; Burkanov, V; Campagna, C; Gales, N; Gelatt, T; Goldsworthy, SD; Goodman, SJ; Hofmeyr, GJG; Härkönen, T; Lowry, L; Lydersen, C; Schipper, J; Sipilä, T; Southwell, C; Stuart, S; Thompson, D; Trillmich, F</t>
  </si>
  <si>
    <t>Kovacs, Kit M.; Aguilar, Alex; Aurioles, David; Burkanov, Vladimir; Campagna, Claudio; Gales, Nick; Gelatt, Tom; Goldsworthy, Simon D.; Goodman, Simon J.; Hofmeyr, Greg J. G.; Harkonen, Tero; Lowry, Lloyd; Lydersen, Christian; Schipper, Jan; Sipila, Tero; Southwell, Colin; Stuart, Simon; Thompson, Dave; Trillmich, Fritz</t>
  </si>
  <si>
    <t>Global threats to pinnipeds</t>
  </si>
  <si>
    <t>Letter</t>
  </si>
  <si>
    <t>MEDITERRANEAN MONK SEAL; ARCTIC MARINE MAMMALS; CLIMATE-CHANGE; POPULATION-STRUCTURE; MONACHUS-MONACHUS; PUPPING HABITAT; CONSERVATION; IMPACTS; VARIABILITY; DIVERSITY</t>
  </si>
  <si>
    <t>[Kovacs, Kit M.; Lydersen, Christian] Norwegian Polar Res Inst, N-9296 Tromso, Norway; [Kovacs, Kit M.] Univ Studies Svalbard, N-9171 Longyearbyen, Svalbard, Norway; [Aguilar, Alex] Univ Barcelona, Dept Anim Biol, Barcelona 08071, Spain; [Aurioles, David] Inst Politecn Nacl, Ctr Interdisciplinario Ciencias Marinas, Lab Ecol Pinnipedos Burney J Le Boeuf, La Paz, Baja California, Mexico; [Burkanov, Vladimir] RAS, Kamchatka Branch Pacific Geog Inst, FEB, Petropavlovsk Kamchatski 683000, Russia; [Burkanov, Vladimir; Gelatt, Tom] NOAA, Natl Marine Mammal Lab, NMFS, Seattle, WA 98115 USA; [Campagna, Claudio] Wildlife Conservat Soc Argentina, Buenos Aires, Argentina; [Gales, Nick; Southwell, Colin] Australian Marine Mammal Ctr, Australian Antarctic Div, Kingston, Tas 7050, Australia; [Goldsworthy, Simon D.] S Australian Res &amp; Dev Inst SARDI Aquat Sci, W Beach, SA 5024, Australia; [Goodman, Simon J.] Univ Leeds, Inst Integrat &amp; Comparat Biol, Leeds LS2 9JT, W Yorkshire, England; [Hofmeyr, Greg J. G.] Univ Pretoria, Res Inst, ZA-0002 Pretoria, South Africa; [Hofmeyr, Greg J. G.] Port Elizabeth Museum Bayworld, ZA-6013 Humewood, South Africa; [Harkonen, Tero] Swedish Museum Nat Hist, Dept Ecotoxicol, S-10405 Stockholm, Sweden; [Lowry, Lloyd] Univ Alaska Fairbanks, Fairbanks, AK 99775 USA; [Schipper, Jan] Conservat Int, Global Mammal Assessment, IUCN Species Programme, Biodivers Assessment Unit,Ctr Appl Biodivers Sci, Arlington, VA 22202 USA; [Sipila, Tero] Metsahallitus, Nat Heritage Serv, FIN-57130 Savonlinna, Finland; [Stuart, Simon] Univ Bath, Innovat Ctr, IUCN Species Survival Commiss, Bath BA1 1UD, Avon, England; [Thompson, Dave] Univ St Andrews, Gatty Marine Lab, Sea Mammal Res Unit, St Andrews KY16 8LB, Fife, Scotland; [Trillmich, Fritz] Univ Bielefeld, Dept Anim Behav, D-337501 Bielefeld, Germany</t>
  </si>
  <si>
    <t>Norwegian Polar Institute; University Centre Svalbard (UNIS); University of Barcelona; Instituto Politecnico Nacional - Mexico; Russian Academy of Sciences; Pacific Geographical Institute of the Far Eastern Branch of the Russian Academy of Sciences; National Oceanic Atmospheric Admin (NOAA) - USA; Australian Antarctic Division; University of Leeds; University of Pretoria; Swedish Museum of Natural History; University of Alaska System; University of Alaska Fairbanks; Conservation International; University of Bath; University of St Andrews; University of Bielefeld</t>
  </si>
  <si>
    <t>Kovacs, KM (corresponding author), Norwegian Polar Res Inst, N-9296 Tromso, Norway.</t>
  </si>
  <si>
    <t>kit.kovacs@npolar.no</t>
  </si>
  <si>
    <t>Aguilar, Alex/L-1283-2014; Hofmeyr, G. J. Greg/AAV-3286-2020; Vivia, Ariel/JAO-4693-2023; Goodman, Simon/JGM-0743-2023; Schipper, Jan/N-5266-2015; Burkanov, Vladimir/C-3116-2012</t>
  </si>
  <si>
    <t>Aguilar, Alex/0000-0002-5751-2512; Hofmeyr, G. J. Greg/0000-0003-0283-6058; Goodman, Simon/0000-0003-4118-8575; Goldsworthy, Simon/0000-0003-4988-9085; Schipper, Jan/0000-0002-8338-7874; Burkanov, Vladimir/0000-0002-0129-7884; Thompson, David/0000-0003-1546-2876; Campagna, Claudio/0000-0002-7971-5062</t>
  </si>
  <si>
    <t>10.1111/j.1748-7692.2011.00479.x</t>
  </si>
  <si>
    <t>WOS:000303051500024</t>
  </si>
  <si>
    <t>Verleye, TJ; Mertens, KN; Young, MD; Dale, B; McMinn, A; Scott, L; Zonneveld, KAF; Louwye, S</t>
  </si>
  <si>
    <t>Verleye, Thomas J.; Mertens, Kenneth N.; Young, Marty D.; Dale, Barrie; McMinn, Andrew; Scott, Louis; Zonneveld, Karin A. F.; Louwye, Stephen</t>
  </si>
  <si>
    <t>Average process length variation of the marine dinoflagellate cyst Operculodinium centrocarpum in the tropical and Southern Hemisphere Oceans: Assessing its potential as a palaeosalinity proxy</t>
  </si>
  <si>
    <t>MARINE MICROPALEONTOLOGY</t>
  </si>
  <si>
    <t>Dinoflagellate cysts; Operculodinium centrocarpum; Process length; Salinity; Temperature; Density; Southern Hemisphere; Tropics</t>
  </si>
  <si>
    <t>SEA-SURFACE TEMPERATURE; PROTOCERATIUM-RETICULATUM; HIGH-LATITUDE; ENVIRONMENTAL-FACTORS; RESTING CYSTS; BALTIC SEA; SALINITY; VARIABILITY; HOLOCENE; CHILE</t>
  </si>
  <si>
    <t>The study investigates the morphological variability of the dinoflagellate cyst Operculodinium centrocarpum (resting cyst of Protoceratium reticulatum) in core-top samples distributed over the Southern Hemisphere and the tropics in relation to sea-surface temperature (SST) and sea-surface salinity (SSS) at the corresponding sites. The process lengths show a moderate inverse relationship to summer SST (sSST) (R-2 = 0.44) and sSSS/sSST (R-2 = 0.4), however, lateral transport of cysts probably produced noise in the plots. After excluding tropical and Southern Hemisphere sites considered to have been affected by long distance lateral transport, the relationship between process length and density follows the equation sD = 0.8422x + 1016.9 (R-2 = 0.55) with a Root Mean Square Error = 0.63 kg m(-3), while the negative correlation with sSST increases up to R-2 = 0.79. Next to salinity, this study thus highlights the importance of a second factor, temperature, affecting process length in the topics and the Southern Hemisphere oceans. (C) 2012 Elsevier B.V. All rights reserved.</t>
  </si>
  <si>
    <t>[Verleye, Thomas J.; Mertens, Kenneth N.; Louwye, Stephen] Univ Ghent, Res Unit Palaeontol, Dept Geol &amp; Soil Sci, B-9000 Ghent, Belgium; [Young, Marty D.] Australian Natl Univ, Dept Earth &amp; Marine Sci, Canberra, ACT 0200, Australia; [Young, Marty D.] CSIRO Earth Sci &amp; Resource Engn, N Ryde, NSW 2113, Australia; [Dale, Barrie] Univ Oslo, Dept Geosci, N-0316 Oslo, Norway; [McMinn, Andrew] Univ Tasmania, Inst Antarctic &amp; So Ocean Studies, Hobart, Tas 7001, Australia; [McMinn, Andrew] Univ Tasmania, Antarctic CRC, Hobart, Tas 7001, Australia; [Scott, Louis] Univ Free State, Dept Plant Sci, Bloemfontein, South Africa; [Zonneveld, Karin A. F.] Univ Bremen, MARUM Ctr Marine Environm Sci, D-28359 Bremen, Germany</t>
  </si>
  <si>
    <t>Ghent University; Australian National University; Commonwealth Scientific &amp; Industrial Research Organisation (CSIRO); University of Oslo; University of Tasmania; University of Tasmania; University of the Free State; University of Bremen</t>
  </si>
  <si>
    <t>Louwye, S (corresponding author), Univ Ghent, Res Unit Palaeontol, Dept Geol &amp; Soil Sci, Knjgslaan 281 S8-WE13, B-9000 Ghent, Belgium.</t>
  </si>
  <si>
    <t>stephen.louwye@ugent.be</t>
  </si>
  <si>
    <t>Mertens, Kenneth Neil/C-3386-2015; Mertens, Kenneth Neil/AAO-9566-2020; Scott, Louis/T-5279-2017; McMinn, Andrew/A-9910-2008; Louwye, Stephen/D-3856-2012</t>
  </si>
  <si>
    <t>Mertens, Kenneth Neil/0000-0003-2005-9483; Mertens, Kenneth Neil/0000-0003-2005-9483; Scott, Louis/0000-0002-4531-0497; Louwye, Stephen/0000-0003-4814-4313</t>
  </si>
  <si>
    <t>ANU-RSPAS PhD; Institute for the Encouragement of Innovation through Science and Technology in Flanders (IWT)</t>
  </si>
  <si>
    <t>ANU-RSPAS PhD; Institute for the Encouragement of Innovation through Science and Technology in Flanders (IWT)(Institute for the Promotion of Innovation by Science and Technology in Flanders (IWT))</t>
  </si>
  <si>
    <t>Anne-Marie Lezine (Lab. Des Sciences du Climat et de l'Environment, Gif-sur-Yvette) and Naima Abidi are greatly acknowledged for providing sample material from the West Indian Ocean. John Rogers and Amanda Rau (Dept. of Oceanography, University of Cape Town) are thanked for initially providing samples to Louis Scott. M.D. Young acknowledges the ANU-RSPAS PhD scholarship and Patrick De Deckker for making the eastern Indian/NW Australian coretops available. Also thanks to Annemiek Vink, Oliver Esper and Ulrike Holzwarth. Financial support to T.J. Verleye was provided by the Institute for the Encouragement of Innovation through Science and Technology in Flanders (IWT). K.N. Mertens is a Postdoctoral fellow of FWO Belgium. The reviewers are kindly thanked for their constructive and careful review.</t>
  </si>
  <si>
    <t>0377-8398</t>
  </si>
  <si>
    <t>1872-6186</t>
  </si>
  <si>
    <t>MAR MICROPALEONTOL</t>
  </si>
  <si>
    <t>Mar. Micropaleontol.</t>
  </si>
  <si>
    <t>86-87</t>
  </si>
  <si>
    <t>10.1016/j.marmicro.2012.02.001</t>
  </si>
  <si>
    <t>Paleontology</t>
  </si>
  <si>
    <t>928YL</t>
  </si>
  <si>
    <t>WOS:000303028300005</t>
  </si>
  <si>
    <t>Pompanon, F; Deagle, BE; Symondson, WOC; Brown, DS; Jarman, SN; Taberlet, P</t>
  </si>
  <si>
    <t>Pompanon, Francois; Deagle, Bruce E.; Symondson, William O. C.; Brown, David S.; Jarman, Simon N.; Taberlet, Pierre</t>
  </si>
  <si>
    <t>Who is eating what: diet assessment using next generation sequencing</t>
  </si>
  <si>
    <t>DNA barcoding; DNA metabarcoding; faeces; food webs; herbivory; predation</t>
  </si>
  <si>
    <t>POLYMERASE-CHAIN-REACTION; GRADIENT GEL-ELECTROPHORESIS; EXTINCT GROUND SLOTH; GUT-CONTENT-ANALYSIS; DNA-BASED METHODS; REAL-TIME PCR; PREY DNA; MOLECULAR ANALYSIS; ANTARCTIC KRILL; GENERALIST PREDATOR</t>
  </si>
  <si>
    <t>The analysis of food webs and their dynamics facilitates understanding of the mechanistic processes behind community ecology and ecosystem functions. Having accurate techniques for determining dietary ranges and components is critical for this endeavour. While visual analyses and early molecular approaches are highly labour intensive and often lack resolution, recent DNA-based approaches potentially provide more accurate methods for dietary studies. A suite of approaches have been used based on the identification of consumed species by characterization of DNA present in gut or faecal samples. In one approach, a standardized DNA region (DNA barcode) is PCR amplified, amplicons are sequenced and then compared to a reference database for identification. Initially, this involved sequencing clones from PCR products, and studies were limited in scale because of the costs and effort required. The recent development of next generation sequencing (NGS) has made this approach much more powerful, by allowing the direct characterization of dozens of samples with several thousand sequences per PCR product, and has the potential to reveal many consumed species simultaneously (DNA metabarcoding). Continual improvement of NGS technologies, on-going decreases in costs and current massive expansion of reference databases make this approach promising. Here we review the power and pitfalls of NGS diet methods. We present the critical factors to take into account when choosing or designing a suitable barcode. Then, we consider both technical and analytical aspects of NGS diet studies. Finally, we discuss the validation of data accuracy including the viability of producing quantitative data.</t>
  </si>
  <si>
    <t>[Pompanon, Francois; Taberlet, Pierre] Univ Grenoble 1, CNRS, Lab Ecol Alpine, UMR 5553, F-38041 Grenoble 9, France; [Deagle, Bruce E.; Jarman, Simon N.] Australian Antarctic Div, Kingston, Tas 7050, Australia; [Deagle, Bruce E.] Univ Victoria, Dept Biol, Victoria, BC V8W 3NS, Canada; [Symondson, William O. C.; Brown, David S.] Cardiff Univ, Cardiff Sch Biosci, Cardiff CF10 3AX, S Glam, Wales</t>
  </si>
  <si>
    <t>Communaute Universite Grenoble Alpes; Universite Grenoble Alpes (UGA); Centre National de la Recherche Scientifique (CNRS); Universite Savoie Mont Blanc; CNRS - Institute of Ecology &amp; Environment (INEE); Australian Antarctic Division; University of Victoria; Cardiff University</t>
  </si>
  <si>
    <t>Pompanon, F (corresponding author), Univ Grenoble 1, CNRS, Lab Ecol Alpine, UMR 5553, 2233 Rue Piscine, F-38041 Grenoble 9, France.</t>
  </si>
  <si>
    <t>francois.pompanon@ujf-grenoble.fr</t>
  </si>
  <si>
    <t>Taberlet, Pierre/D-1178-2010; Pompanon, François/D-3459-2009; Brown, David S/L-6995-2016; Symondson, William OC/A-4476-2010; Deagle, Bruce E/R-2999-2019; Jarman, Simon/H-9265-2016</t>
  </si>
  <si>
    <t>Pompanon, François/0000-0003-4600-0172; Deagle, Bruce E/0000-0001-7651-3687; Jarman, Simon/0000-0002-0792-9686; Symondson, William/0000-0002-3343-4679</t>
  </si>
  <si>
    <t>10.1111/j.1365-294X.2011.05403.x</t>
  </si>
  <si>
    <t>923JS</t>
  </si>
  <si>
    <t>WOS:000302616200013</t>
  </si>
  <si>
    <t>Park, S; Croteau, P; Boering, KA; Etheridge, DM; Ferretti, D; Fraser, PJ; Kim, KR; Krummel, PB; Langenfelds, RL; van Ommen, TD; Steele, LP; Trudinger, CM</t>
  </si>
  <si>
    <t>Park, S.; Croteau, P.; Boering, K. A.; Etheridge, D. M.; Ferretti, D.; Fraser, P. J.; Kim, K-R.; Krummel, P. B.; Langenfelds, R. L.; van Ommen, T. D.; Steele, L. P.; Trudinger, C. M.</t>
  </si>
  <si>
    <t>Trends and seasonal cycles in the isotopic composition of nitrous oxide since 1940</t>
  </si>
  <si>
    <t>NATURE GEOSCIENCE</t>
  </si>
  <si>
    <t>ATMOSPHERIC N2O; FIRN AIR; ICE CORE; BUDGET; FRACTIONATION; PREINDUSTRIAL; CONSTRAINTS; FLUX</t>
  </si>
  <si>
    <t>The atmospheric nitrous oxide mixing ratio has increased by 20% since 1750 (ref. 1). Given that nitrous oxide is both a long-lived greenhouse gas(2) and a stratospheric ozone-depleting substance(3), this increase is of global concern. However, the magnitude and geographic distribution of nitrous oxide sources, and how they have changed over time, is uncertain(4,5). A key unknown is the influence of the stratospheric circulation(4,5), which brings air depleted in nitrous oxide to the surface. Here, we report the oxygen and intramolecular nitrogen isotopic compositions of nitrous oxide in firn air samples from Antarctica and archived air samples from Cape Grim, Tasmania, spanning 1940-2005. We detect seasonal cycles in the isotopic composition of nitrous oxide at Cape Grim. The phases and amplitudes of these seasonal cycles allow us to distinguish between the influence of the stratospheric sink and the oceanic source at this site, demonstrating that isotope measurements can help in the attribution and quantification of surface sources in general. Large interannual variations and long-term decreasing trends in isotope composition are also apparent. These long-term trends allow us to distinguish between natural and anthropogenic sources of nitrous oxide, and confirm that the rise in atmospheric nitrous oxide levels is largely the result of an increased reliance on nitrogen-based fertilizers.</t>
  </si>
  <si>
    <t>[Park, S.; Croteau, P.; Boering, K. A.] Univ Calif Berkeley, Dept Earth &amp; Planetary Sci, Berkeley, CA 94720 USA; [Park, S.; Croteau, P.; Boering, K. A.] Univ Calif Berkeley, Dept Chem, Berkeley, CA 94720 USA; [Etheridge, D. M.; Fraser, P. J.; Krummel, P. B.; Langenfelds, R. L.; Steele, L. P.; Trudinger, C. M.] CSIRO Marine &amp; Atmospher Res, Ctr Australian Weather &amp; Climate Res, Mordialloc, Vic 3195, Australia; [Ferretti, D.] Natl Inst Water &amp; Atmospher Res, Wellington 6021, New Zealand; [Kim, K-R.] Seoul Natl Univ, Coll Nat Sci, Res Inst Oceanog, Sch Earth &amp; Environm Sci, Seoul 151747, South Korea; [van Ommen, T. D.] Australian Antarctic Div, Kingston, Tas 7050, Australia; [van Ommen, T. D.] Univ Tasmania, Antarctic Climate &amp; Ecosyst Cooperat Res Ctr, Hobart, Tas 7001, Australia</t>
  </si>
  <si>
    <t>University of California System; University of California Berkeley; University of California System; University of California Berkeley; Commonwealth Scientific &amp; Industrial Research Organisation (CSIRO); National Institute of Water &amp; Atmospheric Research (NIWA) - New Zealand; Seoul National University (SNU); Australian Antarctic Division; University of Tasmania; Antarctic Climate &amp; Ecosystems Cooperative Research Centre (ACE CRC)</t>
  </si>
  <si>
    <t>Park, S (corresponding author), Univ Calif Berkeley, Dept Earth &amp; Planetary Sci, Berkeley, CA 94720 USA.</t>
  </si>
  <si>
    <t>boering@berkeley.edu</t>
  </si>
  <si>
    <t>Park, Sunyoung/Q-5477-2019; Etheridge, David M/B-7334-2013; Fraser, Paul J. B./D-1755-2012; Trudinger, Cathy/A-2532-2008; Steele, Paul/B-3185-2009; Krummel, Paul B/A-4293-2013; Langenfelds, Ray/B-5381-2012; van Ommen, Tas/B-5020-2012</t>
  </si>
  <si>
    <t>Krummel, Paul B/0000-0002-4884-3678; Trudinger, Cathy/0000-0002-4844-2153; Etheridge, David/0000-0001-7970-2002; Langenfelds, Ray/0000-0003-4890-2049; Boering, Kristie/0000-0003-0920-0503; van Ommen, Tas/0000-0002-2463-1718</t>
  </si>
  <si>
    <t>UC Berkeley Atmospheric Sciences Center; NASA [NNX09AJ95G]; UC Berkeley; Brain Korea 21 Program; Korea NRF through the School of Earth and Environmental Sciences at Seoul National University [2011-0013756]; Australia Government; Australian Government Bureau of Meteorology; NASA [NNX09AJ95G, 114649] Funding Source: Federal RePORTER</t>
  </si>
  <si>
    <t>UC Berkeley Atmospheric Sciences Center; NASA(National Aeronautics &amp; Space Administration (NASA)); UC Berkeley; Brain Korea 21 Program(Ministry of Education &amp; Human Resources Development (MOEHRD), Republic of Korea); Korea NRF through the School of Earth and Environmental Sciences at Seoul National University; Australia Government(Australian Government); Australian Government Bureau of Meteorology(Australian Government); NASA(National Aeronautics &amp; Space Administration (NASA))</t>
  </si>
  <si>
    <t>This work was supported by the UC Berkeley Atmospheric Sciences Center, the NASA Upper Atmosphere Research Program (NNX09AJ95G) and the Camille Dreyfus Teacher-Scholar Award (KAB) through UC Berkeley; the Brain Korea 21 Program and Korea NRF grant 2011-0013756 (S. P.) through the School of Earth and Environmental Sciences at Seoul National University; and the Australia Government's Cooperative Research Centres Programme (T.D.v.O.). Long-term support by the Australian Government Bureau of Meteorology for the Cape Grim Air Archive Program is also gratefully acknowledged, and we are indebted to many Cape Grim staff for their diligent efforts in collecting the air archive samples. We thank S. Wofsy for comments on the analyses and manuscript and K-Y. Kim for additional insights from a cyclostationary empirical orthogonal function analysis of the data.</t>
  </si>
  <si>
    <t>75 VARICK ST, 9TH FLR, NEW YORK, NY 10013-1917 USA</t>
  </si>
  <si>
    <t>1752-0894</t>
  </si>
  <si>
    <t>1752-0908</t>
  </si>
  <si>
    <t>NAT GEOSCI</t>
  </si>
  <si>
    <t>Nat. Geosci.</t>
  </si>
  <si>
    <t>10.1038/NGEO1421</t>
  </si>
  <si>
    <t>918YU</t>
  </si>
  <si>
    <t>WOS:000302288400013</t>
  </si>
  <si>
    <t>Duffy, DC; Capece, P</t>
  </si>
  <si>
    <t>Duffy, David Cameron; Capece, Paula</t>
  </si>
  <si>
    <t>Biology and Impacts of Pacific Island Invasive Species. 7. The Domestic Cat (Felis catus)</t>
  </si>
  <si>
    <t>PACIFIC SCIENCE</t>
  </si>
  <si>
    <t>TRAP-NEUTER-RETURN; FERAL HOUSE CATS; ANTARCTIC MARION ISLAND; STOATS MUSTELA ERMINEA; SMALL VERTEBRATE FAUNA; FREE-ROAMING CATS; TOXOPLASMA-GONDII; IMMUNODEFICIENCY VIRUS; BARTONELLA-HENSELAE; MESOPREDATOR RELEASE</t>
  </si>
  <si>
    <t>This article reviews the biology, ecological effects, and management of the domestic cat (Felis catus) in the Pacific basin. The cat is one of the most controversial invasive species in the Pacific region because of its complex relations with humans. At one extreme, well-fed domestic house pets are allowed outdoors where they may hunt native animals; at the other, unsocialized feral cats have replaced native predators as apex predators or occupy a new niche on oceanic islands, where they have devastated native faunas. In the middle are stray cats that are still socialized around humans. Feral and stray cats can be reservoirs of diseases that infect free-roaming domestic cats, humans, and wildlife. Given these problems, the best response would be to keep domestic cats indoors, restrict cat breeding, and remove feral populations. However, most Pacific basin societies have failed to reach a consensus on the cat problem, so solutions are ad hoc, often lacking in any scientific basis, and reflect our conflicting views. Compromise management might best fall into three broad classes: (1) eradication of cats should be confined to islands and other areas of high native biodiversity where reintroduction can be prevented; (2) in a landscape of low or moderate biological value, efforts should be made to educate the public to reduce the impact of their cats on remaining wildlife, while excluding cats from islands of elevated biodiversity values or human sensitivity; (3) in drastically simplified urban ecosystems, management perhaps should occur only in response to local complaints.</t>
  </si>
  <si>
    <t>[Duffy, David Cameron; Capece, Paula] Univ Hawaii Manoa, Pacific Cooperat Studies Unit, Honolulu, HI 96822 USA; [Duffy, David Cameron; Capece, Paula] Univ Hawaii Manoa, Dept Bot, Honolulu, HI 96822 USA</t>
  </si>
  <si>
    <t>University of Hawaii System; University of Hawaii Manoa; University of Hawaii System; University of Hawaii Manoa</t>
  </si>
  <si>
    <t>Duffy, DC (corresponding author), Univ Hawaii Manoa, Pacific Cooperat Studies Unit, 3190 Maile Way,St John 410, Honolulu, HI 96822 USA.</t>
  </si>
  <si>
    <t>dduffy@hawaii.edu</t>
  </si>
  <si>
    <t>Duffy, David/0000-0002-0498-9632</t>
  </si>
  <si>
    <t>Paumanok Solutions; Pacific Cooperative Studies Unit of the University of Hawai'i at Manoa, Honolulu; U.S. Department of Agriculture National Wildlife Center [09-7415-0760]</t>
  </si>
  <si>
    <t>Paumanok Solutions; Pacific Cooperative Studies Unit of the University of Hawai'i at Manoa, Honolulu; U.S. Department of Agriculture National Wildlife Center</t>
  </si>
  <si>
    <t>This work was supported by Paumanok Solutions and the Pacific Cooperative Studies Unit of the University of Hawai'i at Manoa, Honolulu, and by Award 09-7415-0760 (CA) from the U.S. Department of Agriculture National Wildlife Center. Manuscript accepted 18 August 2011.</t>
  </si>
  <si>
    <t>UNIV HAWAII PRESS</t>
  </si>
  <si>
    <t>HONOLULU</t>
  </si>
  <si>
    <t>2840 KOLOWALU ST, HONOLULU, HI 96822 USA</t>
  </si>
  <si>
    <t>0030-8870</t>
  </si>
  <si>
    <t>1534-6188</t>
  </si>
  <si>
    <t>PAC SCI</t>
  </si>
  <si>
    <t>Pac. Sci.</t>
  </si>
  <si>
    <t>10.2984/66.2.7</t>
  </si>
  <si>
    <t>936YH</t>
  </si>
  <si>
    <t>WOS:000303625400007</t>
  </si>
  <si>
    <t>Green, TGA; Brabyn, L; Beard, C; Sancho, LG</t>
  </si>
  <si>
    <t>Allan Green, T. G.; Brabyn, Lars; Beard, Catherine; Sancho, Leopoldo G.</t>
  </si>
  <si>
    <t>Extremely low lichen growth rates in Taylor Valley, Dry Valleys, continental Antarctica</t>
  </si>
  <si>
    <t>Lichenometry; Radial growth; Snow; Ross Sea; Antarctica; Extreme environment</t>
  </si>
  <si>
    <t>SOUTHERN NORWAY; MORAINES; CLIMATE; THALLI; RANGE; SNOW</t>
  </si>
  <si>
    <t>Estimates of lichen growth rates based on the measurements of several thalli at any site do not exist for continental Antarctica. However, the very limited existing data suggest that lichen growth rate may be a good indicator of climate change in Antarctica. We present measurements made on thalli of the lichen Buellia frigida Darb. growing in the Dry Valleys, Southern Victoria Land, continental Antarctica, which appear to have some of the slowest radial growth rates yet measured. Photographs of thalli at three different sites were analysed for growth over a 25-year period using nano-GIS techniques. At one site, Mt. Falconer Summit, the lichens had a mean growth rate of 0.0052 mm year(-1) with one individual as low as 0.0036 mm year(-1). Thalli at the other two sites had significantly higher mean growth rates, 0.0136 mm year(-1) at Mt. Falconer Ridge and 0.0118 mm year(-1) at Rhone Bench. Assuming a constant growth rate, thalli at Mt. Falconer Summit had a mean age of 5,367 years, whilst the thalli at the other two sites were much younger, 840-1,026 years. We suggest that the different ages represent the appearance of new substrate for colonisation following climate changes in the Dry Valleys that altered the amount and duration of snow. The results confirm that lichen growth rate differs by almost two orders of magnitude over a latitudinal range of 15 degrees from south to north across Antarctica.</t>
  </si>
  <si>
    <t>[Allan Green, T. G.; Brabyn, Lars] Univ Waikato, Dept Geog &amp; Tourism, Hamilton, New Zealand; [Allan Green, T. G.; Sancho, Leopoldo G.] Univ Complutense, Dept Biol Vegetal 2, Fac Farm, E-28040 Madrid, Spain; [Beard, Catherine] Environm Waikato, Hamilton, New Zealand</t>
  </si>
  <si>
    <t>Green, TGA (corresponding author), Univ Waikato, Dept Geog &amp; Tourism, Hamilton, New Zealand.</t>
  </si>
  <si>
    <t>greentga@waikato.ac.nz</t>
  </si>
  <si>
    <t>Sancho, leopoldo G./H-2974-2013; SANCHO, LEOPOLDO/G-9120-2015; Brabyn, Lars/N-1479-2016</t>
  </si>
  <si>
    <t>SANCHO, LEOPOLDO/0000-0002-4751-7475; Brabyn, Lars/0000-0002-3400-6182</t>
  </si>
  <si>
    <t>Antarctica New Zealand; University of Waikato; Spanish Ministry of Science [POL2006-08405, CTM2009-12838-C04-01]; Ramon y Cajal at Vegetal II, Farmacia, Universidad Complutense, Madrid, Spain; FRST</t>
  </si>
  <si>
    <t>Antarctica New Zealand; University of Waikato; Spanish Ministry of Science(Spanish Government); Ramon y Cajal at Vegetal II, Farmacia, Universidad Complutense, Madrid, Spain; FRST(New Zealand Foundation for Research, Science and Technology)</t>
  </si>
  <si>
    <t>We thank Antarctica New Zealand for the provision of logistic support and the University of Waikato, through their Antarctic Research Program, for their continuing support for Antarctic research over many years. LGS and TGAG were supported by Spanish Ministry of Science (POL2006-08405 and CTM2009-12838-C04-01). TGAG was supported by a Ramon y Cajal Fellowship at Vegetal II, Farmacia, Universidad Complutense, Madrid, Spain, and by FRST grant: Understanding, valuing and protecting Antarctica's unique terrestrial ecosystems: Predicting biocomplexity in Dry Valley ecosystems, during the writing of this paper.</t>
  </si>
  <si>
    <t>10.1007/s00300-011-1098-7</t>
  </si>
  <si>
    <t>WOS:000301451600006</t>
  </si>
  <si>
    <t>Peeters, K; Verleyen, E; Hodgson, DA; Convey, P; Ertz, D; Vyverman, W; Willems, A</t>
  </si>
  <si>
    <t>Peeters, Karolien; Verleyen, Elie; Hodgson, Dominic A.; Convey, Peter; Ertz, Damien; Vyverman, Wim; Willems, Anne</t>
  </si>
  <si>
    <t>Heterotrophic bacterial diversity in aquatic microbial mat communities from Antarctica</t>
  </si>
  <si>
    <t>Microbial diversity; Cultivation; 16S rRNA gene sequencing; ASPA; PCA</t>
  </si>
  <si>
    <t>MCMURDO DRY VALLEYS; SP-NOV.; GEN.-NOV.; FRESH-WATER; SP. NOV.; EMENDED DESCRIPTION; SCHIRMACHER OASIS; VICTORIA LAND; LAKE FRYXELL; SEA-ICE</t>
  </si>
  <si>
    <t>Heterotrophic bacteria isolated from five aquatic microbial mat samples from different locations in continental Antarctica and the Antarctic Peninsula were compared to assess their biodiversity. A total of 2,225 isolates obtained on different media and at different temperatures were included. After an initial grouping by whole-genome fingerprinting, partial 16S rRNA gene sequence analysis was used for further identification. These results were compared with previously published data obtained with the same methodology from terrestrial and aquatic microbial mat samples from two additional Antarctic regions. The phylotypes recovered in all these samples belonged to five major phyla, Actinobacteria, Bacteroidetes, Proteobacteria, Firmicutes and Deinococcus-Thermus, and included several potentially new taxa. Ordination analyses were performed in order to explore the variance in the diversity of the samples at genus level. Habitat type (terrestrial vs. aquatic) and specific conductivity in the lacustrine systems significantly explained the variation in bacterial community structure. Comparison of the phylotypes with sequences from public databases showed that a considerable proportion (36.9%) is currently known only from Antarctica. This suggests that in Antarctica, both cosmopolitan taxa and taxa with limited dispersal and a history of long-term isolated evolution occur.</t>
  </si>
  <si>
    <t>[Peeters, Karolien; Willems, Anne] Univ Ghent, Microbiol Lab, Dept Biochem &amp; Microbiol, Fac Sci, B-9000 Ghent, Belgium; [Verleyen, Elie; Vyverman, Wim] Univ Ghent, Fac Sci, Dept Biol, B-9000 Ghent, Belgium; [Hodgson, Dominic A.; Convey, Peter] British Antarctic Survey, Nat Environm Res Council, Cambridge CB3 0ET, England; [Ertz, Damien] Natl Bot Garden Belgium, Dept Bryophytes Thallophytes, B-1860 Meise, Belgium</t>
  </si>
  <si>
    <t>Ghent University; Ghent University; UK Research &amp; Innovation (UKRI); Natural Environment Research Council (NERC); NERC British Antarctic Survey</t>
  </si>
  <si>
    <t>Willems, A (corresponding author), Univ Ghent, Microbiol Lab, Dept Biochem &amp; Microbiol, Fac Sci, KL Ledeganckstr 35, B-9000 Ghent, Belgium.</t>
  </si>
  <si>
    <t>Anne.Willems@ugent.be</t>
  </si>
  <si>
    <t>Convey, Peter/AAV-5728-2020; Willems, Anne/B-2872-2010</t>
  </si>
  <si>
    <t>Convey, Peter/0000-0001-8497-9903; Willems, Anne/0000-0002-8421-2881</t>
  </si>
  <si>
    <t>Belgian Science Policy Office (BelSPO); ANTAR-IMPACT; BELDIVA; International Polar Foundation; British Antarctic Survey; Japanese Antarctic Research expedition 48; Natural Environment Research Council [bas0100024, bas0100026] Funding Source: researchfish; NERC [bas0100026, bas0100024] Funding Source: UKRI</t>
  </si>
  <si>
    <t>Belgian Science Policy Office (BelSPO)(Belgian Federal Science Policy Office); ANTAR-IMPACT; BELDIVA; International Polar Foundation; British Antarctic Survey; Japanese Antarctic Research expedition 48; Natural Environment Research Council(UK Research &amp; Innovation (UKRI)Natural Environment Research Council (NERC)); NERC(UK Research &amp; Innovation (UKRI)Natural Environment Research Council (NERC))</t>
  </si>
  <si>
    <t>This work was funded by the Belgian Science Policy Office (BelSPO) projects AMBIO (an International Polar Year project), ANTAR-IMPACT and BELDIVA. Fieldwork was supported by BelSPO and the International Polar Foundation, the British Antarctic Survey and the Japanese Antarctic Research expedition 48. We thank the project coordinator Annick Wilmotte and are grateful to the Antarctic programme coordinator of BelSPO and Sakae Kudoh, Satoshi Imura and Tamotsu Hoshino for logistic support during sampling campaigns. This study contributes to the BAS 'Polar Science for Planet Earth' and SCAR 'Evolution and Biodiversity in Antarctica' programmes. EV is a postdoctoral research fellow with the Research Foundation - Flanders (Belgium).</t>
  </si>
  <si>
    <t>10.1007/s00300-011-1100-4</t>
  </si>
  <si>
    <t>WOS:000301451600007</t>
  </si>
  <si>
    <t>Rao, S; Chan, YK; Lacap, DC; Hyde, KD; Pointing, SB; Farrell, RL</t>
  </si>
  <si>
    <t>Rao, Subramanya; Chan, Yuki; Lacap, Donnabella C.; Hyde, Kevin D.; Pointing, Stephen B.; Farrell, Roberta L.</t>
  </si>
  <si>
    <t>Low-diversity fungal assemblage in an Antarctic Dry Valleys soil</t>
  </si>
  <si>
    <t>Antarctica; Debaryomyces; Helicodendron; Soil fungi; Zalerion</t>
  </si>
  <si>
    <t>MICROBIAL COMMUNITIES; COLD DESERT; MICROFUNGI</t>
  </si>
  <si>
    <t>The McMurdo Dry Valleys of Antarctica present extreme environmental challenges. Life is restricted to patchy occurrence of lichens, mosses and invertebrates, plus soil microbial communities. Fungi have been described in lichen symbioses but relatively little is known about the occurrence of free-living soil fungi in the Dry Valleys. A challenge in estimating fungal species richness has been the extent to which estimates based on either cultivation or environmental DNA reflect the active assemblage in cold-arid soils. Here, we describe analysis for inland Dry Valleys soil of environmental DNA and RNA (cDNA) to infer total and putative metabolically active assemblages, respectively, plus cultivation approaches using a variety of laboratory growth conditions. Environmental sequences indicated a highly restricted assemblage of just seven phylotypes that affiliated phylogenetically within two known genera, Helicodendron and Zalerion, plus previously unidentified fungal phylotypes. None of the commonly encountered molds and mitosporic genera recorded from maritime Antarctic locations were encountered. A striking difference was observed in the frequency of recovery for phylotypes between libraries. This suggests that both species richness and beta diversity estimates based on DNA libraries have the potential to misinform putatively active assemblages. Cultivation yielded a cold-tolerant Zalerion strain that affiliated with DNA and RNA library clones, and a psychrotrophic yeast (Debaryomyces hansenii), which was not detected using either culture-independent approach.</t>
  </si>
  <si>
    <t>[Rao, Subramanya; Chan, Yuki; Lacap, Donnabella C.; Pointing, Stephen B.] Univ Hong Kong, Sch Biol Sci, Hong Kong, Hong Kong, Peoples R China; [Hyde, Kevin D.] Mae Fah Luang Univ, Sch Sci, Chiang Rai 57100, Thailand; [Hyde, Kevin D.] King Saud Univ, Dept Bot &amp; Microbiol, Coll Sci, Riyadh 1145, Saudi Arabia; [Farrell, Roberta L.] Univ Waikato, Dept Biol Sci, Hamilton, New Zealand</t>
  </si>
  <si>
    <t>University of Hong Kong; Mae Fah Luang University; King Saud University; University of Waikato</t>
  </si>
  <si>
    <t>Pointing, SB (corresponding author), Univ Hong Kong, Sch Biol Sci, Pokfulam Rd, Hong Kong, Hong Kong, Peoples R China.</t>
  </si>
  <si>
    <t>pointing@hku.hk</t>
  </si>
  <si>
    <t>Pointing, Stephen/JHT-2500-2023; Hyde, Kevin/F-7890-2010</t>
  </si>
  <si>
    <t>Chan, Yuki/0000-0002-9570-5462</t>
  </si>
  <si>
    <t>Hong Kong Research Grants Council [HKU7733/08 M, HKU7763/10]; Antarctica New Zealand [Event K021B]; Global Research Network for Fungal Biology; King Saud University</t>
  </si>
  <si>
    <t>Hong Kong Research Grants Council(Hong Kong Research Grants Council); Antarctica New Zealand; Global Research Network for Fungal Biology; King Saud University(King Saud University)</t>
  </si>
  <si>
    <t>The research was supported by the Hong Kong Research Grants Council (Grant numbers HKU7733/08 M, HKU7763/10). The authors wish to acknowledge the excellent logistic and field support provided by Antarctica New Zealand (Event K021B). K.D. Hyde thanks the Global Research Network for Fungal Biology and King Saud University for support.</t>
  </si>
  <si>
    <t>10.1007/s00300-011-1102-2</t>
  </si>
  <si>
    <t>hybrid, Green Submitted</t>
  </si>
  <si>
    <t>WOS:000301451600009</t>
  </si>
  <si>
    <t>Singh, P; Singh, SM</t>
  </si>
  <si>
    <t>Singh, Purnima; Singh, Shiv M.</t>
  </si>
  <si>
    <t>Characterization of yeast and filamentous fungi isolated from cryoconite holes of Svalbard, Arctic</t>
  </si>
  <si>
    <t>Fungi; Midre Lovenbreen glacier; Diversity; Bioprospecting</t>
  </si>
  <si>
    <t>MICROBIAL ACTIVITY; ENVIRONMENTS; GLACIERS; BACTERIA; RUNOFF</t>
  </si>
  <si>
    <t>Cryoconite holes have biogeochemical, ecological and biotechnological importance. This communication presents results on culturable psychrophilic yeast and filamentous fungi from cryoconite holes at Midre Lov,nbreen glacier. The identification of these microbes was achieved through conventional and DNA sequencing techniques. Effect of temperature, salt and media on growth of the cultures was studied. Measurements on the bioavailability of nutrients and trace metals were made through different methods including ICPMS (Inductively Coupled Plasma Mass Spectrometry). Colony forming unit (CFU) per gram of sediment sample was calculated to be about 7 x 10(3)-1.4 x 10(4) and 4 x 10(3)-1.2 x 10(4) of yeast and filamentous fungi, respectively. Based on morphology and sequence data, these were identified as Cryptococcus gilvescens, Mrakia sp., Rhodotorula sp., Phialophora alba and Articulospora tetracladia. Amongst these, Phialophora alba, Cryptococcus gilvescens and Mrakia sp. zhenx-1 are reported for the first time from Svalbard Arctic, while Rhodotorula sp. (95% gene similarity) is a new species, yet to be described. Rhodotorula sp. expressed high amylase, while Cryptococcus gilvescens showed high lipase activity. Mrakia sp. showed phosphate solubilization between 4 and 15A degrees C, which is a first record. Chemical analysis revealed the presence of organic carbon, nitrogen and phosphorus in substantial amounts in the sediments. Filamentous fungi and yeast in the cryoconite holes drive the process of organic macromolecule degradation through cold-adapted enzyme secretion, thereby assisting in nutrient cycling in these subglacial environments. Further, these cold-adapted enzymes may provide an opportunity for the prospect of biotechnology in Arctic. This is the first report on mycological investigation into cryoconite holes from Midre Lov,nbreen glacier.</t>
  </si>
  <si>
    <t>[Singh, Shiv M.] Natl Ctr Antarctic &amp; Ocean Res, Vasco Da Gama 403804, Goa, India; [Singh, Purnima] Birla Inst Technol &amp; Sci, Zuarinagar 403726, Goa, India</t>
  </si>
  <si>
    <t>Ministry of Earth Sciences (MoES) - India; National Centre for Polar and Ocean Research (NCPOR); Birla Institute of Technology &amp; Science Pilani (BITS Pilani)</t>
  </si>
  <si>
    <t>Singh, SM (corresponding author), Natl Ctr Antarctic &amp; Ocean Res, Vasco Da Gama 403804, Goa, India.</t>
  </si>
  <si>
    <t>drsmsingh@yahoo.com</t>
  </si>
  <si>
    <t>Department of Science &amp; Technology (DST), New Delhi</t>
  </si>
  <si>
    <t>Department of Science &amp; Technology (DST), New Delhi(Department of Science &amp; Technology (India))</t>
  </si>
  <si>
    <t>Author (PS1) is highly indebted to Department of Science &amp; Technology (DST), New Delhi for financial support. Authors are thankful to Dr Rasik Ravindra, Director NCAOR, Director BITS and Dr Jagdev Sharma, NRCG for encouragement and facilities. Thanks are due to Dr C. T. Achuthankutty for improving the English language of the manuscript, Chief Editor and anonymous reviewers for their valuable suggestions.</t>
  </si>
  <si>
    <t>10.1007/s00300-011-1103-1</t>
  </si>
  <si>
    <t>WOS:000301451600010</t>
  </si>
  <si>
    <t>Hillyard, G; Clark, MS</t>
  </si>
  <si>
    <t>Hillyard, Guy; Clark, Melody S.</t>
  </si>
  <si>
    <t>RNA preservation of Antarctic marine invertebrates</t>
  </si>
  <si>
    <t>Tissue preservation; Tissue transport; 28 s ribosomal RNA; Echinoderms; Molluscs</t>
  </si>
  <si>
    <t>RIBOSOMAL-RNA</t>
  </si>
  <si>
    <t>Fifteen species of marine invertebrate commonly occurring in the near-shore environment of Rothera base, Antarctica, were used to test tissue sample storage protocols with regard to preservation of RNA integrity. After animal collection, the tissues were either immediately extracted for RNA or stored at -80A degrees C after having been, either directly flash frozen in liquid nitrogen or preserved in a commercial RNA storage solution, for extraction in the UK. In four cases, direct flash freezing produced enhanced RNA integrity compared with samples in the commercial storage solution. A subset of samples were further tested for the preferred temperature of storage in the commercial reagent. RNA integrity was well preserved at both +4 and -20A degrees C over periods of 2 months, but degradation was rapid in tissues stored at room temperature. Eight out of the fifteen species only produced a single ribosomal band on gel electrophoresis. This survey provides a guide for tissue transport of Polar cold water marine invertebrates.</t>
  </si>
  <si>
    <t>[Hillyard, Guy; Clark, Melody S.] British Antarctic Survey, Nat Environm Res Council, Cambridge CB3 0ET, England</t>
  </si>
  <si>
    <t>Clark, MS (corresponding author), British Antarctic Survey, Nat Environm Res Council, Madingley Rd, Cambridge CB3 0ET, England.</t>
  </si>
  <si>
    <t>mscl@bas.ac.uk</t>
  </si>
  <si>
    <t>Clark, Melody/D-7371-2014</t>
  </si>
  <si>
    <t>Clark, Melody/0000-0002-3442-3824</t>
  </si>
  <si>
    <t>NERC National Facility for Scientific Diving at Oban; Natural Environment Research Council [bas0100025] Funding Source: researchfish; NERC [bas0100025] Funding Source: UKRI</t>
  </si>
  <si>
    <t>NERC National Facility for Scientific Diving at Oban(UK Research &amp; Innovation (UKRI)Natural Environment Research Council (NERC)); Natural Environment Research Council(UK Research &amp; Innovation (UKRI)Natural Environment Research Council (NERC)); NERC(UK Research &amp; Innovation (UKRI)Natural Environment Research Council (NERC))</t>
  </si>
  <si>
    <t>This paper was produced within the BAS Polar Sciences for Planet Earth Programme; Adaptations and Physiology Work Package. Thanks to all members of the Rothera Dive Team for providing samples and especially to Professor Lloyd Peck for dissecting the Parborlasia. Overall, diving support was provided by the NERC National Facility for Scientific Diving at Oban.</t>
  </si>
  <si>
    <t>10.1007/s00300-011-1088-9</t>
  </si>
  <si>
    <t>WOS:000301451600015</t>
  </si>
  <si>
    <t>History of exotic terrestrial mammals in Antarctic regions: a further note</t>
  </si>
  <si>
    <t>10.1017/S0032247411000568</t>
  </si>
  <si>
    <t>WOS:000301068500003</t>
  </si>
  <si>
    <t>Powell, RB; Brownlee, MTJ; Kellert, SR; Ham, SH</t>
  </si>
  <si>
    <t>Powell, Robert B.; Brownlee, Matthew T. J.; Kellert, Stephen R.; Ham, Sam H.</t>
  </si>
  <si>
    <t>From awe to satisfaction: immediate affective responses to the Antarctic tourism experience</t>
  </si>
  <si>
    <t>CONCEPTUAL-FRAMEWORK; ATTITUDES; BEHAVIOR; QUALITY</t>
  </si>
  <si>
    <t>Antarctica is a rugged, austere, and yet stunningly beautiful continent with charismatic fauna including several species of penguins, whales, and seals. Mass media, writings from the early explorers, and modern film all describe firsthand experiences as delightful, beautiful, challenging, humbling, and even awe-inspiring. This dramatic allure of Antarctica now fuels one of the fastest growing tourism markets in the world with over 30,000 visitors annually traveling to the continent. Despite the fact that Antarctic tourism has occurred for over 30 years, little research has investigated the psychological and affective influence of these immersive tourism experiences in the Antarctic environment. This study explored visitors' affective judgments regarding their Antarctic tourism experience. An onsite post experience survey was administered to Antarctic tourists to investigate their satisfaction with a range of tour attributes. In addition, the researchers used the open-ended question, How did this Antarctic experience affect you? to explore tourists' affective response to their interaction with the Antarctic tourism environment. These open ended responses were coded using a priori themes generated from Kellert's environmental values typology. Additionally, each response was analysed for the presence of an awe experience. Further analysis revealed that tourists described five sub-dimensions of an 'awe' experience (nature-human relationship, spiritual connection, transformative experience, goal clarification, and sense of feeling humbled), with many individuals experiencing multiple dimensions of awe. Consequently, this analysis reveals that the impact of an Antarctic tour experience is powerful, rich, and extremely complex.</t>
  </si>
  <si>
    <t>[Powell, Robert B.; Brownlee, Matthew T. J.] Clemson Univ, Dept Forestry &amp; Nat Resources, Dept Pk Recreat &amp; Tourism Management, Clemson, SC 29634 USA; [Kellert, Stephen R.] Yale Univ, Sch Forestry &amp; Environm Studies, New Haven, CT 06511 USA; [Ham, Sam H.] Univ Idaho, Dept Conservat Social Sci, Moscow, ID 83844 USA</t>
  </si>
  <si>
    <t>Clemson University; Yale University; Idaho; University of Idaho</t>
  </si>
  <si>
    <t>Powell, RB (corresponding author), Clemson Univ, Dept Forestry &amp; Nat Resources, Dept Pk Recreat &amp; Tourism Management, 281 Lehotsky Hall, Clemson, SC 29634 USA.</t>
  </si>
  <si>
    <t>rbp@clemson.edu</t>
  </si>
  <si>
    <t>Canon National Parks; Yale Institute for Biospheric Studies; USDA Cooperative State Research, Education, and Extension Service [0209766]</t>
  </si>
  <si>
    <t>Canon National Parks; Yale Institute for Biospheric Studies; USDA Cooperative State Research, Education, and Extension Service(United States Department of Agriculture (USDA)National Institute of Food and Agriculture)</t>
  </si>
  <si>
    <t>The authors would like to acknowledge the Canon National Parks science scholars program, the Yale Institute for Biospheric Studies, and the USDA Cooperative State Research, Education, and Extension Service (Hatch project #0209766) for their financial support. Finally the authors would like to thank the participating operators and their tourists for their cooperation and participation in this independent research and the two anonymous referees whose comments improved this article.</t>
  </si>
  <si>
    <t>10.1017/S0032247410000720</t>
  </si>
  <si>
    <t>WOS:000301068500004</t>
  </si>
  <si>
    <t>Quilty, PG; Winter, G</t>
  </si>
  <si>
    <t>Quilty, Patrick G.; Winter, Gillian</t>
  </si>
  <si>
    <t>Robert Falcon Scott: a Tasmanian connection</t>
  </si>
  <si>
    <t>ICE AGES; CLIMATE</t>
  </si>
  <si>
    <t>The Edge Anglican church (originally St Alban's) in the northern Hobart suburb of Claremont has above its main altar a triptych stained glass window, a memorial to Robert Falcon Scott R.N. New information suggests that the designermanufacturer was Auguste Fischer of Melbourne, a close associate of the church's architect, Alan Cameron Walker of Hobart. The window was promised by Mrs Edith Knight at the laying of the foundation stone of the church in July 1913, five months after Scott's death became known to the world. Lady Ellison-Macartney attended the ceremony. She was Scott's sister and wife of the recently appointed governor of Tasmania, Sir William Ellison-Macartney. Other members of Scott's family were also living in Hobart at the time. The Ellison-Macartneys and their daughter Esther attended the dedication of the window on 17 October 1915. Admiral E.R.G.R. Evans, second in command of Scott's expedition, spoke to The Royal Society of Tasmania on 29 March 1930, on the topic of Scott's last Antarctic venture.</t>
  </si>
  <si>
    <t>[Quilty, Patrick G.] Univ Tasmania, Sch Earth Sci, Hobart, Tas 7001, Australia; [Winter, Gillian] Pear Tree Press, W Hobart, Tas 7000, Australia</t>
  </si>
  <si>
    <t>Quilty, PG (corresponding author), Univ Tasmania, Sch Earth Sci, Private Bag 79, Hobart, Tas 7001, Australia.</t>
  </si>
  <si>
    <t>P.Quilty@utas.edu.au</t>
  </si>
  <si>
    <t>10.1017/S0032247411000283</t>
  </si>
  <si>
    <t>WOS:000301068500009</t>
  </si>
  <si>
    <t>Chiappori, F; Pucciarelli, S; Merelli, I; Ballarini, P; Miceli, C; Milanesi, L</t>
  </si>
  <si>
    <t>Chiappori, Federica; Pucciarelli, Sandra; Merelli, Ivan; Ballarini, Patrizia; Miceli, Cristina; Milanesi, Luciano</t>
  </si>
  <si>
    <t>Structural thermal adaptation of β-tubulins from the Antarctic psychrophilic protozoan Euplotes focardii</t>
  </si>
  <si>
    <t>PROTEINS-STRUCTURE FUNCTION AND BIOINFORMATICS</t>
  </si>
  <si>
    <t>molecular dynamics; microtubule; isotypes; cilia; ligand effect; structural flexibility; cellular function</t>
  </si>
  <si>
    <t>COLD ADAPTATION; MOLECULAR-BASIS; GAMMA-TUBULIN; MICROTUBULE; DYNAMICS; ISOTYPES; FAMILY; ROLES; GENE</t>
  </si>
  <si>
    <t>Tubulin dimers of psychrophilic eukaryotes can polymerize into microtubules at 4 degrees C, a temperature at which microtubules from mesophiles disassemble. This unique capability requires changes in the primary structure and/or in post-translational modifications of the tubulin subunits. To contribute to the understanding of mechanisms responsible for microtubule cold stability, here we present a computational structural analysis based on molecular dynamics (MD) and experimental data of three beta-tubulin isotypes, named EFBT2, EFBT3, and EFBT4, from the Antarctic protozoon Euplotes focardii that optimal temperature for growth and reproduction is 4 degrees C. In comparison to the beta-tubulin from E. crassus, a mesophilic Euplotes species, EFBT2, EFBT3, and EFBT4 possess unique amino acid substitutions that confer different flexible properties of the polypeptide, as well as an increased hydrophobicity of the regions involved in microtubule interdimeric contacts that may overcome the microtubule destabilizing effect of cold temperatures. The structural analysis based on MD indicated that all isotypes display different flexibility properties in the regions involved in the formation of longitudinal and lateral contacts during microtubule polymerization. We also investigated the role of E. focardii beta-tubulin isotypes during the process of cilia formation. The unique characteristics of the primary and tertiary structures of psychrophilic beta-tubulin isotypes seem responsible for the formation of microtubules with distinct dynamic and functional properties. Proteins 2012;. (c) 2011 Wiley Periodicals, Inc.</t>
  </si>
  <si>
    <t>[Chiappori, Federica; Merelli, Ivan; Milanesi, Luciano] Ist Tecnol Biomed Consiglio Nazl Ric, I-20090 Segrate, MI, Italy; [Pucciarelli, Sandra; Ballarini, Patrizia; Miceli, Cristina] Univ Camerino, Scuola Biosci &amp; Biotecnol, I-62032 Camerino, Italy</t>
  </si>
  <si>
    <t>Consiglio Nazionale delle Ricerche (CNR); Istituto di Tecnologie Biomediche (ITB-CNR); University of Camerino</t>
  </si>
  <si>
    <t>Chiappori, F (corresponding author), Ist Tecnol Biomed Consiglio Nazl Ric, Via Fratelli Cervi 93, I-20090 Segrate, MI, Italy.</t>
  </si>
  <si>
    <t>federica.chiappori@itb.cnr.it; sandra.pucciarelli@unicam.it</t>
  </si>
  <si>
    <t>Milanesi, Luciano/AAE-7230-2019; Merelli, Ivan/AAX-6171-2020; Chiappori, Federica/S-5689-2019</t>
  </si>
  <si>
    <t>Milanesi, Luciano/0000-0002-1201-3939; Merelli, Ivan/0000-0003-3587-3680; Chiappori, Federica/0000-0001-8099-4348; Miceli, Cristina/0000-0002-7829-8471; Pucciarelli, Sandra/0000-0003-4178-2689</t>
  </si>
  <si>
    <t>Italian Ministry Education and Research the Flagship InterOmics,'' ITALBIONET [RBPR05ZK2Z]; Bioinformatics analysis applied to Populations Genetics [RBIN064YAT 003]; Italian PNRA; MIUR</t>
  </si>
  <si>
    <t>Italian Ministry Education and Research the Flagship InterOmics,'' ITALBIONET; Bioinformatics analysis applied to Populations Genetics; Italian PNRA(Ministry of Education, Universities and Research (MIUR)); MIUR(Ministry of Education, Universities and Research (MIUR))</t>
  </si>
  <si>
    <t>Grant sponsor: Italian Ministry Education and Research the Flagship InterOmics,'' ITALBIONET; Grant number: RBPR05ZK2Z; Grant sponsor: Bioinformatics analysis applied to Populations Genetics; Grant number: RBIN064YAT 003 projects; Grant sponsors: Italian PNRA and MIUR.</t>
  </si>
  <si>
    <t>0887-3585</t>
  </si>
  <si>
    <t>1097-0134</t>
  </si>
  <si>
    <t>PROTEINS</t>
  </si>
  <si>
    <t>Proteins</t>
  </si>
  <si>
    <t>10.1002/prot.24016</t>
  </si>
  <si>
    <t>901RO</t>
  </si>
  <si>
    <t>WOS:000300984700015</t>
  </si>
  <si>
    <t>Bakunov, NA; Bol'shiyanov, DY; Makarov, AS</t>
  </si>
  <si>
    <t>Bakunov, N. A.; Bol'shiyanov, D. Yu.; Makarov, A. S.</t>
  </si>
  <si>
    <t>Natural Decontamination of Water of Large Rivers of Russian North from Global 90Sr</t>
  </si>
  <si>
    <t>RADIOCHEMISTRY</t>
  </si>
  <si>
    <t>strontium-90; global fallout; rivers; Russian North; natural decontamination</t>
  </si>
  <si>
    <t>Regional differences in the Sr-90 transfer from catchment areas to rivers of the European Russian North and Eastern Siberia and in the rates of natural water clearance were revealed. The annual Sr-90 transfer was 0.5-0.6 and 0.2-0.3%, respectively, of the total inventory in the catchment area. The half-times. of natural decontamination of Onega, Northern Dvina, Pechora, Lena, and Indigirka from global Sr-90 are estimated at 15.0, 15.4, 13.9, 10.0, and 7.5 years, respectively.</t>
  </si>
  <si>
    <t>[Bakunov, N. A.; Bol'shiyanov, D. Yu.; Makarov, A. S.] State Inst Russian Federat, Arctic &amp; Antarctic Res Inst, Ul Beringa 38, St Petersburg 199397, Russia</t>
  </si>
  <si>
    <t>Makarov, AS (corresponding author), State Inst Russian Federat, Arctic &amp; Antarctic Res Inst, Ul Beringa 38, St Petersburg 199397, Russia.</t>
  </si>
  <si>
    <t>makarov@aari.nw.ru</t>
  </si>
  <si>
    <t>1066-3622</t>
  </si>
  <si>
    <t>1608-3288</t>
  </si>
  <si>
    <t>RADIOCHEMISTRY+</t>
  </si>
  <si>
    <t>Radiochemistry</t>
  </si>
  <si>
    <t>10.1134/S1066362212020191</t>
  </si>
  <si>
    <t>Chemistry, Analytical; Chemistry, Inorganic &amp; Nuclear</t>
  </si>
  <si>
    <t>Emerging Sources Citation Index (ESCI)</t>
  </si>
  <si>
    <t>VB5SM</t>
  </si>
  <si>
    <t>WOS:000415585200019</t>
  </si>
  <si>
    <t>May-Collado, LJ; Forcada, J</t>
  </si>
  <si>
    <t>May-Collado, Laura J.; Forcada, Jaume</t>
  </si>
  <si>
    <t>Small-scale estimation of relative abundance for the coastal spotted dolphins (Stenella attenuata) in Costa Rica: the effect of habitat and seasonality</t>
  </si>
  <si>
    <t>REVISTA DE BIOLOGIA TROPICAL</t>
  </si>
  <si>
    <t>Pantropical Spotted Dolphin; relative abundance; Habitat; Conservation; Pacific Ocean; Central America; Costa Rica; Cetacea</t>
  </si>
  <si>
    <t>EASTERN TROPICAL PACIFIC; INCIDENTAL KILL; YELLOWFIN TUNA; PATTERNS; FISHERY; DIFFERENTIATION; DELPHINIDAE; POPULATIONS; PAPAGAYO; GULF</t>
  </si>
  <si>
    <t>The coastal spotted dolphin (Stenella attenuata graffmani) is one of the most common species of dolphin in inshore Pacific waters of Costa Rica. We conducted surveys in protected waters of the Papagayo Gulf, Costa Rica, to determine relative abundance of dolphins in relation to environmental variables. We used Generalized Additive Models to investigate the influence of a particular set of environmental factors and determine inter-annual trends in relative abundance. School sizes ranged from 1 to 50 individuals (mean 9.95, SD=10.28). The number of dolphins increased linearly with water depth and transparency, and non-linearly with the dissolved oxygen concentration. High variability in the relative abundance occurred during the dry season (January-April). A previous study on this population found that high number of groups are involved in foraging activities during the dry season. Seasonal changes in relative abundance probably are associated with food availability, a variable that we did not measure. Understanding local resident populations may have important implications for conservation and management strategies. Large-scale studies may overlook variables affecting the abundance of local resident populations that may be detected with studies on a smaller scale such as this one.</t>
  </si>
  <si>
    <t>[May-Collado, Laura J.] Univ Puerto Rico, Dept Biol, San Juan, PR 00931 USA; [May-Collado, Laura J.] George Mason Univ, Dept Environm Sci &amp; Policy, Fairfax, VA 22030 USA; [Forcada, Jaume] British Antarctic Survey, NERC, Cambridge CB3 0ET, England</t>
  </si>
  <si>
    <t>University of Puerto Rico; University of Puerto Rico Medical Sciences Campus; George Mason University; UK Research &amp; Innovation (UKRI); Natural Environment Research Council (NERC); NERC British Antarctic Survey</t>
  </si>
  <si>
    <t>May-Collado, LJ (corresponding author), Univ Puerto Rico, Dept Biol, San Juan, PR 00931 USA.</t>
  </si>
  <si>
    <t>lmaycollado@gmail.com; jfor@bas.ac.uk</t>
  </si>
  <si>
    <t>Forcada, Jaume/GYU-0677-2022</t>
  </si>
  <si>
    <t>Nature Conservancy; Emily Shane Award; Society of Marine Mammals; Vicerrectoria de Investigacion of the Universidad de Costa Rica; Centro de Investigacion en Ciencias del Mar y Limnologia (CIMAR) of the Universidad de Costa Rica</t>
  </si>
  <si>
    <t>Funding and logistic support was provided by The Nature Conservancy, Emily Shane Award 1998, Society of Marine Mammals, and Vicerrectoria de Investigacion and Centro de Investigacion en Ciencias del Mar y Limnologia (CIMAR) of the Universidad de Costa Rica, and finally to the Parque Nacional Santa Rosa, Area de Conservacion Guanacaste. For assistance on the field we thank F. Lara (father and son), Samba, M. Lara, Guicha, M. Quesada, and many students that volunteer along the way. Thanks to Alvaro Morales, Roger Blanco, Frank Joyce, Dona Carmen for all their support along the study. Thanks to Ingi Agnarsson and Tim Gerrodette for important comments to the manuscript.</t>
  </si>
  <si>
    <t>SAN JOSE</t>
  </si>
  <si>
    <t>UNIVERSIDAD DE COSTA RICA CIUDAD UNIVERSITARIA, SAN JOSE, 00000, COSTA RICA</t>
  </si>
  <si>
    <t>0034-7744</t>
  </si>
  <si>
    <t>2215-2075</t>
  </si>
  <si>
    <t>REV BIOL TROP</t>
  </si>
  <si>
    <t>Rev. Biol. Trop.</t>
  </si>
  <si>
    <t>V41YB</t>
  </si>
  <si>
    <t>WOS:000209580400009</t>
  </si>
  <si>
    <t>Gebhardt, AC; Ohlendorf, C; Niessen, F; De Batist, M; Anselmetti, FS; Ariztegui, D; Kliem, P; Wastegård, S; Zolitschka, B</t>
  </si>
  <si>
    <t>Gebhardt, Andrea Catalina; Ohlendorf, Christian; Niessen, Frank; De Batist, Marc; Anselmetti, Flavio S.; Ariztegui, Daniel; Kliem, Pierre; Wastegard, Stefan; Zolitschka, Bernd</t>
  </si>
  <si>
    <t>Seismic evidence of up to 200 m lake-level change in Southern Patagonia since Marine Isotope Stage 4</t>
  </si>
  <si>
    <t>SEDIMENTOLOGY</t>
  </si>
  <si>
    <t>Argentina; climate change; ICDP project PASADO; lacustrine sedimentation; Laguna Potrok Aike; lake-level variations; Patagonia; seismic reflection profiles</t>
  </si>
  <si>
    <t>LAGUNA-POTROK-AIKE; LAGO-CARDIEL BASIN; ARGENTINA 49-DEGREES-S; VOLCANIC FIELD; SANTA-CRUZ; VARIABILITY; SEDIMENTS; IMPACT; RECORD; STRATIGRAPHY</t>
  </si>
  <si>
    <t>Maar lake Laguna Potrok Aike is located north of the Strait of Magellan (south-eastern Patagonia). Seismic reflection profiles revealed a highly dynamic palaeoclimate history. Dunes were identified in the eastern part of the lake at approximately 30 to 80 m below the lake floor, overlying older lacustrine strata, and suggest that the region experienced dry conditions probably combined with strong westerly winds. It is quite likely that this can be linked to a major dust event recorded in the Antarctic ice cores during Marine Isotope Stage 4. The dunes are overlain by a series of palaeo-shorelines indicating a stepwise water-level evolution of a new lake established after this dry period, and thus a change towards wetter conditions. After the initial, rapid and stepwise lake-level rise, the basin became deeper and wider, and sediments deposited on the lake shoulder at approximately 33 m below present-day lake level point towards a long period of lake-level highstand between roughly 53.5 ka cal. bp and 30 ka cal. bp with a maximum lake level some 200 m higher than the desiccation horizon. This highstand was then followed by a regressional phase of uncertain age, although it must have happened some time between approximately 30 ka cal. bp and 6750 yrs cal. bp. Dryer conditions during the Mid-Holocene are evidenced by a dropping lake level, resulting in a basin-wide erosional unconformity on the lake shoulder. A second stepwise transgression between ca 5.8 to 5.4 ka cal. bp and ca 4.7 to 4 ka cal. bp with palaeo-shorelines deposited on the lake shoulder unconformity again indicates a change towards wetter conditions.</t>
  </si>
  <si>
    <t>[Gebhardt, Andrea Catalina; Niessen, Frank] Alfred Wegener Inst Polar &amp; Marine Res, D-27576 Bremerhaven, Germany; [Ohlendorf, Christian; Kliem, Pierre; Zolitschka, Bernd] Univ Bremen, Inst Geog, D-28359 Bremen, Germany; [De Batist, Marc] Univ Ghent, Renard Ctr Marine Geol, B-9000 Ghent, Belgium; [Anselmetti, Flavio S.] Eawag, Swiss Fed Inst Aquat Sci &amp; Technol, Dept Surface Waters, CH-8600 Dubendorf, Switzerland; [Anselmetti, Flavio S.] Univ Geneva, Sect Earth &amp; Environm Sci, CH-1205 Geneva, Switzerland; [Wastegard, Stefan] Stockholm Univ, Dept Phys Geog &amp; Quaternary Geol, S-10691 Stockholm, Sweden</t>
  </si>
  <si>
    <t>Helmholtz Association; Alfred Wegener Institute, Helmholtz Centre for Polar &amp; Marine Research; University of Bremen; Ghent University; Swiss Federal Institutes of Technology Domain; Swiss Federal Institute of Aquatic Science &amp; Technology (EAWAG); University of Geneva; Stockholm University</t>
  </si>
  <si>
    <t>Gebhardt, AC (corresponding author), Alfred Wegener Inst Polar &amp; Marine Res, Alten Hafen 26, D-27576 Bremerhaven, Germany.</t>
  </si>
  <si>
    <t>catalina.gebhardt@awi.de</t>
  </si>
  <si>
    <t>De Batist, Marc/F-5722-2012; Wastegard, Stefan/G-5720-2012; Gebhardt, Catalina/AHI-6432-2022; Ariztegui, Daniel/AFU-2302-2022; Zolitschka, Bernd/P-1487-2019</t>
  </si>
  <si>
    <t>De Batist, Marc/0000-0002-1625-2080; Gebhardt, Catalina/0000-0002-3227-0676; Ariztegui, Daniel/0000-0001-7775-5127; Zolitschka, Bernd/0000-0001-8256-0420; Ohlendorf, Christian/0000-0003-3794-7313; Anselmetti, Flavio/0000-0002-8785-3641; Niessen, Frank/0000-0001-6453-0594</t>
  </si>
  <si>
    <t>Deutsche Forschungsgemeinschaft (DFG) [GE-1924/2-1, ZO-102/5-1, ZO-102/5-2, ZO-102/5-3]</t>
  </si>
  <si>
    <t>We thank all expedition members in 2004 and 2005 for their excellent co-operation and support during fieldwork at the lake, and especially Conrad Kopsch for help with acquisition of the multi-channel profiles, as well as Hugo Corbella for logistical support. We are grateful to Capitan Jorge and Javier Moreteau and their crew who transported the Catamaran R/V Cardiel earlier on from far north to launch it on Laguna Potrok Aike, making these studies possible. We also thank the members of the INTA field station, in particular Guillermo Clifton, Jose Larrosa and Gabriel Oliva for providing the operational headquarters at the lakeshore. Facundo Gomez Mura and Maria Jose Baldrati took care of the physical well-being of all field members during drilling operations. Financial support by the Deutsche Forschungsgemeinschaft (DFG grants GE-1924/2-1 and ZO-102/5-1, 2, 3) is gratefully acknowledged.</t>
  </si>
  <si>
    <t>0037-0746</t>
  </si>
  <si>
    <t>Sedimentology</t>
  </si>
  <si>
    <t>10.1111/j.1365-3091.2011.01296.x</t>
  </si>
  <si>
    <t>911LM</t>
  </si>
  <si>
    <t>WOS:000301718300018</t>
  </si>
  <si>
    <t>Mundo, IA; Juñent, FAR; Villalba, R; Kitzberger, T; Barrera, MD</t>
  </si>
  <si>
    <t>Mundo, Ignacio A.; Roig Junent, Fidel A.; Villalba, Ricardo; Kitzberger, Thomas; Barrera, Marcelo D.</t>
  </si>
  <si>
    <t>Araucaria araucana tree-ring chronologies in Argentina: spatial growth variations and climate influences</t>
  </si>
  <si>
    <t>TREES-STRUCTURE AND FUNCTION</t>
  </si>
  <si>
    <t>Growth patterns; PCA; Northern Patagonia; ENSO; AAO; PDSI</t>
  </si>
  <si>
    <t>NORTHERN PATAGONIA; TEMPORAL VARIATION; UNITED-STATES; RECONSTRUCTION; ELEVATION; PRECIPITATION; DENDROCLIMATOLOGY; EXTENSION; PATTERNS; RAINFALL</t>
  </si>
  <si>
    <t>Seventeen tree-ring chronologies from the conifer Araucaria araucana (Molina) K. Koch have been analyzed across its range of distribution in Argentina. We studied the growth patterns and determined the main climatic factors influencing A. araucana radial growth. All the chronologies show a strong common signal observed by the high amount of variance explained by the first principal component (PC1) and the high mean correlation (r = 0.597) between the chronologies over the 1676-1974 interval. On this basis, we developed a regional chronology that is 866 years long (A.D. 1140-2006) and includes 621 tree-ring series. Based on the PC2 scores, chronologies were clearly separated by elevation in high- and low-elevation records. Regional tree growth is strongly negatively related to temperatures during summer and fall in the previous-growing season and spring in the current-growing season, respectively. A positive association of tree growth with precipitation is recorded during spring in the current growing season. These results suggest a close relationship between A. araucana tree growth and water availability on a regional scale. This observation is also consistent with a positive and significant correlation between our A. araucana regional record and a reconstruction of November-December rainfall for northern Patagonia inferred from the xeric Austrocedrus chilensis during the past 400 years. Negative correlations between A. araucana regional growth and the sea surface temperature in the Nio 3.4 region reflect the occurrence of above-mean summer temperatures in the region during positive tropical Pacific SST anomalies. The negative relationship with the Antarctic Oscillation (AAO) results from reduced precipitation in our study region during the positive phase of the AAO. The effect of elevation on water availability is consistent with significant correlations between ring-width variations at lower elevations and the Palmer Drought Severity Index during spring and summer in the current growing season. Our study emphasizes the high dendroclimatological potential of A. araucana chronologies for reconstructing past climate variations in northern Patagonia during the past millennium.</t>
  </si>
  <si>
    <t>[Mundo, Ignacio A.; Roig Junent, Fidel A.; Villalba, Ricardo] CCT CONICET Mendoza, IANIGLA, Dept Dendrocronol &amp; Hist Ambiental, Mendoza, Argentina; [Mundo, Ignacio A.; Barrera, Marcelo D.] Univ Nacl La Plata, Fac Ciencias Agr &amp; Forest, LISEA, RA-1900 La Plata, Buenos Aires, Argentina; [Kitzberger, Thomas] CONICET Univ Nacl Comahue, INIBIOMA, Lab Ecotono, RA-8400 San Carlos De Bariloche, Rio Negro, Argentina</t>
  </si>
  <si>
    <t>Consejo Nacional de Investigaciones Cientificas y Tecnicas (CONICET); University Nacional Cuyo Mendoza; National University of La Plata; Universidad Nacional del Comahue; Consejo Nacional de Investigaciones Cientificas y Tecnicas (CONICET)</t>
  </si>
  <si>
    <t>Mundo, IA (corresponding author), CCT CONICET Mendoza, IANIGLA, Dept Dendrocronol &amp; Hist Ambiental, CC 330,M5502IRA, Mendoza, Argentina.</t>
  </si>
  <si>
    <t>iamundo@mendoza-conicet.gob.ar</t>
  </si>
  <si>
    <t>; Kitzberger, Thomas/H-9209-2015</t>
  </si>
  <si>
    <t>Mundo, Ignacio/0000-0002-7189-6073; Roig, Fidel Alejandro/0000-0003-0987-0486; Barrera, Marcelo Daniel/0000-0002-9207-8109; Kitzberger, Thomas/0000-0002-9754-4121; Villalba, Ricardo/0000-0001-8183-0310</t>
  </si>
  <si>
    <t>Inter-American Institute for Global Change Research; CONICET (National Council for Scientific and Technical Research of Argentina); Directorate For Geosciences [1138881] Funding Source: National Science Foundation</t>
  </si>
  <si>
    <t>Inter-American Institute for Global Change Research; CONICET (National Council for Scientific and Technical Research of Argentina)(Consejo Nacional de Investigaciones Cientificas y Tecnicas (CONICET)); Directorate For Geosciences(National Science Foundation (NSF)NSF - Directorate for Geosciences (GEO))</t>
  </si>
  <si>
    <t>This research was supported by the Inter-American Institute for Global Change Research (IAI-CRN 2005 and 2047) and by a CONICET doctoral fellowship (National Council for Scientific and Technical Research of Argentina). We are grateful to Eduardo Barrio, Alberto Ripalta, Lidio Lopez, Maria Alejandra Giantomasi, Sergio Piraino, Ana Srur, Carolina Szymansky and Andres Mancenido for research assistance. We thank the Administracion de Parques Nacionales, Areas Naturales Protegidas del Neuquen, Corporacion Interestadual Pulmari, and the owners and administrators of Ea. Nahuel Mapi and Rahue site for facilitating this research. We are greatly indebted to Brian Luckman for comments and corrections on an early version of this manuscript. We also thank the communicating editor and two anonymous reviewers for helping to improve the final version of this manuscript.</t>
  </si>
  <si>
    <t>0931-1890</t>
  </si>
  <si>
    <t>1432-2285</t>
  </si>
  <si>
    <t>TREES-STRUCT FUNCT</t>
  </si>
  <si>
    <t>Trees-Struct. Funct.</t>
  </si>
  <si>
    <t>10.1007/s00468-011-0605-3</t>
  </si>
  <si>
    <t>Forestry</t>
  </si>
  <si>
    <t>912FD</t>
  </si>
  <si>
    <t>WOS:000301779200015</t>
  </si>
  <si>
    <t>Anesio, AM; Laybourn-Parry, J</t>
  </si>
  <si>
    <t>Anesio, Alexandre M.; Laybourn-Parry, Johanna</t>
  </si>
  <si>
    <t>Glaciers and ice sheets as a biome</t>
  </si>
  <si>
    <t>TRENDS IN ECOLOGY &amp; EVOLUTION</t>
  </si>
  <si>
    <t>HIGH ARCTIC GLACIER; LAKE VOSTOK; SNOW COVER; MICROBIAL BIOGEOGRAPHY; GLOBAL DISTRIBUTION; CRYOCONITE HOLES; ANTARCTIC ICE; MICROORGANISMS; SVALBARD; BACTERIA</t>
  </si>
  <si>
    <t>The tundra is the coldest biome described in typical geography and biology textbooks. Within the cryosphere, there are large expanses of ice in the Antarctic, Arctic and alpine regions that are not regarded as being part of any biome. During the summer, there is significant melt on the surface of glaciers, ice caps and ice shelves, at which point microbial communities become active and play an important role in the cycling of carbon and other elements within the cryosphere. In this review, we suggest that it is time to recognise the cryosphere as one of the biomes of Earth. The cryospheric biome encompasses extreme environments and is typified by truncated food webs dominated by viruses, bacteria, protozoa and algae with distinct biogeographical structures.</t>
  </si>
  <si>
    <t>[Anesio, Alexandre M.] Univ Bristol, Bristol Glaciol Ctr, Sch Geog Sci, Bristol BS8 1SS, Avon, England</t>
  </si>
  <si>
    <t>University of Bristol</t>
  </si>
  <si>
    <t>Anesio, AM (corresponding author), Univ Bristol, Bristol Glaciol Ctr, Sch Geog Sci, Bristol BS8 1SS, Avon, England.</t>
  </si>
  <si>
    <t>a.m.anesio@blistol.ac.uk</t>
  </si>
  <si>
    <t>Anesio, Alexandre/A-7597-2008</t>
  </si>
  <si>
    <t>Anesio, Alexandre/0000-0003-2990-4014</t>
  </si>
  <si>
    <t>UK Natural Environmental Research Council (NERC) [NE/G00496X/1]; NERC [NE/G00496X/1] Funding Source: UKRI; Natural Environment Research Council [NE/G00496X/1] Funding Source: researchfish</t>
  </si>
  <si>
    <t>UK Natural Environmental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</si>
  <si>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This research is funded by the UK Natural Environmental Research Council (NERC - NE/G00496X/1). We would also like to thank Dr. Paul Craze and three anonymous referees for constructive comments on earlier versions of this manuscript.</t>
  </si>
  <si>
    <t>ELSEVIER SCIENCE LONDON</t>
  </si>
  <si>
    <t>84 THEOBALDS RD, LONDON WC1X 8RR, ENGLAND</t>
  </si>
  <si>
    <t>0169-5347</t>
  </si>
  <si>
    <t>TRENDS ECOL EVOL</t>
  </si>
  <si>
    <t>Trends Ecol. Evol.</t>
  </si>
  <si>
    <t>10.1016/j.tree.2011.09.012</t>
  </si>
  <si>
    <t>Ecology; Evolutionary Biology; Genetics &amp; Heredity</t>
  </si>
  <si>
    <t>Environmental Sciences &amp; Ecology; Evolutionary Biology; Genetics &amp; Heredity</t>
  </si>
  <si>
    <t>928II</t>
  </si>
  <si>
    <t>WOS:000302976000009</t>
  </si>
  <si>
    <t>La Mesa, M; Eastman, JT</t>
  </si>
  <si>
    <t>La Mesa, Mario; Eastman, Joseph T.</t>
  </si>
  <si>
    <t>First data on age and sexual maturity of the Tristan klipfish, Bovichtus diacanthus (Bovichtidae) from Tristan da Cunha, South Atlantic</t>
  </si>
  <si>
    <t>bovichtid; growth rate; life span; notothenioids; Southern Ocean</t>
  </si>
  <si>
    <t>PATAGONOTOTHEN-RAMSAYI REGAN; NOTOTHENIOID FISHES; FALKLAND ISLANDS; GENE-SEQUENCES; MITOCHONDRIAL; PERCIFORMES; GROWTH; PISCES</t>
  </si>
  <si>
    <t>The Tristan klipfish, Bovichtus diacanthus, an endemic species at Tristan da Cunha Island was successfully aged using whole sagittal otoliths. The annulation pattern was clear, resulting in an alternating combination of opaque and translucent zones that form an annulus. Although sampling limitations did not allow direct validation of annual ring deposition, most otoliths showed a translucent edge, perhaps suggesting that the deposition of translucent zones is a synchronous process which takes place in winter coincident with the spawning season. The reliability of ageing methodology was supported by the good agreement between readings. The maximum age was estimated to be five years in females and four years in males. In order to increase the small number of direct readings, the length at age was back- calculated for each fish by fitting growth curves. The resulting growth of B. diacanthus was described by the von Bertalanffy growth model, as summarized by the following parameters: L-infinity = 207.1mm TL, k = 0.49 per year, and t(0) = 0.04 years. The size at which 50% of the population spawns for the first time was c. 147 mm, corresponding to 2.5 years of age.</t>
  </si>
  <si>
    <t>[La Mesa, Mario] ISMAR Ist Sci Marine, CNR, I-60125 Ancona, Italy; [Eastman, Joseph T.] Ohio Univ, Dept Biomed Sci, Coll Osteopath Med, Athens, OH 45701 USA</t>
  </si>
  <si>
    <t>Consiglio Nazionale delle Ricerche (CNR); Istituto di Scienze Marine (ISMAR-CNR); University System of Ohio; Ohio University</t>
  </si>
  <si>
    <t>La Mesa, M (corresponding author), ISMAR Ist Sci Marine, CNR, I-60125 Ancona, Italy.</t>
  </si>
  <si>
    <t>Eastman, Joseph T./O-6150-2019; Eastman, Joseph T/A-9786-2008; CNR, Ismar/P-1247-2014</t>
  </si>
  <si>
    <t>Eastman, Joseph T./0000-0003-3868-261X; CNR, Ismar/0000-0001-5351-1486</t>
  </si>
  <si>
    <t>PNRA; National Science Foundation [ANT 04-36190]</t>
  </si>
  <si>
    <t>PNRA; National Science Foundation(National Science Foundation (NSF))</t>
  </si>
  <si>
    <t>We thank the captain and crew of the RVIB Nathaniel B. Palmer, as well as personnel of Raytheon Polar Services, for their excellent assistance during the cruise. We are also most grateful to James Glass, Fishery Officer at Tristan, for help in collecting Bovichtus diacanthus. The ICEFISH 2004 cruise was supported by National Science Foundation Grant OPP 01-32032 to H. William Detrich (Northeastern University). This study was financially supported by the PNRA (Italian National Antarctic Research Program). J. T. Eastman was supported by National Science Foundation Grant ANT 04-36190.</t>
  </si>
  <si>
    <t>1365-2079</t>
  </si>
  <si>
    <t>10.1017/S0954102011000733</t>
  </si>
  <si>
    <t>WOS:000300878400002</t>
  </si>
  <si>
    <t>Webster-Brown, J; Hawes, I; Safi, K; Sorrell, B; Wilson, N</t>
  </si>
  <si>
    <t>Webster-Brown, Jenny; Hawes, Ian; Safi, Karl; Sorrell, Brian; Wilson, Nathaniel</t>
  </si>
  <si>
    <t>Summer-winter transitions in Antarctic ponds: III. Chemical changes</t>
  </si>
  <si>
    <t>freeze concentration; major ion; McMurdo Ice Shelf; PHREEQC modelling; trace element</t>
  </si>
  <si>
    <t>MCMURDO ICE SHELF; MELTWATER PONDS; CHEMISTRY; STRATIFICATION; WATERS; REGION; VALLEY; MATS</t>
  </si>
  <si>
    <t>Observations were made of water column chemistry in four Na-Cl dominated ponds on the McMurdo Ice Shelf from the end of January to early April in 2008. During that time the ponds went from ice-free to predominantly frozen, with only a small volume of residual hypoxic, saline liquid trapped at the base of each pond. Changes in the concentrations of inorganic solutes with time distinguished Na, Cl, Mg, K, SO4, As, U and Mn as ions and trace elements that behave mainly conservatively during freezing, from those which are affected by biological processes (removing HCO3) and the precipitation of mineral phases such as calcite (removing Ca and more HCO3). Dissolved Fe, Mo, Cu and Zn also show evidence of precipitation from the water column during freezing; geochemical speciation modelling predicts the formation of stable insoluble mineral phases such as Fe oxides and oxyhydroxides while conditions are oxic, and Fe-, Cu-, Mo-and Zn-sulphide minerals in the presence of H2S. Consequently, under winter conditions, residual liquid beneath the ice in such ponds is anticipated to be an anoxic Na-Cl brine with the capacity to develop high concentrations of toxic trace elements such as As and U.</t>
  </si>
  <si>
    <t>[Webster-Brown, Jenny; Hawes, Ian] Univ Canterbury, Christchurch 1, New Zealand; [Safi, Karl] NIWA Ltd, Hamilton, New Zealand; [Sorrell, Brian] Aarhus Univ, Dept Biol Sci, DK-8000 Aarhus 3, Denmark; [Wilson, Nathaniel] Univ Bayreuth, Bayreuth, Germany</t>
  </si>
  <si>
    <t>University of Canterbury; National Institute of Water &amp; Atmospheric Research (NIWA) - New Zealand; Aarhus University; University of Bayreuth</t>
  </si>
  <si>
    <t>Webster-Brown, J (corresponding author), Univ Canterbury, Private Bag 4800, Christchurch 1, New Zealand.</t>
  </si>
  <si>
    <t>jenny.webster-brown@canterbury.ac.nz</t>
  </si>
  <si>
    <t>; Sorrell, Brian/L-1351-2013</t>
  </si>
  <si>
    <t>Safi, Karl/0000-0002-7785-1909; Hawes, Ian/0000-0003-2471-6903; Webster-Brown, Jenny/0000-0001-9665-871X; Wilson, Nathaniel/0000-0003-4733-8685; Sorrell, Brian/0000-0002-2460-8438</t>
  </si>
  <si>
    <t>New Zealand Foundation for Research, Science and Technology [C01X0708, C01X0306]</t>
  </si>
  <si>
    <t>New Zealand Foundation for Research, Science and Technology(New Zealand Foundation for Research, Science and Technology)</t>
  </si>
  <si>
    <t>This research was funded by the New Zealand Foundation for Research, Science and Technology (Contracts C01X0708 and C01X0306) and Antarctica New Zealand which provided logistic support. We are grateful to the editor and anonymous reviewers for suggestions that greatly improved the manuscript, to Drs Kevin Brown and Briar Wait for their contribution to the analysis of major ions, and to Dr Clive Howard- Williams for his ongoing support for this research.</t>
  </si>
  <si>
    <t>10.1017/S0954102011000721</t>
  </si>
  <si>
    <t>WOS:000300878400003</t>
  </si>
  <si>
    <t>Hansson, LA; Hylander, S; Dartnall, HJG; Lidström, S; Svensson, JE</t>
  </si>
  <si>
    <t>Hansson, Lars-Anders; Hylander, Samuel; Dartnall, Herbert J. G.; Lidstrom, Sven; Svensson, Jan-Erik</t>
  </si>
  <si>
    <t>High zooplankton diversity in the extreme environments of the McMurdo Dry Valley lakes, Antarctica</t>
  </si>
  <si>
    <t>biodiversity; Boeckella; copepod; invasion; rotifer; species-richness</t>
  </si>
  <si>
    <t>OPTICAL-PROPERTIES; BOECKELLA-POPPEI; COPEPODA; ISLAND; FAUNA; INVERTEBRATES; POPULATION; PLANKTON</t>
  </si>
  <si>
    <t>The McMurdo Dry Valley lakes of Antarctica constitute some of the harshest and most isolated freshwater environments on Earth which might be expected to limit the biogeographical expansion of many organisms. Despite this, we found that the biodiversity of rotifer zooplankton is the highest ever recorded on the Antarctic mainland. We identified in total nine rotifer taxa, of which six are new to the Antarctic continent, in Lake Hoare, and also the first sub- adult crustacean copepod belonging to the genus Boeckella. A possible explanation for the high biodiversity is that many of the recorded species have arrived in the region in relatively recent times and then established invasive populations, suggesting that their distribution pattern was previously limited only by biogeographical borders. Interestingly, we show that the cosmopolitan rotifer taxa identified are relatively abundant, suggesting that they have established viable populations. Hence, our study suggests that the biogeographical maps have to be redrawn for several species.</t>
  </si>
  <si>
    <t>[Hansson, Lars-Anders; Hylander, Samuel] Lund Univ, Inst Biol Aquat Ecol, SE-22362 Lund, Sweden; [Dartnall, Herbert J. G.] Macquarie Univ, Dept Biol Sci, Sydney, NSW 2109, Australia; [Lidstrom, Sven] Swedish Polar Res Programme, SE-10405 Stockholm, Sweden; [Svensson, Jan-Erik] Medins Biol, SE-43533 Molnlycke, Sweden</t>
  </si>
  <si>
    <t>Lund University; Macquarie University</t>
  </si>
  <si>
    <t>Hansson, LA (corresponding author), Lund Univ, Inst Biol Aquat Ecol, Ecology Bldg, SE-22362 Lund, Sweden.</t>
  </si>
  <si>
    <t>lars-anders.hansson@biol.lu.se</t>
  </si>
  <si>
    <t>Hansson, Lars-Anders/HCI-2735-2022</t>
  </si>
  <si>
    <t>Hansson, Lars-Anders/0000-0002-3035-1317; Hylander, Samuel/0000-0002-3740-5998</t>
  </si>
  <si>
    <t>Swedish Research Council (VR); Swedish Antarctic Research Programme; United States Antarctic Research Programme</t>
  </si>
  <si>
    <t>Swedish Research Council (VR)(Swedish Research Council); Swedish Antarctic Research Programme; United States Antarctic Research Programme</t>
  </si>
  <si>
    <t>Financial and logistic support for this study was provided by the Swedish Research Council (VR), the Swedish Antarctic Research Programme and the United States Antarctic Research Programme. D. Fontaneto and G. Boxshall kindly assisted with professional taxonomic guidance. We especially thank Addie Coyac at the US Antarctic Research Programme for valuable assistance throughout the field study. Two anonymous reviewers gave helpfully critical comments on an earlier version of the manuscript.</t>
  </si>
  <si>
    <t>10.1017/S095410201100071X</t>
  </si>
  <si>
    <t>WOS:000300878400004</t>
  </si>
  <si>
    <t>Antibus, DE; Leff, LG; Hall, BL; Baeseman, JL; Blackwood, CB</t>
  </si>
  <si>
    <t>Antibus, Doug E.; Leff, Laura G.; Hall, Brenda L.; Baeseman, Jenny L.; Blackwood, Christopher B.</t>
  </si>
  <si>
    <t>Molecular characterization of ancient algal mats from the McMurdo Dry Valleys, Antarctica</t>
  </si>
  <si>
    <t>ancient bacterial DNA; microbial dormancy; Victoria Land; 16S rRNA</t>
  </si>
  <si>
    <t>MICROBIAL COMMUNITY; BACTERIAL DIVERSITY; ROSS SEA; DNA; DESICCATION; CYANOBACTERIA; SOILS; LAKE; PROKARYOTES; PERMAFROST</t>
  </si>
  <si>
    <t>The McMurdo Dry Valleys possess a cold and dry climate which favours biomolecular preservation, and present the possibility for preservation of biological materials over long timescales. We examined patterns of bacterial DNA abundance and diversity in algal mats from 8- 26 539 years of age. Bacterial DNA abundance was inferred from extractable DNA quantity and quantitative polymerase chain reaction targeting the bacterial 16S rRNA gene. Because damage to bacterial DNA could limit its availability for polymerase chain reaction, the efficacy of DNA repair by a commercially available kit was also examined. Polymerase chain reaction amplicons of the bacterial 16S rRNA gene were obtained from seven of eight samples. Bulk DNA abundance and bacterial 16S rRNA gene copy number of template DNA declined with increasing sample age consistent with expectations of accumulation of DNA damage in ancient materials. Clone libraries revealed age related patterns of abundance for some bacterial phylogenetic groups. For example, Firmicutes and several other lineages were abundant in ancient samples, but Cyanobacteria were absent. This points to a biased persistence of bacterial lineages that change over time since photosynthesis was active.</t>
  </si>
  <si>
    <t>[Antibus, Doug E.; Leff, Laura G.; Blackwood, Christopher B.] Kent State Univ, Dept Biol Sci, Kent, OH 44242 USA; [Hall, Brenda L.] 5790 Bryand Global Sci Ctr, Dept Earth Sci, Orono, ME 04469 USA; [Baeseman, Jenny L.] Univ Alaska Fairbanks, Int Arctic Res Ctr, Fairbanks, AK 99775 USA; [Antibus, Doug E.] USDA ARS, Natl Ctr Agr Utilizat Res, Peoria, IL 61604 USA</t>
  </si>
  <si>
    <t>University System of Ohio; Kent State University; Kent State University Salem; Kent State University Kent; University of Alaska System; University of Alaska Fairbanks; United States Department of Agriculture (USDA)</t>
  </si>
  <si>
    <t>Antibus, DE (corresponding author), Kent State Univ, Dept Biol Sci, 256 Cunningham Hall, Kent, OH 44242 USA.</t>
  </si>
  <si>
    <t>dantibus@gmail.com</t>
  </si>
  <si>
    <t>Blackwood, Christopher/B-3839-2010</t>
  </si>
  <si>
    <t>Blackwood, Christopher/0000-0001-5764-6978</t>
  </si>
  <si>
    <t>Kent State University; United States National Science Foundation [MCB-0729783]</t>
  </si>
  <si>
    <t>Kent State University; United States National Science Foundation(National Science Foundation (NSF))</t>
  </si>
  <si>
    <t>Funding for this research came from Kent State University and from a United States National Science Foundation grant to Dr Jennifer Baeseman (MCB-0729783). The constructive comments of the reviewers are also gratefully acknowledged.</t>
  </si>
  <si>
    <t>10.1017/S0954102011000770</t>
  </si>
  <si>
    <t>WOS:000300878400005</t>
  </si>
  <si>
    <t>Hawes, TC; Marshall, CJ; Wharton, DA</t>
  </si>
  <si>
    <t>Hawes, T. C.; Marshall, C. J.; Wharton, D. A.</t>
  </si>
  <si>
    <t>Ultraviolet radiation tolerance of the Antarctic springtail, Gomphiocephalus hodgsoni</t>
  </si>
  <si>
    <t>Collembola; DNA damage; moulting; rafting; UV-B</t>
  </si>
  <si>
    <t>CRYPTOPYGUS-ANTARCTICUS; DNA-DAMAGE; LOCAL-DISTRIBUTION; COLD TOLERANCE; B RADIATION; COLLEMBOLA; TEMPERATURE; EMBRYOS; MOSSES</t>
  </si>
  <si>
    <t>This is the first study to examine the tolerance of Antarctic springtails (Collembola) to ultraviolet radiation (UV). Survival of extended attenuated exposure to sunlight was examined for both individuals and aggregations of the species Gomphiocephalus hodgsoni Carpenter over a 10 day period. Both individuals and aggregations demonstrated significantly higher survival and moult rates from control treatments kept in the dark to those exposed to UV. A photo-inhibitive element to moulting is indicated that may function to protect post-ecdysial springtails when their emergent cuticles are more sensitive to the external environment. DNA damage was measured in springtails directly exposed to sunlight for 5 h on a clear sunny day. Significant differences were found between treated animals and controls kept in the dark. There was some reduction of damage 12 and 24 h after exposure, when springtails had been placed in the dark to recover. This indicates the up-regulation of DNA repair mechanisms, with the 12 h treatment in particular showing no significant difference with controls. In addition to providing a first look at UV tolerance in these soil arthropods, these findings recommend employing strict protocols for collections of sample material for subsequent biological analysis in order to minimize the interactive effects of photo-damage.</t>
  </si>
  <si>
    <t>[Hawes, T. C.; Wharton, D. A.] Univ Otago, Dept Zool, Dunedin, New Zealand; [Marshall, C. J.] Univ Otago, Dept Biochem, Dunedin, New Zealand</t>
  </si>
  <si>
    <t>University of Otago; University of Otago</t>
  </si>
  <si>
    <t>Hawes, TC (corresponding author), Univ Otago, Dept Zool, POB 56, Dunedin, New Zealand.</t>
  </si>
  <si>
    <t>Tinstone12@hotmail.com</t>
  </si>
  <si>
    <t>Marshall, Craig J./C-6668-2009</t>
  </si>
  <si>
    <t>Marshall, Craig J./0000-0003-4186-0368; Wharton, David/0000-0001-6369-4984</t>
  </si>
  <si>
    <t>Antarctic Science Ltd bursary</t>
  </si>
  <si>
    <t>Research was funded by an Antarctic Science Ltd bursary to TCH. Thanks to Stephen Clarke and Michelle Liddy for field assistance. The constructive comments of the reviewers are also gratefully acknowledged. Finally, thanks also the weather gods of Antarctica for some experimentally- friendly skies.</t>
  </si>
  <si>
    <t>10.1017/S0954102011000812</t>
  </si>
  <si>
    <t>WOS:000300878400006</t>
  </si>
  <si>
    <t>Aislabie, J; Bockheim, J; Mcleod, M; Hunter, D; Stevenson, B; Barker, GM</t>
  </si>
  <si>
    <t>Aislabie, Jackie; Bockheim, James; Mcleod, Malcolm; Hunter, David; Stevenson, Bryan; Barker, Gary M.</t>
  </si>
  <si>
    <t>Microbial biomass and community structure changes along a soil development chronosequence near Lake Wellman, southern Victoria Land</t>
  </si>
  <si>
    <t>Darwin Mountains; high latitude soils; microbial phospholipid fatty acids</t>
  </si>
  <si>
    <t>GORCE MOUNTAINS; GLACIER REGION; ANTARCTICA; BACTERIAL; VALLEY</t>
  </si>
  <si>
    <t>Four pedons on each of four drift sheets in the Lake Wellman area of the Darwin Mountains were sampled for chemical and microbial analyses. The four drifts, Hatherton, Britannia, Danum, and Isca, ranged from early Holocene (10 ka) to mid- Quaternary (c.900 ka). The soil properties of weathering stage, salt stage, and depths of staining, visible salts, ghosts, and coherence increase with drift age. The landforms contain primarily high- centred polygons with windblown snow in the troughs. The soils are dominantly complexes of Typic Haplorthels and Typic Haploturbels. The soils were dry and alkaline with low levels of organic carbon, nitrogen and phosphorus. Electrical conductivity was high accompanied by high levels of water soluble anions and cations (especially calcium and sulphate in older soils). Soil microbial biomass, measured as phospholipid fatty acids, and numbers of culturable heterotrophic microbes, were low, with highest levels detected in less developed soils from the Hatherton drift. The microbial community structure of the Hatherton soil also differed from that of the Britannia, Danum and Isca soils. Ordination revealed the soil microbial community structure was influenced by soil development and organic carbon.</t>
  </si>
  <si>
    <t>[Aislabie, Jackie; Mcleod, Malcolm; Hunter, David; Stevenson, Bryan] Landcare Res, Hamilton, New Zealand; [Bockheim, James; Barker, Gary M.] Univ Wisconsin, Dept Soil Sci, Madison, WI 53706 USA</t>
  </si>
  <si>
    <t>Landcare Research - New Zealand; University of Wisconsin System; University of Wisconsin Madison</t>
  </si>
  <si>
    <t>Aislabie, J (corresponding author), Landcare Res, Private Bag 3127, Hamilton, New Zealand.</t>
  </si>
  <si>
    <t>aislabiej@landcareresearch.co.nz</t>
  </si>
  <si>
    <t>Barker, Gary M/C-9974-2011</t>
  </si>
  <si>
    <t>Hunter, David/0000-0002-9443-7793</t>
  </si>
  <si>
    <t>Foundation for Research, Science and Technology, New Zealand [CO9X0307]</t>
  </si>
  <si>
    <t>Foundation for Research, Science and Technology, New Zealand(New Zealand Foundation for Research, Science and Technology)</t>
  </si>
  <si>
    <t>We appreciate the financial support of the Foundation for Research, Science and Technology, New Zealand (CO9X0307) and the logistic support of Antarctica New Zealand, Helicopters New Zealand, and the staff at Scott Base. Soil analyses were done in the Environmental Chemistry Laboratory, Landcare Research, New Zealand. The constructive comments of the reviewers are also gratefully acknowledged.</t>
  </si>
  <si>
    <t>10.1017/S0954102011000873</t>
  </si>
  <si>
    <t>WOS:000300878400007</t>
  </si>
  <si>
    <t>Bilyk, KT; Devries, AL</t>
  </si>
  <si>
    <t>Bilyk, Kevin T.; Devries, Arthur L.</t>
  </si>
  <si>
    <t>Heat tolerance of the secondarily temperate Antarctic notothenioid, Notothenia angustata</t>
  </si>
  <si>
    <t>adaptation; black cod; critical thermal maximum; temperature; thornfish</t>
  </si>
  <si>
    <t>CRITICAL THERMAL MAXIMUM; NEW-ZEALAND; SHOCK RESPONSE; FISHES; COLD; ACCLIMATION; LIMITS; GENES; HOT</t>
  </si>
  <si>
    <t>Although most of the notothenioid fishes have geographic distributions restricted to the Southern Ocean, several species with inferred Antarctic origins have come to permanently inhabit the warmer waters around New Zealand and southern South America. However, it remains unknown whether the Antarctic ancestry of these secondarily temperate species continues to influence their modern heat tolerance. We investigated the heat tolerance of one such secondarily temperate nototheniid, Notothenia angustata, which is now endemic to the waters around the South Island of New Zealand. Their heat tolerance was determined using the critical thermal maximum (CTMax) both when acclimatized to their winter water temperatures (7.9 degrees C), and warm acclimated (15 degrees C) near the summer water temperatures in Otago Harbour. When compared to equivalently acclimated specimens of the basal New Zealand notothenioid Bovichtus variegatus, N. angustata have consistently lower CTMaxs, though they are significantly greater than those determined from 10 degrees C acclimated specimens of its endemic Antarctic congener, N. coriiceps. While this shows greater heat tolerance in the secondarily temperate N. angustata than in endemic Antarctic species, it also suggests that some of its ancestral intolerance to heat persists.</t>
  </si>
  <si>
    <t>[Bilyk, Kevin T.; Devries, Arthur L.] Univ Illinois, Dept Anim Biol, Urbana, IL 61801 USA; [Devries, Arthur L.] Univ Illinois, Dept Mol &amp; Integrat Physiol, Urbana, IL 61801 USA</t>
  </si>
  <si>
    <t>University of Illinois System; University of Illinois Urbana-Champaign; University of Illinois System; University of Illinois Urbana-Champaign</t>
  </si>
  <si>
    <t>Bilyk, KT (corresponding author), Univ Illinois, Dept Anim Biol, 515 Morrill Hall,505 S Goodwin Ave, Urbana, IL 61801 USA.</t>
  </si>
  <si>
    <t>kbilyk@life.illinois.edu</t>
  </si>
  <si>
    <t>US National Science Foundation Office of Polar Programs [NSF OPPAnt- 0231006]</t>
  </si>
  <si>
    <t>US National Science Foundation Office of Polar Programs(National Science Foundation (NSF))</t>
  </si>
  <si>
    <t>The authors would like to thank the staff of the University of Otago's Portobello Marine Lab, especially Bev Dickson. We would also like to thank the University of Otago's Department of Marine Science, Dr Miles Lamare, and Dr Brian Paavo for their assistance in New Zealand. This research was funded by the US National Science Foundation East Asia and Pacific Summer Institutes fellowship to K. T. Bilyk and US National Science Foundation Office of Polar Programs Grant NSF OPPAnt- 0231006 to A. L. DeVries and C- H. C. Cheng, with additional support from the Royal Society of New Zealand and the Department of Animal Biology at the University of Illinois Urbana Champaign. The constructive comments of the reviewers are also gratefully acknowledged.</t>
  </si>
  <si>
    <t>10.1017/S0954102011000836</t>
  </si>
  <si>
    <t>WOS:000300878400008</t>
  </si>
  <si>
    <t>Nigro, MA; Cassano, JJ; Knuth, SL</t>
  </si>
  <si>
    <t>Nigro, Melissa A.; Cassano, John J.; Knuth, Shelley L.</t>
  </si>
  <si>
    <t>Evaluation of Antarctic Mesoscale Prediction System (AMPS) cyclone forecasts using infrared satellite imagery</t>
  </si>
  <si>
    <t>cyclone forecasting; model evaluation; remote sensing; Ross Sea sector; Weather Research and Forecasting (WRF) model</t>
  </si>
  <si>
    <t>SOUTHWESTERN ROSS SEA; SEVERE WIND EVENT; WEATHER RESEARCH; CYCLOGENESIS</t>
  </si>
  <si>
    <t>The Antarctic coast is an area of high cyclonic activity. Specifically, the regions of Terra Nova Bay, in the western Ross Sea, and Byrd Glacier, in the western Ross Ice Shelf, are prone to cyclone development. The United States, New Zealand, and Italian Antarctic programmes conduct extensive research activities in the region of the western Ross Sea. Due to the harsh weather conditions associated with the cyclonic systems that occur in this region and the abundant research activities in the area, it is important to be able to accurately predict the timing, location and strength of cyclones in this sector of Antarctica. This study evaluates the ability of the Antarctic Mesoscale Prediction System (from 2006-09) to accurately forecast cyclones in the region of the western Ross Sea by comparing the Antarctic Mesoscale Prediction System forecasts to cyclones identified in infrared satellite imagery. The results indicate that the Antarctic Mesoscale Prediction System is able to accurately predict the presence of cyclones about 40% of the time (at a minimum) and the presence of no cyclones about 70% of the time.</t>
  </si>
  <si>
    <t>[Nigro, Melissa A.; Cassano, John J.; Knuth, Shelley L.] Univ Colorado, Dept Atmospher &amp; Ocean Sci, Cooperat Inst Res Environm Sci, Boulder, CO 80309 USA</t>
  </si>
  <si>
    <t>University of Colorado System; University of Colorado Boulder</t>
  </si>
  <si>
    <t>Nigro, MA (corresponding author), Univ Colorado, Dept Atmospher &amp; Ocean Sci, Cooperat Inst Res Environm Sci, 216 UCB, Boulder, CO 80309 USA.</t>
  </si>
  <si>
    <t>melissa.nigro@colorado.edu</t>
  </si>
  <si>
    <t>Cassano, John/HKW-8817-2023</t>
  </si>
  <si>
    <t>Knuth, Shelley/0000-0001-7249-4773; NIGRO, MELISSA/0000-0002-1213-3295</t>
  </si>
  <si>
    <t>NSF [ANT-0838834, ANT 0636811, ANT 0739464, ATM 0404790]; Office of Polar Programs (OPP); Directorate For Geosciences [0739464] Funding Source: National Science Foundation</t>
  </si>
  <si>
    <t>NSF(National Science Foundation (NSF)); Office of Polar Programs (OPP); Directorate For Geosciences(National Science Foundation (NSF)NSF - Directorate for Geosciences (GEO))</t>
  </si>
  <si>
    <t>The AMPS data was retrieved courtesy of the National Center for Atmospheric Research-Computational and Information Systems Laboratory. The authors appreciate the support of Matthew Lazzara and the Antarctic Meteorological Research Center at the University of Wisconsin-Madison for providing the NOAA-18 and NOAA-19 LAC datasets under the NSF grant number ANT-0838834. This research was supported by NSF grants ANT 0636811, ANT 0739464 and ATM 0404790. The constructive comments of the reviewers are also gratefully acknowledged.</t>
  </si>
  <si>
    <t>10.1017/S0954102011000745</t>
  </si>
  <si>
    <t>WOS:000300878400010</t>
  </si>
  <si>
    <t>Vidal, J; Berrocoso, M; Fernández-Ros, A</t>
  </si>
  <si>
    <t>Vidal, Juan; Berrocoso, Manuel; Fernandez-Ros, Alberto</t>
  </si>
  <si>
    <t>Study of tides and sea levels at Deception and Livingston islands, Antarctica</t>
  </si>
  <si>
    <t>harmonic constituents; seawater temperature; tidal coefficients; tidal gauge benchmark</t>
  </si>
  <si>
    <t>BRANSFIELD STRAIT; VARIABILITY; CURRENTS; ICE</t>
  </si>
  <si>
    <t>During the 2007-08 Spanish Antarctic campaign, two moorings of bottom pressure sensors were carried out over a ten week period. This paper presents the results of the tidal analysis from sea level records obtained at Deception and Livingston islands (South Shetland Islands, Antarctica). The main objective of this paper is to present a detailed study of the tidal characteristics at these two islands, for which statistical and harmonic analysis techniques are applied to the tidal records. A geodetic network was used to reference the pressure sensors. Geometric levelling, with an accuracy of 1 mm, allowed us to link the tidal marks with geodetic vertices located on Livingston and Deception islands. The amplitudes and phase lags obtained by harmonic analysis are compared to the harmonic constants of several coastal stations and co- tidal and co- range charts. Results show an evident influence of tides in the sea level signal, with a clear mixed semi- diurnal behaviour and a daily inequality between high and low waters. Measurements of salinity and temperature were made using electronic sensors. Results from this study showed that salinity and temperature were strongly influenced by tides. Seawater temperature varied in a manner that was consistent with the time series of residual bottom pressure.</t>
  </si>
  <si>
    <t>[Vidal, Juan] Univ Cadiz, Ctr Andaluz Ciencia &amp; Tecnol Marinas CACYTMAR, Cadiz 11510, Spain; [Berrocoso, Manuel; Fernandez-Ros, Alberto] Univ Cadiz, Fac Ciencias, Dept Matemat, Lab Astron Geodesia &amp; Cartog, Cadiz 11510, Spain</t>
  </si>
  <si>
    <t>Universidad de Cadiz; Universidad de Cadiz; Consejo Superior de Investigaciones Cientificas (CSIC); CSIC-UCM - Instituto de Astronomia y Geodesia (IAG)</t>
  </si>
  <si>
    <t>Vidal, J (corresponding author), Univ Cadiz, Ctr Andaluz Ciencia &amp; Tecnol Marinas CACYTMAR, Campus Rio San Pedro S-N, Cadiz 11510, Spain.</t>
  </si>
  <si>
    <t>juan.vidal@uca.es</t>
  </si>
  <si>
    <t>Vidal, Juan/AAU-2991-2020; BERROCOSO, MANUEL/O-3818-2014</t>
  </si>
  <si>
    <t>Vidal, juan/0000-0002-1828-3876; BERROCOSO, MANUEL/0000-0002-1878-9658</t>
  </si>
  <si>
    <t>Spanish Ministry of Science and Technology [Cgl200507589-C03-01/Ant]</t>
  </si>
  <si>
    <t>Spanish Ministry of Science and Technology(Spanish Government)</t>
  </si>
  <si>
    <t>The work described in this article was made possible by the financial support to the project: Investigaciones geodeesicas, geofisicas y teledeteccioen en la Isla Decepcioen y su entorno (Peniensula Antaertica, Islas Shetland Del Sur) (Cgl200507589-C03-01/Ant) from the Spanish Ministry of Science and Technology, through the National Program of Antarctic Research of Natural Resources. We would also like to thank the RV Las Palmas crew and the members of the Spanish Antarctic Station Gabriel de Castilla and the Spanish Antarctic Station Juan Carlos I for their collaboration during the surveying campaigns. The authors thank two anonymous referees for helpful comments on earlier versions of this paper.</t>
  </si>
  <si>
    <t>10.1017/S095410201100068X</t>
  </si>
  <si>
    <t>WOS:000300878400011</t>
  </si>
  <si>
    <t>Barletta, RE</t>
  </si>
  <si>
    <t>Barletta, Robert E.</t>
  </si>
  <si>
    <t>Raman analysis of blue ice tephra: an approach to tephrachronological dating of ice cores</t>
  </si>
  <si>
    <t>feldspar; micro-analysis; Mount Erebus; Mount Waesche; spectroscopy; volcanic ash</t>
  </si>
  <si>
    <t>WATER-CONTENT; SPECTROSCOPIC CHARACTERIZATION; MELT INCLUSIONS; GLASSES; FELDSPARS; RHYOLITE</t>
  </si>
  <si>
    <t>Tephra in glacial ice provide a method to obtain a depth vs chronology correlation within an ice core. Currently, core sections containing particulate must be sacrificially analysed to determine the nature of the particulate (e.g. aerosol, micrometeor, volcanic ash), and, in the case of volcanic ash, the event tied to the particle. Characterization through melting and chemical analysis precludes, de facto, its use for other purposes. A non-destructive technique to characterize particulates in ice cores prior to sectioning the samples, e.g. optical interrogation, would be useful, especially if chemical information specific to particular volcanic eruptions could be gleaned from such an analysis. We investigated the use of micro-Raman spectroscopy for this purpose. Spectra were obtained on samples of Antarctic blue ice tephra from different sources along with a reference ash sample of New Mexico Bandelier Tuff. Vitreous and crystalline particles in the samples were characterized. For vitreous material, a detailed analysis of the Raman-active vibrational bands of the glass structure was found to have the potential of being a unique identifier of the source of the glass, however, additional library development is needed for implementation.</t>
  </si>
  <si>
    <t>Univ S Alabama, Dept Chem, Mobile, AL 36688 USA</t>
  </si>
  <si>
    <t>University of South Alabama</t>
  </si>
  <si>
    <t>Barletta, RE (corresponding author), Univ S Alabama, Dept Chem, Mobile, AL 36688 USA.</t>
  </si>
  <si>
    <t>rbarletta@southalabama.edu</t>
  </si>
  <si>
    <t>National Science Foundation [0828786]</t>
  </si>
  <si>
    <t>National Science Foundation(National Science Foundation (NSF))</t>
  </si>
  <si>
    <t>This study was funded by the National Science Foundation under Grant No. 0828786. The author would like to acknowledge the contributions of Dr Nelia Dunbar, New Mexico Tech, for providing the samples used in this study, as well as for her helpful technical discussions on the manuscript. The constructive comments of the reviewers are also gratefully acknowledged.</t>
  </si>
  <si>
    <t>10.1017/S0954102011000885</t>
  </si>
  <si>
    <t>WOS:000300878400012</t>
  </si>
  <si>
    <t>Molares, S; Ladio, A</t>
  </si>
  <si>
    <t>Molares, Soledad; Ladio, Ana</t>
  </si>
  <si>
    <t>Mapuche perceptions and conservation of Andean Nothofagus forests and their medicinal plants: a case study from a rural community in Patagonia, Argentina</t>
  </si>
  <si>
    <t>BIODIVERSITY AND CONSERVATION</t>
  </si>
  <si>
    <t>Ethnobotany; Ethno-classification; Medicinal uses; Resilience</t>
  </si>
  <si>
    <t>ABORIGINAL COMMUNITIES; NORTHWESTERN PATAGONIA; RESOURCE-MANAGEMENT; BOLIVIAN ANDES; NW PATAGONIA; KNOWLEDGE; DIVERSITY; BIODIVERSITY; STRATEGIES; PATTERNS</t>
  </si>
  <si>
    <t>In a Mapuche community situated in the sub-antarctic forest of the northwest of Argentine Patagonia, analysis was carried out on forest environmental perception and its relation to the resilience of the body of traditional botanical knowledge regarding medicinal plants. Data was obtained on the ethno-classification and differential use of the forest gathering environment with respect to its practical and cultural value. Semi-structured interviews were carried out with 30 randomly chosen inhabitants, and the data were analysed using qualitative methods and non-parametric statistics. Most citations (64.5%) were of species gathered in Nothofagus antarctica forest, 26.2% were of species from N. pumilio forest, and 20.3% referred to species from a mixed forest, with N. dombeyi. The forests studied have low values for similarity in terms of medicinal species richness, indicating a unique offer of therapeutic resources in each one. The use of the different forest types seems to be associated with the search for therapeutic resources for specific ailments. However, the redundancy of functions of species in each forest type can offer alternative remedies, which provides plant conservation, security and the possibility of reorganisation of their traditional medicinal knowledge. This case study showed the importance of considering folk systems and the role that this knowledge has played in plant resource management and forest protection. Different forests are used and valued differentially, not only with regard to usefulness but also in symbolic-religious terms, and together they fulfil a cushioning function, protecting holistically traditional botanical knowledge, people's health and forests. It is of great importance, therefore, that conservation policies favouring environmental heterogeneity are implemented, and that local inhabitants participate in the development of management plans.</t>
  </si>
  <si>
    <t>[Molares, Soledad; Ladio, Ana] Univ Nacl Comahue, INIBIOMA, CONICET, RA-8400 San Carlos De Bariloche, Rio Negro, Argentina</t>
  </si>
  <si>
    <t>Consejo Nacional de Investigaciones Cientificas y Tecnicas (CONICET); Universidad Nacional del Comahue</t>
  </si>
  <si>
    <t>Ladio, A (corresponding author), Univ Nacl Comahue, INIBIOMA, CONICET, Quintral 1250, RA-8400 San Carlos De Bariloche, Rio Negro, Argentina.</t>
  </si>
  <si>
    <t>aladio2002@yahoo.com.ar</t>
  </si>
  <si>
    <t>Ladio, Ana Haydeé/W-2651-2019</t>
  </si>
  <si>
    <t>Ladio, Ana/0000-0002-2844-6704</t>
  </si>
  <si>
    <t>Consejo Nacional de Investigaciones Cientificas y Tecnicas (CONICET) [PIP 00337]; Universidad Nacional del Comahue and Fondo Nacional de Ciencia y Tecnica (FONCYT) of Argentina [PICT 07-02289]</t>
  </si>
  <si>
    <t>Consejo Nacional de Investigaciones Cientificas y Tecnicas (CONICET)(Consejo Nacional de Investigaciones Cientificas y Tecnicas (CONICET)); Universidad Nacional del Comahue and Fondo Nacional de Ciencia y Tecnica (FONCYT) of Argentina</t>
  </si>
  <si>
    <t>Our thanks are due to the inhabitants of the community at Lago Rosario, for their friendly disposition and generous help. This research was supported by the Consejo Nacional de Investigaciones Cientificas y Tecnicas (CONICET, PIP 00337), the Universidad Nacional del Comahue and Fondo Nacional de Ciencia y Tecnica (FONCYT) of Argentina (Grant PICT 07-02289).</t>
  </si>
  <si>
    <t>0960-3115</t>
  </si>
  <si>
    <t>1572-9710</t>
  </si>
  <si>
    <t>BIODIVERS CONSERV</t>
  </si>
  <si>
    <t>Biodivers. Conserv.</t>
  </si>
  <si>
    <t>10.1007/s10531-012-0241-2</t>
  </si>
  <si>
    <t>904FC</t>
  </si>
  <si>
    <t>WOS:000301178500012</t>
  </si>
  <si>
    <t>Olivero, EB</t>
  </si>
  <si>
    <t>Olivero, E. B.</t>
  </si>
  <si>
    <t>Sedimentary cycles, ammonite diversity and palaeoenvironmental changes in the Upper Cretaceous Marambio Group, Antarctica</t>
  </si>
  <si>
    <t>CRETACEOUS RESEARCH</t>
  </si>
  <si>
    <t>Antarctica; Upper Cretaceous; Sedimentary cycles; Ammonites; Diversity changes; Palaeoceanography</t>
  </si>
  <si>
    <t>JAMES-ROSS-ISLAND; SOUTHERN HIGH-LATITUDES; HETEROMORPH AMMONITES; SHALLOW-MARINE; FUEGIAN ANDES; STRATIGRAPHY; BASIN; ARGENTINA; EXTINCTIONS; CONIACIAN</t>
  </si>
  <si>
    <t>Cretaceous sedimentary rocks of the James Ross Basin offer a unique Austral record of the transition from mild mid-Turonian-early Campanian to relatively cold Maastrichtian palaeoclimatic conditions. After deposition of deep-marine Lower to Upper Cretaceous sediments and tectonic inversion of the basin, the Upper Cretaceous-Danian Marambio Group reflects the development of a shelf extended for more than 100 km into the Weddell Sea. The expansion of the shelf area was punctuated by three major transgressive regressive cycles: the N (Santonian-early-Campanian): NG (late Campanian early Maastrichtian): and MG (early Maastrichtian-Danian) sequences. Faunal groups sensitive to changing watermass conditions, such as ammonites and inoceramids, exhibit unusual patterns of diversity changes and/or early extinctions. In the N Sequence ammonite generic richness is minimum in the Santonian, then it increases gradually to an early Campanian maximum and decreases in the latest early Campanian. This pattern is typical for transgressive regressive cycles, where broadening of the shelf during peak transgression controls maximum diversity. The molluscs Scaphitidae, Nostoceratidae, lnoceramidae, and most Trigoniidae disappeared from Antarctica during the early Campanian. By the early late Campanian boundary, the last Antarctic inoceramids show a distinctive shell structure that probably reflects thermal stress. In the nearby Tierra del Fuego region, deep-marine inoceramids disappeared by the early Maastrichtian, concomitant with a marked change from anoxic dysoxic to well-oxygenated bottom conditions. The ammonites of the NC and MG sequences are dominated by kossmaticeratids, both in generic richness (which is much lower than in the N Sequence) and specimen abundance, but their diversity pattern do not reflect the expansion of the shelf during peak transgression. Dominance of the Kossmaticeratidae, concomitant with a known Austral temperature decline in the seawater, supports the idea that kossmaticeratids were stenothermal ammonites that flourished in Antarctica when the water masses had attained their preferred temperature and were displaced towards lower latitudes when a certain minimum threshold temperature was reached in the late Maastrichtian. These diversity changes and local extinctions closely match published temperature-cooling trends in the southern ocean and the oxygenation event at the inoceramid extinction level in Tierra del Fuego probably reflects cooling and enhanced bottom ventilation, promoted by circulation of deep Antarctic waters. (C) 2011 Elsevier Ltd. All rights reserved.</t>
  </si>
  <si>
    <t>CADIC CONICET, RA-9410 Ushuaia, Tierra Del Fueg, Argentina</t>
  </si>
  <si>
    <t>Consejo Nacional de Investigaciones Cientificas y Tecnicas (CONICET)</t>
  </si>
  <si>
    <t>Olivero, EB (corresponding author), CADIC CONICET, B Houssay 200, RA-9410 Ushuaia, Tierra Del Fueg, Argentina.</t>
  </si>
  <si>
    <t>emolivero@gmail.com</t>
  </si>
  <si>
    <t>Instituto Antartico Argentino; Agencia Nacional de Promocion Cientifica y Tecnologica (ANPCyT-FONCyT); Consejo Nacional de Investigaciones Cientificas y Tecnicas (CONICET); ANPCyT-FONCyT, Argentina [PICTO 36315]</t>
  </si>
  <si>
    <t>Instituto Antartico Argentino; Agencia Nacional de Promocion Cientifica y Tecnologica (ANPCyT-FONCyT)(ANPCyTFONCyT); Consejo Nacional de Investigaciones Cientificas y Tecnicas (CONICET)(Consejo Nacional de Investigaciones Cientificas y Tecnicas (CONICET)); ANPCyT-FONCyT, Argentina(ANPCyTFONCyT)</t>
  </si>
  <si>
    <t>I thank T. Horscroft (ELS-AMS) for the invitation to present this review paper. During the last 25 year of Antarctic research I have greatly appreciated the continuous support of C.A. Rinaldi and S. Marenssi, former and present directors respectively of the Instituto Antartico Argentino, and the logistical facilities of the Fuerza Aerea Argentina. The friendship and help during several Antarctic field seasons of A. Sobral (CADIC/CICTERRA) and students of the University of Buenos Aires, F.A. Mussel, G. Robles, G. Escolar, D. Martinioni, F. Milanese, and M.E. Raffi are greatly appreciated. M.I. Lopez Cabrera (CADIC-CONICET) helped with the classification of trace fossils. Comments and suggestions by A. Lukeneder, an anonymous reviewer, M.B. Hart and the editor, D.J. Batten, helped to improve the manuscript. Financial support over the years from the Instituto Antartico Argentino, Agencia Nacional de Promocion Cientifica y Tecnologica (ANPCyT-FONCyT) and Consejo Nacional de Investigaciones Cientificas y Tecnicas (CONICET) is greatly appreciated. This study was supported by PICTO 36315 ANPCyT-FONCyT, Argentina.</t>
  </si>
  <si>
    <t>0195-6671</t>
  </si>
  <si>
    <t>1095-998X</t>
  </si>
  <si>
    <t>CRETACEOUS RES</t>
  </si>
  <si>
    <t>Cretac. Res.</t>
  </si>
  <si>
    <t>10.1016/j.cretres.2011.11.015</t>
  </si>
  <si>
    <t>Geology; Paleontology</t>
  </si>
  <si>
    <t>902GS</t>
  </si>
  <si>
    <t>WOS:000301027200032</t>
  </si>
  <si>
    <t>Chew, O; Lelean, S; John, UP; Spangenberg, GC</t>
  </si>
  <si>
    <t>Chew, Orinda; Lelean, Suzanne; John, Ulrik P.; Spangenberg, German C.</t>
  </si>
  <si>
    <t>Cold acclimation induces rapid and dynamic changes in freeze tolerance mechanisms in the cryophile Deschampsia antarctica E. Desv.</t>
  </si>
  <si>
    <t>PLANT CELL AND ENVIRONMENT</t>
  </si>
  <si>
    <t>de-acclimation; ice recrystallization inhibition protein; IRIP; recrystallization inhibition; sub-zero acclimation; tiller survival</t>
  </si>
  <si>
    <t>ICE RECRYSTALLIZATION INHIBITION; STABLE ANTIFREEZE PROTEIN; LOLIUM-PERENNE; PLANTS; LEAVES; GRASS; DEACCLIMATION; RESISTANCE; RESPONSES; FAMILY</t>
  </si>
  <si>
    <t>The cryophilic Antarctic hair grass, Deschampsia antarctica E. Desv., one of two higher plants indigenous to Antarctica, represents a unique resource for the study of freeze tolerance mechanisms. We have previously characterized a multi-gene family in D. antarctica encoding ice recrystallization inhibition proteins (IRIPs) whose transcript levels are responsive to cold acclimation, and whose products confer ice recrystallization inhibition (RI) activity that can account for activity seen in cold acclimated plants. We used molecular and physiological analyses to investigate temporal responses of D. antarctica to cold acclimation and de-acclimation, and sub-zero acclimation. Quantitative profiling revealed that IRIP transcript levels significantly increased and decreased within hours of cold acclimation and de-acclimation, respectively, becoming up to 1000-fold more abundant in fully acclimated plants. Western analysis detected three major immuno-reactive bands whose pattern of accumulation mirrored that of transcript. These data correlated with the onset and decline of RI activity in acclimated and de-acclimated leaves. Plant survival-based testing revealed that cold acclimation enhanced freeze tolerance by 5 degrees C within 4 d, and that sub-zero acclimation conferred an additional 3 degrees C of tolerance. Thus, D. antarctica is highly responsive to temperature fluctuations, able to rapidly deploy IRIP based RI activity and enhance its freeze tolerance.</t>
  </si>
  <si>
    <t>[Chew, Orinda; Lelean, Suzanne; John, Ulrik P.; Spangenberg, German C.] Victorian AgriBiosci Ctr, Dept Primary Ind, Biosci Res Div, Bundoora, Vic 3083, Australia; [Chew, Orinda; Lelean, Suzanne; John, Ulrik P.; Spangenberg, German C.] Victorian AgriBiosci Ctr, Australian Ctr Plant Funct Genom, Bundoora, Vic 3083, Australia; [Spangenberg, German C.] La Trobe Univ, Bundoora, Vic 3083, Australia</t>
  </si>
  <si>
    <t>Victorian Department of Environment &amp; Primary Industries; La Trobe University</t>
  </si>
  <si>
    <t>John, UP (corresponding author), Victorian AgriBiosci Ctr, Dept Primary Ind, Biosci Res Div, 1 Pk Dr, Bundoora, Vic 3083, Australia.</t>
  </si>
  <si>
    <t>ulrik.john@dpi.vic.gov.au</t>
  </si>
  <si>
    <t>Australian Research Council; Grains Research and Development Corporation; Victorian Department of Innovation, Industry and Regional Development; Victorian Department of Primary Industries</t>
  </si>
  <si>
    <t>Australian Research Council(Australian Research Council); Grains Research and Development Corporation(Grains R&amp;D Corp); Victorian Department of Innovation, Industry and Regional Development; Victorian Department of Primary Industries</t>
  </si>
  <si>
    <t>We thank Andrew Sivakumaran for expression and purification of the IRIP peptide, Nadim Shadiac (Australian Centre for Plant Functional Genomics) for generating the anti-IRIP antibody, Ross Chapman for assistance with statistical analysis, John Forster for critical reading of the paper, and Buller Ski Lifts Pty Ltd for donating Snomax. This work was supported by the Australian Research Council, the Grains Research and Development Corporation, the Victorian Department of Innovation, Industry and Regional Development, and the Victorian Department of Primary Industries.</t>
  </si>
  <si>
    <t>0140-7791</t>
  </si>
  <si>
    <t>1365-3040</t>
  </si>
  <si>
    <t>PLANT CELL ENVIRON</t>
  </si>
  <si>
    <t>Plant Cell Environ.</t>
  </si>
  <si>
    <t>10.1111/j.1365-3040.2011.02456.x</t>
  </si>
  <si>
    <t>902RC</t>
  </si>
  <si>
    <t>WOS:000301055100013</t>
  </si>
  <si>
    <t>Gerhart, LM; Harris, JM; Nippert, JB; Sandquist, DR; Ward, JK</t>
  </si>
  <si>
    <t>Gerhart, Laci M.; Harris, John M.; Nippert, Jesse B.; Sandquist, Darren R.; Ward, Joy K.</t>
  </si>
  <si>
    <t>Glacial trees from the La Brea tar pits show physiological constraints of low CO2</t>
  </si>
  <si>
    <t>carbon isotopes; ci; ca; interannual variation; Juniperus; last glacial period; low CO2; tree rings</t>
  </si>
  <si>
    <t>WATER-USE EFFICIENCY; SANTA-BARBARA BASIN; ATMOSPHERIC CO2; GAS-EXCHANGE; JUNIPERUS-OSTEOSPERMA; ANTARCTIC ICE; ELEVATED CO2; CLIMATE; RESPONSES; PLANTS</t>
  </si>
  <si>
    <t>While studies of modern plants indicate negative responses to low [CO2] that occurred during the last glacial period, studies with glacial plant material that incorporate evolutionary responses are rare. In this study, physiological responses to changing [CO2] were compared between glacial (La Brea tar pits) and modern Juniperus trees from southern California. Carbon isotopes were measured on annual rings of glacial and modern Juniperus. The intercellular : atmospheric [CO2] ratio (ci/ca) and intercellular [CO2] (ci) were then calculated on an annual basis and compared through geologic time. Juniperus showed constant mean ci/ca between the last glacial period and modern times, spanning 50 000 yr. Interannual variation in physiology was greatly dampened during the last glacial period relative to the present, indicating constraints of low [CO2] that reduced responses to other climatic factors. Furthermore, glacial Juniperus exhibited low ci that rarely occurs in modern trees, further suggesting limiting [CO2] in glacial plants. This study provides some of the first direct evidence that glacial plants remained near their lower carbon limit until the beginning of the glacialinterglacial transition. Our results also suggest that environmental factors that dominate carbon-uptake physiology vary across geologic time, resulting in major alterations in physiological response patterns through time.</t>
  </si>
  <si>
    <t>[Gerhart, Laci M.; Ward, Joy K.] Univ Kansas, Dept Ecol &amp; Evolutionary Biol, Lawrence, KS 66045 USA; [Harris, John M.] Nat Hist Museum Los Angeles Cty, George C Page Museum La Brea Tar Pits, Los Angeles, CA 90036 USA; [Nippert, Jesse B.] Kansas State Univ, Div Biol, Manhattan, KS 66506 USA; [Sandquist, Darren R.] Calif State Univ Fullerton, Dept Biol Sci, Fullerton, CA 92834 USA</t>
  </si>
  <si>
    <t>University of Kansas; Kansas State University; California State University System; California State University Fullerton</t>
  </si>
  <si>
    <t>Ward, JK (corresponding author), Univ Kansas, Dept Ecol &amp; Evolutionary Biol, 1200 Sunnyside Ave, Lawrence, KS 66045 USA.</t>
  </si>
  <si>
    <t>joyward@ku.edu</t>
  </si>
  <si>
    <t>Gerhart, Laci/0000-0002-9382-0467; Nippert, Jesse/0000-0002-7939-342X</t>
  </si>
  <si>
    <t>National Science Foundation (NSF) CAREER [0746822]; National Science Foundation (NSF) PECASE; Wohlgemuth Faculty; NSF C-CHANGE IGERT [0801522]; Madison and Lila Self Graduate Fellowship at KU; Direct For Education and Human Resources; Division Of Graduate Education [0801522] Funding Source: National Science Foundation; Division Of Integrative Organismal Systems; Direct For Biological Sciences [0746822] Funding Source: National Science Foundation</t>
  </si>
  <si>
    <t>National Science Foundation (NSF) CAREER(National Science Foundation (NSF)NSF - Office of the Director (OD)); National Science Foundation (NSF) PECASE; Wohlgemuth Faculty; NSF C-CHANGE IGERT; Madison and Lila Self Graduate Fellowship at KU; Direct For Education and Human Resources; Division Of Graduate Education(National Science Foundation (NSF)NSF - Directorate for STEM Education (EDU)); Division Of Integrative Organismal Systems; Direct For Biological Sciences(National Science Foundation (NSF)NSF - Directorate for Biological Sciences (BIO)NSF - Division of Integrative Organismal Systems (IOS))</t>
  </si>
  <si>
    <t>This work was supported by the National Science Foundation (NSF) CAREER (0746822) and PECASE awards, and the Wohlgemuth Faculty Scholar Award (endowed by D. Lynch) to J.K.W. The NSF C-CHANGE IGERT fellowship (0801522) and the Madison and Lila Self Graduate Fellowship supported L. M. G. at KU. The Department of Ecology and Evolutionary Biology (KU) also provided assistance for this work. The authors thank G. Cane (KPESIL, KU), E. Duffy (EEB, KU) and K. Colvin (EEB, KU) for assistance with isotope analysis, and J. Nickerman (Angeles National Forest) and M. Lardner (San Bernardino National Forest) for field permit assistance. The authors also thank three anonymous reviewers for their helpful comments.</t>
  </si>
  <si>
    <t>10.1111/j.1469-8137.2011.04025.x</t>
  </si>
  <si>
    <t>898EQ</t>
  </si>
  <si>
    <t>WOS:000300719400009</t>
  </si>
  <si>
    <t>Gao, SS; Sjostedt, SJ; Sharma, S; Hall, SR; Ullmann, K; Abbatt, JPD</t>
  </si>
  <si>
    <t>Gao, S. S.; Sjostedt, S. J.; Sharma, S.; Hall, S. R.; Ullmann, K.; Abbatt, J. P. D.</t>
  </si>
  <si>
    <t>PTR-MS observations of photo-enhanced VOC release from Arctic and midlatitude snow</t>
  </si>
  <si>
    <t>SURFACE SNOW; PHOTOCHEMICAL PRODUCTION; CARBONYL-COMPOUNDS; HYDROGEN-PEROXIDE; ANTARCTIC SNOW; BOUNDARY-LAYER; ICE; SUMMIT; AIR; FIRN</t>
  </si>
  <si>
    <t>To evaluate the release mechanism of volatile organic species (VOCs) from solar illuminated snowpacks, this study used proton transfer reaction-mass spectrometry (PTR-MS) for the first time to study VOCs within Arctic snow and to compare these results to VOC release from illuminated snow in the laboratory. The field measurements were conducted in April during the 2009 Ocean-Atmosphere-Sea Ice-Snowpack (OASIS) campaign in Barrow, Alaska, whereas in the laboratory four natural snow samples, from the Arctic (Alert, Nunavut), a rural site (Egbert, Ontario), and an urban area (Toronto, Ontario), were exposed to a Xe arc lamp with a 295 nm longpass filter. Similar VOCs were observed in both the field and laboratory experiments suggesting that these light-driven processes occur not only in polar regions but in midlatitude snows as well. Also, because the laboratory samples were temperature controlled, we conclude that the release mechanism is primarily photochemical and not temperature mediated. The snow composition may have influenced VOC production because aged Toronto snow samples, with both the highest total organic carbon content and concentration of oxidant precursors (i.e., NO3-), exhibited the largest production of VOCs upon irradiation.</t>
  </si>
  <si>
    <t>[Gao, S. S.; Sjostedt, S. J.; Abbatt, J. P. D.] Univ Toronto, Dept Chem, Toronto, ON M5S 3H6, Canada; [Hall, S. R.; Ullmann, K.] Natl Ctr Atmospher Res, Div Atmospher Chem, Boulder, CO 80301 USA; [Sharma, S.] Environm Canada, Climate Chem Measurements &amp; Res, Toronto, ON M3H 5T4, Canada</t>
  </si>
  <si>
    <t>University of Toronto; National Center Atmospheric Research (NCAR) - USA; Environment &amp; Climate Change Canada</t>
  </si>
  <si>
    <t>Gao, SS (corresponding author), Univ Toronto, Dept Chem, 80 St George St, Toronto, ON M5S 3H6, Canada.</t>
  </si>
  <si>
    <t>shawna.gao@utoronto.ca; jabbatt@chem.utoronto.ca</t>
  </si>
  <si>
    <t>Sjostedt, Steven J/B-5032-2015; Hall, Samuel/AAG-9516-2020</t>
  </si>
  <si>
    <t>Hall, Samuel/0000-0002-2060-7112; Abbatt, Jonathan/0000-0002-3372-334X</t>
  </si>
  <si>
    <t>Jan Bottenheim, Environment Canada, NSF Office of Polar; Atmospheric and Geospace Science for lodgings; NSERC; NCAR</t>
  </si>
  <si>
    <t>Jan Bottenheim, Environment Canada, NSF Office of Polar; Atmospheric and Geospace Science for lodgings; NSERC(Natural Sciences and Engineering Research Council of Canada (NSERC)); NCAR(National Science Foundation (NSF)NSF - Directorate for Geosciences (GEO))</t>
  </si>
  <si>
    <t>The authors acknowledge support for the OASIS work came from Jan Bottenheim, Environment Canada, NSF Office of Polar Programs and Atmospheric and Geospace Science for lodgings, and NCAR Atmospheric Chemistry Division for providing infrastructure. We would also like to thank Desiree Toom-Sauntry and Environment Canada for the collection of Alert snow samples and Alex Petroff and Milos Markovic for help with the IC. Other financial support came from NSERC.</t>
  </si>
  <si>
    <t>MAR 31</t>
  </si>
  <si>
    <t>D00R17</t>
  </si>
  <si>
    <t>10.1029/2011JD017152</t>
  </si>
  <si>
    <t>918GL</t>
  </si>
  <si>
    <t>WOS:000302237200008</t>
  </si>
  <si>
    <t>Schweitzer, CE; Feldmann, RM; Lamanna, MC</t>
  </si>
  <si>
    <t>Schweitzer, Carrie E.; Feldmann, Rodney M.; Lamanna, Matthew C.</t>
  </si>
  <si>
    <t>NEW GENUS OF CRAB (BRACHYURA: RANINOIDA: NECROCARCINIDAE) FROM THE UPPER CRETACEOUS OF WEST ANTARCTICA, WITH DESCRIPTION OF A NEW SPECIES</t>
  </si>
  <si>
    <t>ANNALS OF CARNEGIE MUSEUM</t>
  </si>
  <si>
    <t>Antarctic Peninsula; Decapoda; Gustav Group; Hidden Lake Formation; James Ross Basin; Marambio Group; Santa Marta Formation</t>
  </si>
  <si>
    <t>JAMES-ROSS-ISLAND; CRUSTACEA; DECAPODA; STRATIGRAPHY; CONIACIAN; FAMILY; BASIN; AREA</t>
  </si>
  <si>
    <t>A new genus of crab from the Late Cretaceous of Antarctica increases diversity within Necrocarcinidae Forster, 1968, and demonstrates what appear to be gradual evolution and sympatric speciation in the southern high latitudes. New taxa include Hadrocarcinus tectilacus, new genus, new species, as well as two new combinations, Hadrocarcinus carinatus (Feldmann et al., 1993) and Hadrocarcinus wrighti (Feldmann et al., 1993). Necrocarcinidae was paleogeographically widespread by the middle Early Cretaceous, but the geographic distribution and diversity of the group increased even further by the middle Late Cretaceous, perhaps as a result of high sea levels and elevated global temperatures at that time. The paleogcographic range and diversity of necrocarcinids decreased during the latest Cretaceous and into the earliest Paleocene (Danian), possibly due to decreases in sea level and global temperatures, restricting the family to the northern high latitudes. Alternatively, apparent diversity trends in Necrocarcinidae may simply reflect available rock volume.</t>
  </si>
  <si>
    <t>[Schweitzer, Carrie E.] Kent State Univ Stark, Dept Geol, N Canton, OH 44720 USA; [Feldmann, Rodney M.] Kent State Univ, Dept Geol, Kent, OH 44242 USA; [Lamanna, Matthew C.] Carnegie Museum Nat Hist, Sect Vertebrate Paleontol, Pittsburgh, PA 15213 USA</t>
  </si>
  <si>
    <t>University System of Ohio; Kent State University; Kent State University Stark; University System of Ohio; Kent State University; Kent State University Kent; Kent State University Salem</t>
  </si>
  <si>
    <t>Schweitzer, CE (corresponding author), Kent State Univ Stark, Dept Geol, 6000 Frank Ave NW, N Canton, OH 44720 USA.</t>
  </si>
  <si>
    <t>cschweit@kent.edu; rfeldman@kent.edu; lamannam@carnegiemnh.org</t>
  </si>
  <si>
    <t>NSF [EF-0531670, ANT-0636639]</t>
  </si>
  <si>
    <t>Examination of type and comparative material in museum collections in the U.S.A. and Europe by Schweitzer and Feldmann was supported by NSF grant EF-0531670 to Feldmann and Schweitzer. M. Riley made available the collections of and loaned specimens from the Sedgwick Museum, Cambridge University, U.K. R. Lemaitre and K. Reed, Division of Crustacea, facilitated our access to the Crustacea Collections at the United States National Museum, Smithsonian Institution, Washington, D.C., U.S.A. The expedition that recovered CM 56700 was supported by NSF grant ANT-0636639 to R.D.E. MacPhee (American Museum of Natural History, New York, NY, U.S.A.). Lamanna thanks MacPhee, S. Salisbury (The University of Queensland, Brisbane, Australia), P. O'Connor (Ohio University, Athens, OH, U.S.A.), C. Strganac (Southern Methodist University, Dallas, TX, U.S.A.), N. Swanson-Hysell (Princeton University, Princeton, NJ, U.S.A.), and C. Denker (Raytheon Polar Services Company, Centennial, CO, U.S.A.) for assistance in the field. The authors are grateful to T. Tobin (University of Washington, Seattle, WA, U.S.A.) for arranging shipment of CM 56700 to the U.S.A., to M. Klingler (Carnegie Museum of Natural History) for drafting Figure 1, and to A. Kollar (Carnegie Museum of Natural History) for cunning the specimen.</t>
  </si>
  <si>
    <t>CARNEGIE MUSEUM NATURAL HISTORY</t>
  </si>
  <si>
    <t>PITTSBURGH</t>
  </si>
  <si>
    <t>4400 FORBES AVE, PITTSBURGH, PA 15213 USA</t>
  </si>
  <si>
    <t>0097-4463</t>
  </si>
  <si>
    <t>1943-6300</t>
  </si>
  <si>
    <t>ANN CARNEGIE MUS</t>
  </si>
  <si>
    <t>Ann. Carnegie Mus.</t>
  </si>
  <si>
    <t>Paleontology; Zoology</t>
  </si>
  <si>
    <t>929BI</t>
  </si>
  <si>
    <t>WOS:000303035800003</t>
  </si>
  <si>
    <t>France, JA; Harvey, VL; Randall, CE; Hitchman, MH; Schwartz, MJ</t>
  </si>
  <si>
    <t>France, J. A.; Harvey, V. L.; Randall, C. E.; Hitchman, M. H.; Schwartz, M. J.</t>
  </si>
  <si>
    <t>A climatology of stratopause temperature and height in the polar vortex and anticyclones</t>
  </si>
  <si>
    <t>MIDDLE ATMOSPHERE; STRATOSPHERE; CIRCULATION; DISTURBANCES; VARIABILITY; EVOLUTION; VORTICES; DYNAMICS; MLS</t>
  </si>
  <si>
    <t>A global climatology of stratopause temperature and height is shown using 7 years of Microwave Limb Sounder satellite data, from 2004 to 2011. Stratopause temperature and height is interpreted in the context of the polar vortices and anticyclones defined by the Goddard Earth Observing System meteorological analyses. Multiyear, monthly mean geographic patterns in stratopause temperature and height are shown to depend on the location of the polar vortices and anticyclones. The anomalous winters of 2005/2006 and 2008/2009 are considered separately in this analysis. In the anomalous years, we show that the elevated stratopause in February is confined to the vortex core. This is the first study to show that the stratopause is, on average, 20 K colder and 5-10 km lower in the Aleutian anticyclone than in ambient air during the Arctic winter. During September in the Antarctic the stratopause is, on average, 10 K colder inside anticyclones south of Australia. The regional temperature and height anomalies, which are due to vertical ageostrophic motion associated with baroclinic instability, are shown to be climatological features. The mean structure of the temperature and height anomalies is consistent with moderate baroclinic growth below the stratopause and decay above. This work furthers current understanding of the geography of the stratopause by emphasizing the role of synoptic baroclinic instability, whereby anticyclones establish zonally asymmetric climatological patterns in stratopause temperature and height. This work highlights the need to consider zonal asymmetries when calculating upper stratospheric temperature trends.</t>
  </si>
  <si>
    <t>[France, J. A.; Harvey, V. L.; Randall, C. E.] Univ Colorado, Atmospher &amp; Space Phys Lab, Boulder, CO 80309 USA; [Hitchman, M. H.] Univ Wisconsin, Atmospher &amp; Ocean Sci Dept, Madison, WI 53706 USA; [Schwartz, M. J.] CALTECH, Jet Prop Lab, Pasadena, CA 91109 USA; [France, J. A.; Randall, C. E.] Univ Colorado, Dept Atmospher &amp; Ocean Sci, Boulder, CO 80309 USA</t>
  </si>
  <si>
    <t>University of Colorado System; University of Colorado Boulder; University of Wisconsin System; University of Wisconsin Madison; National Aeronautics &amp; Space Administration (NASA); NASA Jet Propulsion Laboratory (JPL); California Institute of Technology; University of Colorado System; University of Colorado Boulder</t>
  </si>
  <si>
    <t>France, JA (corresponding author), Univ Colorado, Atmospher &amp; Space Phys Lab, Campus Box 392, Boulder, CO 80309 USA.</t>
  </si>
  <si>
    <t>jeffrey.france@colorado.edu</t>
  </si>
  <si>
    <t>Schwartz, Michael J/F-5172-2016; France, Jeffrey A/N-4507-2018; HARVEY, V LYNN/M-3995-2017; RANDALL, CORA/L-8760-2014</t>
  </si>
  <si>
    <t>France, Jeffrey A/0000-0003-2446-0303; HARVEY, V LYNN/0000-0002-7928-0804; RANDALL, CORA/0000-0002-4313-4397</t>
  </si>
  <si>
    <t>NASA [NAS5-97046, NNX08AK45G, NNX06AE27G, NNX10AQ54G, NNX10AG57G]; NSF [AGS 0940124, ARC 1107498, ATM 0822858]; NASA [NNX10AG57G, 133595, 99602, NNX08AK45G] Funding Source: Federal RePORTER; Directorate For Geosciences; Div Atmospheric &amp; Geospace Sciences [0940124] Funding Source: National Science Foundation; Div Atmospheric &amp; Geospace Sciences; Directorate For Geosciences [0940174] Funding Source: National Science Foundation</t>
  </si>
  <si>
    <t>NASA(National Aeronautics &amp; Space Administration (NASA)); NSF(National Science Foundation (NSF)); NASA(National Aeronautics &amp; Space Administration (NASA)); Directorate For Geosciences; Div Atmospheric &amp; Geospace Sciences(National Science Foundation (NSF)NSF - Directorate for Geosciences (GEO)); Div Atmospheric &amp; Geospace Sciences; Directorate For Geosciences(National Science Foundation (NSF)NSF - Directorate for Geosciences (GEO))</t>
  </si>
  <si>
    <t>We thank NASA's GMAO for providing the GEOS analyses and the MLS science team for the processing and distributing the satellite data. We thank Matthias Brakebusch for the MLS gridding routine. Work done at CU was supported by NASA grants NAS5-97046, NNX08AK45G, NNX06AE27G, and NNX10AQ54G, and NSF grants AGS 0940124 and ARC 1107498. M. H. H. was supported by NSF grant ATM 0822858 and NASA grant NNX10AG57G. Research at JPL was supported by NASA.</t>
  </si>
  <si>
    <t>MAR 30</t>
  </si>
  <si>
    <t>D06116</t>
  </si>
  <si>
    <t>10.1029/2011JD016893</t>
  </si>
  <si>
    <t>918GK</t>
  </si>
  <si>
    <t>WOS:000302237100008</t>
  </si>
  <si>
    <t>Xu, X; Schmitz, WJ; Hurlburt, HE; Hogan, PJ</t>
  </si>
  <si>
    <t>Xu, X.; Schmitz, W. J., Jr.; Hurlburt, H. E.; Hogan, P. J.</t>
  </si>
  <si>
    <t>Mean Atlantic meridional overturning circulation across 26.5°N from eddy-resolving simulations compared to observations</t>
  </si>
  <si>
    <t>BAHAMA-OUTER-RIDGE; NORTH-ATLANTIC; FLORIDA CURRENT; HEAT-FLUX; POTENTIAL VORTICITY; OCEAN CIRCULATION; ZONAL CIRCULATION; GULF-STREAM; TRANSPORT; VARIABILITY</t>
  </si>
  <si>
    <t>Observations along 26.5 degrees N are used to examine the time mean structure of the Atlantic meridional overturning circulation (AMOC) in eddy-resolving simulations with the Hybrid Coordinate Ocean Model (HYCOM). The model results yield a 5 year mean AMOC transport of 18.2 Sv, compared to 18.4 Sv based on data. The modeled northward limb of the AMOC has a vertical structure similar to observations. The southward limb is shallower than observed but deeper than other ocean general circulation models and includes a secondary transport maximum near 4000 m corresponding to Nordic Seas Overflow Water. The modeled flow through the Florida Strait and the deep western boundary current (DWBC) east of Abaco, Bahamas, are also approximately consistent with observations. The model results are used to clarify the sources of the northward AMOC transport and to explore the circulation pattern of the southward transport in the western subtropical North Atlantic in the range 18-33 degrees N. About 14.1 Sv of the modeled northward AMOC transport is through the Florida Strait and the remainder through the mid-ocean, primarily in the Ekman layer, but also below 600 m. The modeled AMOC transport is about 2/3 surface water and 1/3 Antarctic Intermediate Water with no contribution from the thermocline water in between. In the western subtropical North Atlantic the model results depict a complicated deep circulation pattern, associated with the complex bathymetry. The DWBC flows southward then eastward in both the upper and lower North Atlantic Deep Water (NADW) layers but with different offshore recirculation pathways, and there exists a second, more northern branch of eastward flow in the lower NADW layer.</t>
  </si>
  <si>
    <t>[Xu, X.] Univ So Mississippi, Dept Marine Sci, Stennis Space Ctr, MS 39529 USA; [Schmitz, W. J., Jr.] Texas A&amp;M Univ, Harte Res Inst, Corpus Christi, TX 78414 USA; [Hurlburt, H. E.; Hogan, P. J.] USN, Res Lab, Div Oceanog, Stennis Space Ctr, MS 39529 USA</t>
  </si>
  <si>
    <t>University of Southern Mississippi; Texas A&amp;M University System; United States Department of Defense; United States Navy; Naval Research Laboratory</t>
  </si>
  <si>
    <t>Xu, X (corresponding author), Univ So Mississippi, Dept Marine Sci, 1020 Balch Blvd, Stennis Space Ctr, MS 39529 USA.</t>
  </si>
  <si>
    <t>xiaobiao.xu@usm.edu</t>
  </si>
  <si>
    <t>Xu, Xiaobiao/0000-0001-8902-7645</t>
  </si>
  <si>
    <t>National Ocean Partnership Program; Office of Naval Research [601153N, 602435N]; U.K. Natural Environment Research Council</t>
  </si>
  <si>
    <t>National Ocean Partnership Program; Office of Naval Research(Office of Naval Research); U.K. Natural Environment Research Council(UK Research &amp; Innovation (UKRI)Natural Environment Research Council (NERC))</t>
  </si>
  <si>
    <t>This work is a contribution to the project U.S.-GODAE: Global ocean prediction using the HYbrid Coordinate Ocean Model (HYCOM), funded under the National Ocean Partnership Program, and to the projects Global Remote Littoral Forcing via Deep Water Pathways (program element 601153N) and Full Column Mixing for Numerical Ocean Models (602435N), funded by the Office of Naval Research. The simulations were performed on supercomputers at the Naval Oceanographic Office, Stennis Space Center, Mississippi, using computer time provided by the U.S. Department of Defense High Performance Computing Modernization Program. Data from the RAPID-MOC monitoring project are freely available at http://www.noc.soton.ac.uk/rapidmoc, a project funded by the U.K. Natural Environment Research Council. H. Bryden and P. Saunders (NOC/UK), Y. Drillet (Mercator/FR), and R. Lumpkin (NOAA/AOML) kindly provided profiles from their papers. The authors thank A. J. Wallcraft and E. J. Metzger (NRL/SSC) for help in configuring the numerical experiments. The detailed comments of the two anonymous reviewers helped to improve the manuscript significantly. The authors have also been benefited from discussion with W. E. Johns (RSMAS/UM). This is Naval Research Laboratory publication number NRL/JA/7320-11-0805, and it has been approved for public release.</t>
  </si>
  <si>
    <t>C03042</t>
  </si>
  <si>
    <t>10.1029/2011JC007586</t>
  </si>
  <si>
    <t>918IX</t>
  </si>
  <si>
    <t>WOS:000302243900002</t>
  </si>
  <si>
    <t>Cai, MH; Yang, HZ; Xie, ZY; Zhao, Z; Wang, F; Lu, ZB; Sturm, R; Ebinghaus, R</t>
  </si>
  <si>
    <t>Cai, Minghong; Yang, Haizhen; Xie, Zhiyong; Zhao, Zhen; Wang, Feng; Lu, Zhibo; Sturm, Renate; Ebinghaus, Ralf</t>
  </si>
  <si>
    <t>Per- and polyfluoroalkyl substances in snow, lake, surface runoff water and coastal seawater in Fildes Peninsula, King George Island, Antarctica</t>
  </si>
  <si>
    <t>JOURNAL OF HAZARDOUS MATERIALS</t>
  </si>
  <si>
    <t>Perfluoroalkyl substances; Polyfluoroalkyl substances; Coastal seawater; Snow; Lake; Surface runoff water; Antarctica</t>
  </si>
  <si>
    <t>CHAIN PERFLUORINATED ACIDS; FLUOROTELOMER ALCOHOLS; PERFLUOROALKYL CONTAMINANTS; POLYFLUORINATED COMPOUNDS; ATMOSPHERIC CHEMISTRY; TREATMENT PLANTS; ATLANTIC-OCEAN; SEDIMENT; RIVER; JAPAN</t>
  </si>
  <si>
    <t>The multi-matrices samples from snow (n = 4), lake water (n = 4), surface runoff water (SRW) (n = 1) and coastal seawater (n = 10) were collected to investigate the spatial distribution and the composition profiles of per- and polyfluoroalkyl substances (PFASs) in Fildes Peninsula, King George Island. Antarctica in 2011. All samples were prepared by solid-phase extraction and analyzed by using high performance liquid chromatography/negative electrospray ionization-tandem mass spectrometry (HPLC/(-)ESI-MS/MS). 14 PFASs in snow, 12 PFASs in lake water, 9 PFASs in SRW and 13 PFASs in coastal seawater were quantified, including C-4, C-7, C-8, C-10 PFSAs,C-4-C-9,C-11-C-14, C-16 PFCAs, and FOSA. PFOA was detected in all samples with the highest concentration (15,096 pg/L) in coastal seawater indicating a possible influence of local sewage effluent. High concentration and mostly frequency of PFBA occurred in snow (up to 1112 pg/L), lake water (up to 2670 pg/L) and SRW (1431 pg/L) while detected in the range of method detection limited (MDL) in the coastal seawaters indicate that PFBA is mainly originated from atmospheric dust contamination and also affected by the degradation of their precursors. No geographical differences in PFOS concentrations (n = 8, 18 +/- 3 pg/L) were measured in all snow and lake water samples also suggests that PFOS could be originated from the degradation of their precursors which can transported by long-range atmospheric route, but in a very low level. (C) 2012 Elsevier B.V. All rights reserved.</t>
  </si>
  <si>
    <t>[Cai, Minghong] Polar Res Inst China, SOA Key Lab Polar Sci, Shanghai 200136, Peoples R China; [Cai, Minghong; Yang, Haizhen; Wang, Feng; Lu, Zhibo] Tongji Univ, Coll Environm Sci &amp; Engn, Shanghai 200092, Peoples R China; [Xie, Zhiyong; Zhao, Zhen; Sturm, Renate; Ebinghaus, Ralf] Helmholtz Zentrum Geesthacht, Ctr Mat &amp; Coastal Res, Inst Coastal Res, D-21502 Geesthacht, Germany</t>
  </si>
  <si>
    <t>Polar Research Institute of China; Tongji University; Helmholtz Association; Helmholtz-Zentrum Hereon</t>
  </si>
  <si>
    <t>caiminghong@pric.gov.cn</t>
  </si>
  <si>
    <t>Xie, Zhiyong/E-8436-2014; ZHIBO, LU/HHS-4083-2022</t>
  </si>
  <si>
    <t>National Natural Science Foundation of China [40776003]; State Key Laboratory of Pollution Control and Resource Reuse Foundation (Tongji University) [PCRRY11016]; Key Laboratory of Yangtze River Water Environment, Ministry of Education (Tongji University), China [YRWEY 1006]</t>
  </si>
  <si>
    <t>National Natural Science Foundation of China(National Natural Science Foundation of China (NSFC)); State Key Laboratory of Pollution Control and Resource Reuse Foundation (Tongji University); Key Laboratory of Yangtze River Water Environment, Ministry of Education (Tongji University), China</t>
  </si>
  <si>
    <t>We wish to express our sincere gratitude to all the members of the 27th Chinese National Antarctic Research Expedition (CHINARE-27). This research was supported by the National Natural Science Foundation of China (no. 40776003), State Key Laboratory of Pollution Control and Resource Reuse Foundation (Tongji University) (no. PCRRY11016), and Key Laboratory of Yangtze River Water Environment, Ministry of Education (Tongji University), China (no. YRWEY 1006).</t>
  </si>
  <si>
    <t>0304-3894</t>
  </si>
  <si>
    <t>1873-3336</t>
  </si>
  <si>
    <t>J HAZARD MATER</t>
  </si>
  <si>
    <t>J. Hazard. Mater.</t>
  </si>
  <si>
    <t>10.1016/j.jhazmat.2012.01.030</t>
  </si>
  <si>
    <t>913NM</t>
  </si>
  <si>
    <t>WOS:000301884700042</t>
  </si>
  <si>
    <t>Cai, MH; Ma, YX; Xie, ZY; Zhong, GC; Möller, A; Yang, HZ; Sturm, R; He, JF; Ebinghaus, R; Meng, XZ</t>
  </si>
  <si>
    <t>Cai, Minghong; Ma, Yuxin; Xie, Zhiyong; Zhong, Guangcai; Moeller, Axel; Yang, Haizhen; Sturm, Renate; He, Jianfeng; Ebinghaus, Ralf; Meng, Xiang-Zhou</t>
  </si>
  <si>
    <t>Distribution and air-sea exchange of organochlorine pesticides in the North Pacific and the Arctic</t>
  </si>
  <si>
    <t>PERSISTENT ORGANIC POLLUTANTS; WATER GAS-EXCHANGE; HEXACHLOROCYCLOHEXANES HCHS; BETA-HEXACHLOROCYCLOHEXANE; OCEANIC AIR; ALPHA-HCH; EAST-ASIA; ATMOSPHERE; TRANSPORT; ATLANTIC</t>
  </si>
  <si>
    <t>Surface seawater and boundary layer air samples were collected on the icebreaker Xuelong (Snow Dragon) during the Fourth Chinese Arctic Research Expedition (CHINARE2010) cruise in the North Pacific and Arctic Oceans during 2010. Samples were analyzed for organochlorine pesticides (OCPs), including three isomers of hexachlorocyclohexane (HCH), hexachlorobenzene (HCB), and two isomers of heptachlor epoxide. The gaseous total HCH (Sigma HCHs) concentrations were approximately four times lower (average 12.0 pg m(-3)) than those measured during CHINARE2008 (average 51.4 pg m(-3)), but were comparable to those measured during CHINARE2003 (average 13.4 pg m(-3)) in the same study area. These changes are consistent with the evident retreat of sea ice coverage from 2003 to 2008 and increase of sea ice coverage from 2008 to 2009 and 2010. Gaseous beta-HCH concentrations in the atmosphere were typically below the method detection limit, consistent with the expectation that ocean currents provide the main transport pathway for beta-HCH into the Arctic. The concentrations of all dissolved HCH isomers in seawater increase with increasing latitude, and levels of dissolved HCB also increase (from 5.7 to 7.1 pg L-1) at high latitudes (above 73 degrees N). These results illustrate the role of cold condensation processes in the transport of OCPs. The observed air-sea gas exchange gradients in the Arctic Ocean mainly favored net deposition of OCPs, with the exception of those for beta-HCH, which favored volatilization.</t>
  </si>
  <si>
    <t>[Cai, Minghong; Ma, Yuxin; He, Jianfeng] Polar Res Inst China, SOA Key Lab Polar Sci, Shanghai 200136, Peoples R China; [Xie, Zhiyong; Zhong, Guangcai; Moeller, Axel; Sturm, Renate; Ebinghaus, Ralf] Helmholtz Zentrum Geesthacht Ctr Mat, Inst Coastal Res, D-21502 Geesthacht, Germany; [Xie, Zhiyong; Zhong, Guangcai; Moeller, Axel; Sturm, Renate; Ebinghaus, Ralf] Coastal Res GmbH, D-21502 Geesthacht, Germany; [Cai, Minghong; Ma, Yuxin; Yang, Haizhen; Meng, Xiang-Zhou] Tongji Univ, Coll Environm Sci &amp; Engn, State Key Lab Pollut Control &amp; Resource Reuse, Shanghai 200092, Peoples R China</t>
  </si>
  <si>
    <t>Polar Research Institute of China; Helmholtz Association; Helmholtz-Zentrum Hereon; Tongji University</t>
  </si>
  <si>
    <t>Caiminghong@pric.gov.cn</t>
  </si>
  <si>
    <t>MA, Yuxin/AAG-8630-2020; Xie, Zhiyong/E-8436-2014</t>
  </si>
  <si>
    <t>We wish to express our sincere gratitude to all the members of the 4th Chinese National Arctic Research Expedition. This research was supported by the National Natural Science Foundation of China (40776003) and the Ocean Public Welfare Scientific Research Project, State Oceanic Administration of the People's Republic of China (200805095). We thank P. Huang for field sampling, Volker Matthias (HZG) for help with plotting the BTs, and the Chinese National Arctic and Antarctic Data Center (http://www.chinare.org.cn) for providing the meteorological data.</t>
  </si>
  <si>
    <t>D06311</t>
  </si>
  <si>
    <t>10.1029/2011JD016910</t>
  </si>
  <si>
    <t>WOS:000302237100009</t>
  </si>
  <si>
    <t>Jakobsson, M; Anderson, JB; Nitsche, FO; Gyllencreutz, R; Kirshner, AE; Kirchner, N; O'Regan, M; Mohammad, R; Eriksson, B</t>
  </si>
  <si>
    <t>Jakobsson, Martin; Anderson, John B.; Nitsche, Frank O.; Gyllencreutz, Richard; Kirshner, Alexandra E.; Kirchner, Nina; O'Regan, Matthew; Mohammad, Rezwan; Eriksson, Bjorn</t>
  </si>
  <si>
    <t>Ice sheet retreat dynamics inferred from glacial morphology of the central Pine Island Bay Trough, West Antarctica</t>
  </si>
  <si>
    <t>West Antarctica; Ice streams; Grounding zone wedge; Multibeam</t>
  </si>
  <si>
    <t>SHELF BREAK-UP; SUBGLACIAL TOPOGRAPHY; BOUNDARY-CONDITIONS; AMUNDSEN SEA; BENEATH; LINEATIONS; THICKNESS; HISTORY; MAXIMUM; EXTENT</t>
  </si>
  <si>
    <t>Pine Island Glacier drains portions of the West Antarctic Ice Sheet into the Amundsen Sea. During the Last Glacial Maximum the glacier extended nearly 500 km from its present location onto the outer continental shelf. Unusually restricted sea-ice cover during the austral summer of 2010 allowed for a systematic multibeam swath-bathymetric and chirp sonar survey of the mid-shelf section of Pine Island Trough. The mapped glacial landforms reveal new information about the paleo-Pine Island Ice Stream's dynamic retreat from the mid-shelf area and confirm previous suggestion of a retreat in distinct steps. The periods of grounding line stability during the overall retreat phase are marked by sediment accumulations, i.e. grounding zone wedges. These wedges are here mapped in sufficient detail to characterize spatial dimensions and estimate the volume of deposited sediment. Considering a range of sediment flux rates from the paleo-Pine Island Ice Stream we estimate that the largest and most clearly defined grounding zone wedge, located at about 73 degrees S in the surveyed area, took between 600 and 2000 years to form. The ice stream retreated landward of this wedge before 12.3 cal ka BP. The swath-bathymetric imagery of landforms in Pine Island Trough includes glacial features that suggest that retreat between periods of grounding line stability may be associated with episodes of ice shelf break-up. The depths of grounding line wedges decrease in a landward direction, from 740 to 670 m, and record elevation of the grounding line as it stepped landward. In all, the grounding line elevation varied by only similar to 80 m over a distance of just over 100 km, implying a low ice sheet profile during retreat. Finally, we revisited seismic reflection profile NB9902, acquired along Pine Island Trough in 1999, in combination with the newly acquired swath-bathymetric imagery from 2010. Together these data show that the ice stream paused during its retreat to form grounding zone wedges at an area in central Pine Island Trough where a high in dipping bedrock strata exists and the glacial trough is narrow, forming a bathymetric bottle neck. (C) 2011 Elsevier Ltd. All rights reserved.</t>
  </si>
  <si>
    <t>[Jakobsson, Martin; Gyllencreutz, Richard; Mohammad, Rezwan; Eriksson, Bjorn] Stockholm Univ, Dept Geol Sci, S-10691 Stockholm, Sweden; [Anderson, John B.; Kirshner, Alexandra E.] Rice Univ, Dept Earth Sci, Houston, TX 77005 USA; [Nitsche, Frank O.] Columbia Univ, Lamont Doherty Earth Observ, Palisades, NY 10964 USA; [Kirchner, Nina] Stockholm Univ, Dept Phys Geog &amp; Quaternary Geol, S-10691 Stockholm, Sweden; [O'Regan, Matthew] Cardiff Univ, Sch Earth &amp; Ocean Sci, Cardiff, S Glam, Wales</t>
  </si>
  <si>
    <t>Stockholm University; Rice University; Columbia University; Stockholm University; Cardiff University</t>
  </si>
  <si>
    <t>Jakobsson, M (corresponding author), Stockholm Univ, Dept Geol Sci, S-10691 Stockholm, Sweden.</t>
  </si>
  <si>
    <t>martin.jakobsson@geo.su.se</t>
  </si>
  <si>
    <t>Jakobsson, Martin/F-6214-2010; Jakobsson, Martin/JAN-6828-2023; Anderson, John/B-1011-2012; Nitsche, Frank O/A-9343-2009; O'Regan, Matt/P-6277-2019; Kirshner, Alexandra E/E-5151-2011</t>
  </si>
  <si>
    <t>Nitsche, Frank O/0000-0002-4137-547X; O'Regan, Matt/0000-0002-6046-1488; Jakobsson, Martin/0000-0002-9033-3559; Kirchner, Nina/0000-0002-6371-5527; Gyllencreutz, Richard/0000-0003-3193-8598</t>
  </si>
  <si>
    <t>Swedish Research Council (VR); Swedish Royal Academy of Sciences through Knut and Alice Wallenberg Foundation; Bert Bolin Centre for Climate Research at Stockholm University; NSF [ANT-0838735]; NSF/ARRA [ANT-0837925]; Directorate For Geosciences; Office of Polar Programs (OPP) [0838735] Funding Source: National Science Foundation; Office of Polar Programs (OPP); Directorate For Geosciences [0837925] Funding Source: National Science Foundation</t>
  </si>
  <si>
    <t>Swedish Research Council (VR)(Swedish Research Council); Swedish Royal Academy of Sciences through Knut and Alice Wallenberg Foundation; Bert Bolin Centre for Climate Research at Stockholm University; NSF(National Science Foundation (NSF)); NSF/ARRA; Directorate For Geosciences; Office of Polar Programs (OPP)(National Science Foundation (NSF)NSF - Directorate for Geosciences (GEO)); Office of Polar Programs (OPP); Directorate For Geosciences(National Science Foundation (NSF)NSF - Directorate for Geosciences (GEO))</t>
  </si>
  <si>
    <t>The expedition OSO0910 was carried out as collaboration between Swedish Polar Research Secretariat, the Swedish Research Council and the US National Science Foundation (NSF). We thank the Captain and Crew of the IB Oden. Financial support was received from the Swedish Research Council (VR), the Swedish Royal Academy of Sciences through a grant financed by the Knut and Alice Wallenberg Foundation and the Bert Bolin Centre for Climate Research at Stockholm University. F. Nitsche was supported by NSF grant ANT-0838735 and Anderson by NSF/ARRA grant ANT-0837925. We thank one anonymous reviewer and Alastair Graham for insightful comments that improved the manuscript.</t>
  </si>
  <si>
    <t>10.1016/j.quascirev.2011.12.017</t>
  </si>
  <si>
    <t>927DH</t>
  </si>
  <si>
    <t>WOS:000302886700001</t>
  </si>
  <si>
    <t>Kirshner, AE; Anderson, JB; Jakobsson, M; O'Regan, M; Majewski, W; Nitsche, FO</t>
  </si>
  <si>
    <t>Kirshner, Alexandra E.; Anderson, John B.; Jakobsson, Martin; O'Regan, Matthew; Majewski, Wojciech; Nitsche, Frank O.</t>
  </si>
  <si>
    <t>Post-LGM deglaciation in Pine Island Bay, West Antarctica</t>
  </si>
  <si>
    <t>Pine Island Bay; Amundsen Sea; Last Glacial Maximum; Pine Island Glacier; Subglacial meltwater; Glacial history; Glacial retreat; Grounding line stability; Ice stream; Warm deep water</t>
  </si>
  <si>
    <t>RADIOCARBON AGE CALIBRATION; LAST GLACIAL MAXIMUM; SEA-LEVEL RECORD; ICE-SHEET; AMUNDSEN SEA; CONTINENTAL-SLOPE; MARINE-SEDIMENTS; MASS-BALANCE; ROSS SEA; SHELF</t>
  </si>
  <si>
    <t>To date, understanding of ice sheet retreat within Pine Island Bay (PIB) following the Last Glacial Maximum (LGM) was based on seven radiocarbon dates and only fragmentary seafloor geomorphic evidence. During the austral summer 2009-2010, restricted sea ice cover allowed for the collection of 27 sediment cores from the outer PIB trough region. Combining these cores with data from prior cruises, over 133 cores have been used to conduct a detailed sedimentological facies analysis. These results, augmented by 23 new radiocarbon dates, are used to reconstruct the post-LGM deglacial history of PIB. Our results record a clear retreat stratigraphy in PIB composed of, from top to base; terrigenous sandy silt (distal glacimarine), pebbly sandy mud (ice-proximal glacimarine), and till. Initial retreat from the outer-continental shelf began shortly after the LGM and before 16.4 k cal yr BP, as a likely response to rising sea level. Bedforms in outer PIB document episodic retreat in the form of back-stepping grounding zone wedges and are associated with proximal glacimarine sediments. A sub-ice shelf facies is observed in central PIB and spans similar to 12.3-10.6 k cal yr BR It is possible that widespread impingement of warm water onto the continental shelf caused an abrupt and widespread change from sub-ice shelf sedimentation to distal glacimarine sedimentation dominated by widespread dispersal of terrigenous silt between 7.8 and 7.0 k cal yr BP. The final phase of retreat ended before similar to 1.3 k cal yr BP, when the grounding line migrated to a location near the current ice margin. (C) 2012 Elsevier Ltd. All rights reserved.</t>
  </si>
  <si>
    <t>[Kirshner, Alexandra E.; Anderson, John B.] Rice Univ, Dept Earth Sci, Houston, TX 77005 USA; [Jakobsson, Martin] Stockholm Univ, Dept Geol Sci, S-10691 Stockholm, Sweden; [O'Regan, Matthew] Cardiff Univ, Sch Earth &amp; Ocean Sci, Cardiff, S Glam, Wales; [Majewski, Wojciech] Polish Acad Sci, Inst Paleobiol, PL-00818 Warsaw, Poland; [Nitsche, Frank O.] Columbia Univ, Lamont Doherty Earth Observ, Palisades, NY 10964 USA</t>
  </si>
  <si>
    <t>Rice University; Stockholm University; Cardiff University; Polish Academy of Sciences; Institute of Paleobiology of the Polish Academy of Sciences; Columbia University</t>
  </si>
  <si>
    <t>Kirshner, AE (corresponding author), Rice Univ, Dept Earth Sci, Houston, TX 77005 USA.</t>
  </si>
  <si>
    <t>kirshner@rice.edu</t>
  </si>
  <si>
    <t>Nitsche, Frank O/A-9343-2009; Jakobsson, Martin/JAN-6828-2023; O'Regan, Matt/P-6277-2019; Anderson, John/B-1011-2012; Jakobsson, Martin/F-6214-2010; Kirshner, Alexandra E/E-5151-2011; Majewski, Wojciech/D-9255-2017</t>
  </si>
  <si>
    <t>Nitsche, Frank O/0000-0002-4137-547X; O'Regan, Matt/0000-0002-6046-1488; Jakobsson, Martin/0000-0002-9033-3559; Majewski, Wojciech/0000-0002-5407-1782</t>
  </si>
  <si>
    <t>National Science Foundation Office of Polar Programs ARRA [ANT-0837925, ANT-0838735]; Swedish Research Council (VR); Swedish Royal Academy of Sciences through Knut and Alice Wallenberg Foundation; Bert Bolin Centre for Climate Research at Stockholm; Directorate For Geosciences; Office of Polar Programs (OPP) [0838735, 0837925] Funding Source: National Science Foundation</t>
  </si>
  <si>
    <t>National Science Foundation Office of Polar Programs ARRA; Swedish Research Council (VR)(Swedish Research Council); Swedish Royal Academy of Sciences through Knut and Alice Wallenberg Foundation; Bert Bolin Centre for Climate Research at Stockholm; Directorate For Geosciences; Office of Polar Programs (OPP)(National Science Foundation (NSF)NSF - Directorate for Geosciences (GEO))</t>
  </si>
  <si>
    <t>Expedition OSO0910 was carried out as collaboration between the US National Science Foundation (NSF), the Swedish Polar Research Secretariat, and the Swedish Research Council. Funding for this research was provided by the National Science Foundation Office of Polar Programs grant NSF/ARRA grant ANT-0837925 to J. B. Anderson and grant ANT-0838735 to F. Nitsche. Additional funding was provided to M. Jakobsson from the Swedish Research Council (VR), the Swedish Royal Academy of Sciences through a grant financed by the Knut and Alice Wallenberg Foundation, and the Bert Bolin Centre for Climate Research at Stockholm. We thank the captain and crew of the icebreaker Oden, the entire onboard scientific party, and the Antarctic Marine Research Facility at Florida State University. Reviews from James Smith and an anonymous reviewer greatly improved this manuscript.</t>
  </si>
  <si>
    <t>10.1016/j.quascirev.2012.01.017</t>
  </si>
  <si>
    <t>WOS:000302886700002</t>
  </si>
  <si>
    <t>Posner, M; Kiss, AJ; Skiba, J; Drossman, A; Dolinska, MB; Hejtmancik, JF; Sergeev, YV</t>
  </si>
  <si>
    <t>Posner, Mason; Kiss, Andor J.; Skiba, Jackie; Drossman, Amy; Dolinska, Monika B.; Hejtmancik, J. Fielding; Sergeev, Yuri V.</t>
  </si>
  <si>
    <t>Functional Validation of Hydrophobic Adaptation to Physiological Temperature in the Small Heat Shock Protein αA-crystallin</t>
  </si>
  <si>
    <t>CHAPERONE-LIKE ACTIVITY; ZEBRAFISH DANIO-RERIO; TOOTHFISH DISSOSTICHUS-MAWSONI; DIFFERENT THERMAL ENVIRONMENTS; EYE LENS CRYSTALLINS; B-CRYSTALLIN; PHYLOGENETIC ANALYSIS; MOLECULAR CHAPERONE; MAXIMUM-LIKELIHOOD; SUBUNIT EXCHANGE</t>
  </si>
  <si>
    <t>Small heat shock proteins (sHsps) maintain cellular homeostasis by preventing stress and disease-induced protein aggregation. While it is known that hydrophobicity impacts the ability of sHsps to bind aggregation-prone denaturing proteins, the complex quaternary structure of globular sHsps has made understanding the significance of specific changes in hydrophobicity difficult. Here we used recombinant protein of the lenticular sHsp alpha A-crystallin from six teleost fishes environmentally adapted to temperatures ranging from -2 degrees C to 40 degrees C to identify correlations between physiological temperature, protein stability and chaperone-like activity. Using sequence and structural modeling analysis we identified specific amino acid differences between the warm adapted zebrafish and cold adapted Antarctic toothfish that could contribute to these correlations and validated the functional consequences of three specific hydrophobicity-altering amino acid substitutions in alpha A-crystallin. Site directed mutagenesis of three residues in the zebrafish (V62T, C143S, T147V) confirmed that each impacts either protein stability or chaperone-like activity or both, with the V62T substitution having the greatest impact. Our results indicate a role for changing hydrophobicity in the thermal adaptation of alpha A-crystallin and suggest ways to produce sHsp variants with altered chaperone-like activity. These data also demonstrate that a comparative approach can provide new information about sHsp function and evolution.</t>
  </si>
  <si>
    <t>[Posner, Mason; Skiba, Jackie; Drossman, Amy] Ashland Univ, Dept Biol, Ashland, OH USA; [Kiss, Andor J.] Miami Univ, Dept Zool, Oxford, OH 45056 USA; [Dolinska, Monika B.; Hejtmancik, J. Fielding; Sergeev, Yuri V.] NEI, Ophthalm Genet &amp; Visual Funct Branch, NIH, Bethesda, MD 20892 USA</t>
  </si>
  <si>
    <t>University System of Ohio; Ashland University; University System of Ohio; Miami University; National Institutes of Health (NIH) - USA; NIH National Eye Institute (NEI)</t>
  </si>
  <si>
    <t>Posner, M (corresponding author), Ashland Univ, Dept Biol, Ashland, OH USA.</t>
  </si>
  <si>
    <t>mposner@ashland.edu</t>
  </si>
  <si>
    <t>Kiss, Andor J/E-9863-2016; Posner, Mason/J-9759-2019</t>
  </si>
  <si>
    <t>Kiss, Andor J/0000-0002-7508-0485; Posner, Mason/0000-0003-2817-3395</t>
  </si>
  <si>
    <t>National Eye Institute at the National Institutes of Health [R15 EY13535]</t>
  </si>
  <si>
    <t>National Eye Institute at the National Institutes of Health(United States Department of Health &amp; Human ServicesNational Institutes of Health (NIH) - USANIH National Eye Institute (NEI))</t>
  </si>
  <si>
    <t>This research was funded by grant R15 EY13535 from the National Eye Institute at the National Institutes of Health. http://grants.nih.gov/grants/funding/area.htm. The funders had no role in study design, data collection and analysis, decision to publish, or preparation of the manuscript.</t>
  </si>
  <si>
    <t>MAR 29</t>
  </si>
  <si>
    <t>e34438</t>
  </si>
  <si>
    <t>10.1371/journal.pone.0034438</t>
  </si>
  <si>
    <t>948SR</t>
  </si>
  <si>
    <t>WOS:000304523400084</t>
  </si>
  <si>
    <t>Hoffman, JL; Lund, DC</t>
  </si>
  <si>
    <t>Hoffman, J. L.; Lund, D. C.</t>
  </si>
  <si>
    <t>Refining the stable isotope budget for Antarctic Bottom Water: New foraminiferal data from the abyssal southwest Atlantic</t>
  </si>
  <si>
    <t>OCEAN CIRCULATION; DEEP-WATER; DELTA-C-13; SIGMA-CO2; CARBON; CYCLE</t>
  </si>
  <si>
    <t>Stable isotope tracer budget results suggest the transport to vertical diffusivity ratio for Antarctic Bottom Water (AABW) in the Atlantic was higher at the Last Glacial Maximum (LGM). Reduced mixing across the upper boundary of AABW is consistent with movement of this surface away from the seafloor and may be a factor in sequestering CO2 in the abyssal Atlantic. Two key unknowns in the budget are the isotopic composition of AABW and the spatial representativeness of isolated vertical profiles of delta O-18 and delta C-13. Due to a lack of core material below 3 km water depth, Lund et al. (2011) based their Holocene budget on water column data and their LGM budget on extrapolation of isotopic trends from shallower cores. Here we determine delta O-18 and delta C-13 for AABW using new isotopic records from 3 to 4 km water depth at the Brazil Margin. The core top data yield tracer budget parameters consistent with water column data in the broader Southwest Atlantic. At the LGM, benthic delta O-18 reaches 4.9 parts per thousand at 4 km water depth, the highest LGM delta O-18 value in the published literature. The corresponding delta C-13 of -0.2 parts per thousand is less depleted than expected and &gt;0.5 parts per thousand greater than delta C-13 in the Southeast Atlantic. Our Peclet number estimates suggest delta C-13 acted conservatively during both the Holocene and LGM. Both delta O-18 and delta C-13 imply the transport to vertical diffusivity ratio for AABW was an order of magnitude larger during the LGM, due to enhanced AABW transport or reduced mixing across its upper boundary.</t>
  </si>
  <si>
    <t>[Hoffman, J. L.; Lund, D. C.] Univ Michigan, Dept Earth &amp; Environm Sci, Ann Arbor, MI 48109 USA</t>
  </si>
  <si>
    <t>University of Michigan System; University of Michigan</t>
  </si>
  <si>
    <t>Hoffman, JL (corresponding author), Univ Michigan, Dept Earth &amp; Environm Sci, 2534 CC Little Bldg,1100 N Univ Ave, Ann Arbor, MI 48109 USA.</t>
  </si>
  <si>
    <t>dclund@umich.edu</t>
  </si>
  <si>
    <t>Directorate For Geosciences [1003500] Funding Source: National Science Foundation; Division Of Ocean Sciences [1003500] Funding Source: National Science Foundation</t>
  </si>
  <si>
    <t>Directorate For Geosciences(National Science Foundation (NSF)NSF - Directorate for Geosciences (GEO)); Division Of Ocean Sciences(National Science Foundation (NSF)NSF - Directorate for Geosciences (GEO))</t>
  </si>
  <si>
    <t>PA1213</t>
  </si>
  <si>
    <t>10.1029/2011PA002216</t>
  </si>
  <si>
    <t>918ME</t>
  </si>
  <si>
    <t>WOS:000302253000001</t>
  </si>
  <si>
    <t>Abe, K; Fuke, H; Haino, S; Hams, T; Hasegawa, M; Horikoshi, A; Itazaki, A; Kim, KC; Kumazawa, T; Kusumoto, A; Lee, MH; Makida, Y; Matsuda, S; Matsukawa, Y; Matsumoto, K; Mitchell, JW; Myers, Z; Nishimura, J; Nozaki, M; Orito, R; Ormes, JF; Sakai, K; Sasaki, M; Seo, ES; Shikaze, Y; Shinoda, R; Streitmatter, RE; Suzuki, J; Takasugi, Y; Takeuchi, K; Tanaka, K; Thakur, N; Yamagami, T; Yamamoto, A; Yoshida, T; Yoshimura, K</t>
  </si>
  <si>
    <t>Abe, K.; Fuke, H.; Haino, S.; Hams, T.; Hasegawa, M.; Horikoshi, A.; Itazaki, A.; Kim, K. C.; Kumazawa, T.; Kusumoto, A.; Lee, M. H.; Makida, Y.; Matsuda, S.; Matsukawa, Y.; Matsumoto, K.; Mitchell, J. W.; Myers, Z.; Nishimura, J.; Nozaki, M.; Orito, R.; Ormes, J. F.; Sakai, K.; Sasaki, M.; Seo, E. S.; Shikaze, Y.; Shinoda, R.; Streitmatter, R. E.; Suzuki, J.; Takasugi, Y.; Takeuchi, K.; Tanaka, K.; Thakur, N.; Yamagami, T.; Yamamoto, A.; Yoshida, T.; Yoshimura, K.</t>
  </si>
  <si>
    <t>Search for Antihelium with the BESS-Polar Spectrometer</t>
  </si>
  <si>
    <t>PHYSICAL REVIEW LETTERS</t>
  </si>
  <si>
    <t>RAY ANTIPROTON FLUX; COSMIC-RAYS; ANTIMATTER; RADIATION; ELECTRON; UNIVERSE; PROGRESS; MATTER; LIMIT</t>
  </si>
  <si>
    <t>In two long-duration balloon flights over Antarctica, the Balloon-borne Experiment with a Superconducting Spectrometer (BESS) collaboration has searched for antihelium in the cosmic radiation with the highest sensitivity reported. BESS-Polar I flew in 2004, observing for 8.5 days. BESS-Polar II flew in 2007-2008, observing for 24.5 days. No antihelium candidate was found in BESS-Polar I data among 8.4 x 10(6) vertical bar Z vertical bar = 2 nuclei from 1.0 to 20 GV or in BESS-Polar II data among 4: 0 x 10(7) vertical bar Z vertical bar = 2 nuclei from 1.0 to 14 GV. Assuming antihelium to have the same spectral shape as helium, a 95% confidence upper limit to the possible abundance of antihelium relative to helium of 6.9 x 10(-8) was determined combining all BESS data, including the two BESS-Polar flights. With no assumed antihelium spectrum and a weighted average of the lowest antihelium efficiencies for each flight, an upper limit of 1.0 x 10(-7) from 1.6 to 14 GV was determined for the combined BESS-Polar data. Under both antihelium spectral assumptions, these are the lowest limits obtained to date.</t>
  </si>
  <si>
    <t>[Hams, T.; Mitchell, J. W.; Sasaki, M.; Streitmatter, R. E.] NASA, Goddard Space Flight Ctr, Greenbelt, MD 20771 USA; [Abe, K.; Itazaki, A.; Kusumoto, A.; Matsukawa, Y.; Orito, R.; Shikaze, Y.; Takasugi, Y.; Takeuchi, K.] Kobe Univ, Kobe, Hyogo 6578501, Japan; [Fuke, H.; Yamagami, T.; Yoshida, T.] Japan Aerosp Explorat Agcy ISAS JAXA, Inst Space &amp; Astronaut Sci, Sagamihara, Kanagawa 2525210, Japan; [Haino, S.; Hasegawa, M.; Horikoshi, A.; Kumazawa, T.; Makida, Y.; Matsuda, S.; Matsumoto, K.; Nozaki, M.; Suzuki, J.; Tanaka, K.; Yamamoto, A.; Yoshimura, K.] High Energy Accelerator Res Org KEK, Tsukuba, Ibaraki 3050801, Japan; [Kim, K. C.; Lee, M. H.; Myers, Z.; Seo, E. S.] Univ Maryland, College Pk, MD 20742 USA; [Nishimura, J.; Sakai, K.; Shinoda, R.; Yamamoto, A.] Univ Tokyo, Bunkyo Ku, Tokyo 1130033, Japan; [Ormes, J. F.; Thakur, N.] Univ Denver, Denver, CO 80208 USA</t>
  </si>
  <si>
    <t>National Aeronautics &amp; Space Administration (NASA); NASA Goddard Space Flight Center; Kobe University; Japan Aerospace Exploration Agency (JAXA); Institute of Space &amp; Astronautical Science (ISAS); High Energy Accelerator Research Organization (KEK); University System of Maryland; University of Maryland College Park; University of Tokyo; University of Denver</t>
  </si>
  <si>
    <t>Sasaki, M (corresponding author), NASA, Goddard Space Flight Ctr, Greenbelt, MD 20771 USA.</t>
  </si>
  <si>
    <t>Makoto.Sasaki@nasa.gov</t>
  </si>
  <si>
    <t>, ES/AAN-2324-2020; Haino, Sadakazu/AAP-8315-2021; Koji, Yoshimura/J-9154-2018; Yamamoto, Akira/AAC-1635-2022; Lee, Moo Hyun/AAK-4266-2020</t>
  </si>
  <si>
    <t>Lee, Moo Hyun/0000-0002-4082-1677; Yoshida, Tetsuya/0000-0003-0553-0150; Nozaki, Mitsuaki/0000-0001-7834-9614; Seo, Eun-Suk/0000-0001-8682-805X; HASEGAWA, MASAYA/0000-0003-1443-1082; MAKIDA, Yasuhiro/0000-0003-3638-9970</t>
  </si>
  <si>
    <t>NASA [10-APRA10-0160, NNX10AC48G]; ISAS/JAXA; KEK; MEXT [KAKENHI 13001004, KAKENHI 18104006]; National Science Foundation; Grants-in-Aid for Scientific Research [22540322] Funding Source: KAKEN; NASA [NNX10AC48G, 136244] Funding Source: Federal RePORTER</t>
  </si>
  <si>
    <t>NASA(National Aeronautics &amp; Space Administration (NASA)); ISAS/JAXA; KEK(High Energy Accelerator Research Organization (KEK)); MEXT(Ministry of Education, Culture, Sports, Science and Technology, Japan (MEXT)); National Science Foundation(National Science Foundation (NSF)); Grants-in-Aid for Scientific Research(Ministry of Education, Culture, Sports, Science and Technology, Japan (MEXT)Japan Society for the Promotion of ScienceGrants-in-Aid for Scientific Research (KAKENHI)); NASA(National Aeronautics &amp; Space Administration (NASA))</t>
  </si>
  <si>
    <t>The authors thank NASA Headquarters, ISAS/JAXA, and KEK for continuous support and encouragement in this United States-Japan project. We thank the NASA Balloon Program Office at GSFC/WFF, the NASA Columbia Scientific Balloon Facility, the National Science Foundation, and Raytheon Polar Services for their professional support of the Antarctic flights. BESS-Polar is supported in Japan by MEXT grants KAKENHI (13001004; 18104006), and in the U. S. by NASA (10-APRA10-0160; NNX10AC48G).</t>
  </si>
  <si>
    <t>AMER PHYSICAL SOC</t>
  </si>
  <si>
    <t>COLLEGE PK</t>
  </si>
  <si>
    <t>ONE PHYSICS ELLIPSE, COLLEGE PK, MD 20740-3844 USA</t>
  </si>
  <si>
    <t>0031-9007</t>
  </si>
  <si>
    <t>1079-7114</t>
  </si>
  <si>
    <t>PHYS REV LETT</t>
  </si>
  <si>
    <t>Phys. Rev. Lett.</t>
  </si>
  <si>
    <t>10.1103/PhysRevLett.108.131301</t>
  </si>
  <si>
    <t>916QM</t>
  </si>
  <si>
    <t>WOS:000302118300002</t>
  </si>
  <si>
    <t>Kopp, RE</t>
  </si>
  <si>
    <t>Kopp, Robert E.</t>
  </si>
  <si>
    <t>Tahitian record suggests Antarctic collapse</t>
  </si>
  <si>
    <t>LAST GLACIAL MAXIMUM; MELTWATER PULSE 1A; ICE-SHEET; SEA-LEVEL; CONSTRAINTS</t>
  </si>
  <si>
    <t>[Kopp, Robert E.] Rutgers State Univ, Dept Earth &amp; Planetary Sci, Piscataway, NJ 08854 USA; [Kopp, Robert E.] Rutgers State Univ, Rutgers Energy Inst, Piscataway, NJ 08854 USA</t>
  </si>
  <si>
    <t>Rutgers University System; Rutgers University New Brunswick; Rutgers University System; Rutgers University New Brunswick</t>
  </si>
  <si>
    <t>Kopp, RE (corresponding author), Rutgers State Univ, Dept Earth &amp; Planetary Sci, Piscataway, NJ 08854 USA.</t>
  </si>
  <si>
    <t>robert.kopp@rutgers.edu</t>
  </si>
  <si>
    <t>Kopp, Robert E/B-8822-2008</t>
  </si>
  <si>
    <t>Kopp, Robert/0000-0003-4016-9428</t>
  </si>
  <si>
    <t>10.1038/483549a</t>
  </si>
  <si>
    <t>915EF</t>
  </si>
  <si>
    <t>WOS:000302006100028</t>
  </si>
  <si>
    <t>Kim, JH; Crosta, X; Willmott, V; Renssen, H; Bonnin, J; Helmke, P; Schouten, S; Damsté, JSS</t>
  </si>
  <si>
    <t>Kim, Jung-Hyun; Crosta, Xavier; Willmott, Veronica; Renssen, Hans; Bonnin, Jerome; Helmke, Peer; Schouten, Stefan; Damste, Jaap S. Sinninghe</t>
  </si>
  <si>
    <t>Holocene subsurface temperature variability in the eastern Antarctic continental margin</t>
  </si>
  <si>
    <t>SEA-SURFACE TEMPERATURE; SOUTHERN-OCEAN; TEX86 PALEOTHERMOMETRY; CLIMATE EVOLUTION; MEMBRANE-LIPIDS; ATLANTIC SECTOR; COASTAL WATERS; ADELIE LAND; PENINSULA; DIATOM</t>
  </si>
  <si>
    <t>We reconstructed subsurface (similar to 45-200 m water depth) temperature variability in the eastern Antarctic continental margin during the late Holocene, using an archaeal lipid-based temperature proxy (TEX86 L). Our results reveal that subsurface temperature changes were probably positively coupled to the variability of warmer, nutrient-rich Modified Circumpolar Deep Water (MCDW, deep water of the Antarctic circumpolar current) intrusion onto the continental shelf. The TEX86 L record, in combination with previously published climatic records, indicates that this coupling was probably related to the thermohaline circulation, seasonal variability in sea ice extent, sea temperature, and wind associated with high frequency climate dynamics at low-latitudes such as internal El Nino Southern Oscillation (ENSO). This in turn suggests a linkage between centennial ENSO-like variability at low-latitudes and intrusion variability of MCDW into the eastern Antarctic continental shelf, which might have further impact on ice sheet evolution. Citation: Kim, J.-H., X. Crosta, V. Willmott, H. Renssen, J. Bonnin, P. Helmke, S. Schouten, and J. S. Sinninghe Damste (2012), Holocene subsurface temperature variability in the eastern Antarctic continental margin, Geophys. Res. Lett., 39, L06705, doi:10.1029/2012GL051157.</t>
  </si>
  <si>
    <t>[Kim, Jung-Hyun; Willmott, Veronica; Schouten, Stefan; Damste, Jaap S. Sinninghe] NIOZ Royal Netherlands Inst Sea Res, Dept Marine Organ Biogeochem, NL-1790 AB Den Burg, Netherlands; [Crosta, Xavier; Bonnin, Jerome] Univ Bordeaux, UMR 5805, EPOC, Talence, France; [Helmke, Peer] Edith Cowan Univ, Sch Nat Sci, Joondalup, WA 6027, Australia; [Renssen, Hans] Vrije Univ Amsterdam, Fac Earth &amp; Life Sci, NL-1081 HV Amsterdam, Netherlands; [Willmott, Veronica] Alfred Wegener Inst Polar &amp; Marine Res, D-27570 Bremerhaven, Germany</t>
  </si>
  <si>
    <t>Utrecht University; Royal Netherlands Institute for Sea Research (NIOZ); Centre National de la Recherche Scientifique (CNRS); CNRS - National Institute for Earth Sciences &amp; Astronomy (INSU); Universite de Bordeaux; Edith Cowan University; Vrije Universiteit Amsterdam; Helmholtz Association; Alfred Wegener Institute, Helmholtz Centre for Polar &amp; Marine Research</t>
  </si>
  <si>
    <t>Kim, JH (corresponding author), NIOZ Royal Netherlands Inst Sea Res, Dept Marine Organ Biogeochem, POB 59, NL-1790 AB Den Burg, Netherlands.</t>
  </si>
  <si>
    <t>jung-hyun.kim@nioz.nl</t>
  </si>
  <si>
    <t>Willmott Puig, Veronica/AGN-3478-2022; Sinninghe Damste, Jaap/F-6128-2011</t>
  </si>
  <si>
    <t>Willmott Puig, Veronica/0000-0002-6552-8901; Sinninghe Damste, Jaap/0000-0002-8683-1854</t>
  </si>
  <si>
    <t>INSU-CNRS in France; VICI from Netherlands Organisation for Scientific Research; European Research Council under the European Union [226600]; INSU-CNRS TARDHOL; ESF Polar Climate HOLOCLIP; European Research Council (ERC) [226600] Funding Source: European Research Council (ERC)</t>
  </si>
  <si>
    <t>INSU-CNRS in France; VICI from Netherlands Organisation for Scientific Research; European Research Council under the European Union(European Research Council (ERC)); INSU-CNRS TARDHOL; ESF Polar Climate HOLOCLIP; European Research Council (ERC)(European Research Council (ERC)Spanish Government)</t>
  </si>
  <si>
    <t>We would like to thank J. Ossebaar and M. Kienhuis at NIOZ for analytical supports and F. Taylor (University of Tasmania) and B. Stenni (University of Trieste) for providing data. This paper was written during JHK's stay at EPOC, as an invited scientist funded by the INSU-CNRS in France. SS and VW were supported by a VICI grant from the Netherlands Organisation for Scientific Research. The research leading to these results has received funding from the European Research Council under the European Union's Seventh Framework Programme (FP7/2007-2013) / ERC grant agreement [226600]. XC was funded by INSU-CNRS TARDHOL and ESF Polar Climate HOLOCLIP projects (HOLOCLIP publication 6).</t>
  </si>
  <si>
    <t>MAR 28</t>
  </si>
  <si>
    <t>L06705</t>
  </si>
  <si>
    <t>10.1029/2012GL051157</t>
  </si>
  <si>
    <t>918FP</t>
  </si>
  <si>
    <t>WOS:000302235000004</t>
  </si>
  <si>
    <t>Legrand, M; Gros, V; Preunkert, S; Sarda-Estève, R; Thierry, AM; Pépy, G; Jourdain, B</t>
  </si>
  <si>
    <t>Legrand, Michel; Gros, Valerie; Preunkert, Susanne; Sarda-Esteve, Roland; Thierry, Anne-Mathilde; Pepy, Guillaume; Jourdain, B.</t>
  </si>
  <si>
    <t>A reassessment of the budget of formic and acetic acids in the boundary layer at Dumont d'Urville (coastal Antarctica): The role of penguin emissions on the budget of several oxygenated volatile organic compounds</t>
  </si>
  <si>
    <t>NONMETHANE HYDROCARBONS; CARBOXYLIC-ACIDS; ORNITHOGENIC SOILS; MARINE TROPOSPHERE; ATLANTIC-OCEAN; ROUND RECORDS; GAS; CHEMISTRY; PHASE; AEROSOL</t>
  </si>
  <si>
    <t>Initiated in 1997, the year-round study of formic and acetic acids was maintained until 2011 at the coastal Antarctic site of Dumont d'Urville. The records show that formic and acetic acids are rather abundant in summer with typical mixing ratios of 200 pptv and 700 pptv, respectively. With the aim to constrain their budget, investigations of their potential marine precursors like short-chain alkenes and acetaldehyde were initiated in 2011. Acetic acid levels in December 2010 were four times higher than those observed over summers back to 1997. These unusually high levels were accompanied by unusually high levels of ammonia, and by an enrichment of oxalate in aerosols. These observations suggest that the guano decomposition in the large penguin colonies present at the site was particularly strong under weather conditions encountered in spring 2010 (important snow storms followed by sunny days with mild temperatures). Although being dependent on environmental conditions, this process greatly impacts the local atmospheric budget of acetic acid, acetaldehyde, and acetone during the entire summer season. Present at levels as high as 500 pptv, acetaldehyde may represent the major precursor of acetic acid, alkene-ozone reactions remaining insignificant sources. Far less influenced by penguin emissions, the budget of formic acid remains not fully understood even if alkene-ozone reactions contribute significantly.</t>
  </si>
  <si>
    <t>[Legrand, Michel; Preunkert, Susanne; Pepy, Guillaume; Jourdain, B.] UJF Grenoble 1 CNRS, Lab Glaciol &amp; Geophys Environm UMR 5183, F-38041 Grenoble, France; [Gros, Valerie; Sarda-Esteve, Roland] Unite Mixte CEA CNRS UVSQ, Lab Sci Climat &amp; Environm, F-91191 Gif Sur Yvette, France; [Thierry, Anne-Mathilde] UMR7178 CNRS UdS, Inst Pluridisciplinaire Hubert Curien, Dept Ecol Physiol &amp; Ethol, F-67037 Strasbourg, France</t>
  </si>
  <si>
    <t>Centre National de la Recherche Scientifique (CNRS); Communaute Universite Grenoble Alpes; Universite Grenoble Alpes (UGA); Universite Paris Saclay; CEA; Centre National de la Recherche Scientifique (CNRS); Centre National de la Recherche Scientifique (CNRS); CNRS - National Institute of Nuclear and Particle Physics (IN2P3)</t>
  </si>
  <si>
    <t>Legrand, M (corresponding author), UJF Grenoble 1 CNRS, Lab Glaciol &amp; Geophys Environm UMR 5183, F-38041 Grenoble, France.</t>
  </si>
  <si>
    <t>mimi@lgge.obs.ujf-grenoble.fr</t>
  </si>
  <si>
    <t>Legrand, Michel/AAU-4678-2020; Thierry, Anne-Mathilde/A-1715-2010</t>
  </si>
  <si>
    <t>Thierry, Anne-Mathilde/0000-0002-0483-5131</t>
  </si>
  <si>
    <t>Institut Polaire Francais-Paul Emile Victor (IPEV) [414]; Centre National de la Recherche Scientifique (INSU), CEA; region Ile de France; ANR (Agence National de Recherche) [ANR-09-BLAN-0226]; Agence Nationale de la Recherche (ANR) [ANR-09-BLAN-0226] Funding Source: Agence Nationale de la Recherche (ANR)</t>
  </si>
  <si>
    <t>Institut Polaire Francais-Paul Emile Victor (IPEV); Centre National de la Recherche Scientifique (INSU), CEA; region Ile de France(Region Ile-de-France); ANR (Agence National de Recherche)(Agence Nationale de la Recherche (ANR)); Agence Nationale de la Recherche (ANR)(Agence Nationale de la Recherche (ANR))</t>
  </si>
  <si>
    <t>We thank the over-wintering crews at Dumont d'Urville and Concordia for careful sample collection as well as performing the measurements at Dumont d'Urville. We thank Mireille RACCURT from laboratoire de Physiologie Integrative, Cellulaire et Moleculaire-PICM (CNRS, Universite Lyon 1) for fruitful discussions during the summer campaign. We thank Meteo France, who provides us meteorological data. National financial support and field logistic supplies for winter and summer campaigns were provided by Institut Polaire Francais-Paul Emile Victor (IPEV) within program 414. This work was also partly funded by the Centre National de la Recherche Scientifique (INSU), CEA and the region Ile de France, and the OPALE project supported by the ANR (Agence National de Recherche, contract ANR-09-BLAN-0226).</t>
  </si>
  <si>
    <t>MAR 27</t>
  </si>
  <si>
    <t>D06308</t>
  </si>
  <si>
    <t>10.1029/2011JD017102</t>
  </si>
  <si>
    <t>918GE</t>
  </si>
  <si>
    <t>WOS:000302236500007</t>
  </si>
  <si>
    <t>Wang, Q; Danilov, S; Fahrbach, E; Schröter, J; Jung, T</t>
  </si>
  <si>
    <t>Wang, Q.; Danilov, S.; Fahrbach, E.; Schroeter, J.; Jung, T.</t>
  </si>
  <si>
    <t>On the impact of wind forcing on the seasonal variability of Weddell Sea Bottom Water transport</t>
  </si>
  <si>
    <t>OCEAN MODEL; CIRCULATION</t>
  </si>
  <si>
    <t>The seasonal variability of Weddell Sea Bottom Water (WSBW) transport and its driving mechanisms are examined using FESOM simulations. Pronounced seasonal variability is present in both the Filchner shelf water export rate and the WSBW transport rate near the Antarctic Peninsula (AP) tip. The variabilities at both locations are linked to the surface wind forcing. The Filchner shelf water export rate responds to the onshore propagating density anomaly, which is caused by the wind-induced variation of the isopycnal depression at the coast. The variability near the AP tip originates from upstream variations at the Filchner Depression and from seasonal variability of the Weddell gyre strength. Citation: Wang, Q., S. Danilov, E. Fahrbach, J. Schroter, and T. Jung (2012), On the impact of wind forcing on the seasonal variability of Weddell Sea Bottom Water transport, Geophys. Res. Lett., 39, L06603, doi:10.1029/2012GL051198.</t>
  </si>
  <si>
    <t>[Wang, Q.; Danilov, S.; Fahrbach, E.; Schroeter, J.; Jung, T.] Alfred Wegener Inst Polar &amp; Marine Res, D-27515 Bremerhaven, Germany</t>
  </si>
  <si>
    <t>Wang, Q (corresponding author), Alfred Wegener Inst Polar &amp; Marine Res, POB 12 01 61, D-27515 Bremerhaven, Germany.</t>
  </si>
  <si>
    <t>qiang.wang@awi.de; sergey.danilov@awi.de; eberhard.fahrbach@awi.de; jens.schroeter@awi.de; thomas.jung@awi.de</t>
  </si>
  <si>
    <t>Schröter, Jens G/H-8806-2016; Jung, Thomas/J-5239-2012; Danilov, Sergey/S-6184-2016</t>
  </si>
  <si>
    <t>Schröter, Jens G/0000-0002-9240-5798; Jung, Thomas/0000-0002-2651-1293; Danilov, Sergey/0000-0001-8098-182X; Wang, Qiang/0000-0002-2704-5394</t>
  </si>
  <si>
    <t>L06603</t>
  </si>
  <si>
    <t>10.1029/2012GL051198</t>
  </si>
  <si>
    <t>918FO</t>
  </si>
  <si>
    <t>WOS:000302234900004</t>
  </si>
  <si>
    <t>Kravchenko, I; Hussain, S; Seckel, D; Besson, D; Fensholt, E; Ralston, J; Taylor, J; Ratzlaff, K; Young, R</t>
  </si>
  <si>
    <t>Kravchenko, I.; Hussain, S.; Seckel, D.; Besson, D.; Fensholt, E.; Ralston, J.; Taylor, J.; Ratzlaff, K.; Young, R.</t>
  </si>
  <si>
    <t>Updated results from the RICE experiment and future prospects for ultra-high energy neutrino detection at the south pole</t>
  </si>
  <si>
    <t>PHYSICAL REVIEW D</t>
  </si>
  <si>
    <t>AIR-SHOWERS; FLUX; PERFORMANCE; SIMULATION; EMISSION; CHARGE; LIMITS; SALT</t>
  </si>
  <si>
    <t>The RICE experiment seeks observation of ultra-high energy (UHE; E-nu &gt; 10(17) eV) neutrinos interacting in Antarctic ice, by measurement of the radio frequency (RF) Cherenkov radiation resulting from the collision of a neutrino with an ice molecule. RICE was initiated in 1999 as a first-generation prototype for an eventual, large-scale in-ice UHE neutrino detector. Herein, we present updated limits on the diffuse UHE neutrino flux, based on 12 years of data taken between 1999 and 2010. We find no convincing neutrino candidates, resulting in 95% confidence-level model-dependent limits on the flux E(nu)(2)d phi/dE(nu) &lt; 0: 5 X 10(-6) GeV= (cm(2) s-sr) in the energy range 10(17) &lt; E-nu &lt; 10(20) eV, or approximately a twofold improvement over our previously published results. Recently, the focus of RICE science has shifted to studies of radio frequency ice properties as the RICE experimental hardware has been absorbed into a new experimental initiative (the Askaryan Radio Array, or ARA) at the south pole. ARA seeks to improve on the RICE sensitivity by approximately 2 orders of magnitude by 2017 and thereby establish the cosmogenic neutrino flux. As detailed herein, RICE studies of Antarctic ice demonstrate that both birefringence and internal layer RF scattering result in no significant loss of ARA neutrino sensitivity, and, for the first time, verify in situ the decrease in attenuation length with depth into the Antarctic ice sheet.</t>
  </si>
  <si>
    <t>[Kravchenko, I.] Univ Nebraska, Dept Phys &amp; Astron, Lincoln, NE 68588 USA; [Hussain, S.; Seckel, D.] Univ Delaware, Bartol Res Inst, Newark, DE 19716 USA; [Hussain, S.; Seckel, D.] Univ Delaware, Dept Phys &amp; Astron, Newark, DE 19716 USA; [Besson, D.; Fensholt, E.; Ralston, J.; Taylor, J.] Univ Kansas, Dept Phys &amp; Astron, Lawrence, KS 66045 USA; [Ratzlaff, K.; Young, R.] Univ Kansas, Instrumentat Design Lab, Lawrence, KS 66045 USA</t>
  </si>
  <si>
    <t>University of Nebraska System; University of Nebraska Lincoln; University of Delaware; University of Delaware; University of Kansas; University of Kansas</t>
  </si>
  <si>
    <t>Kravchenko, I (corresponding author), Univ Nebraska, Dept Phys &amp; Astron, Lincoln, NE 68588 USA.</t>
  </si>
  <si>
    <t>Ratzlaff, Kenneth/G-6221-2017</t>
  </si>
  <si>
    <t>Ralston, John/0000-0002-9296-6018</t>
  </si>
  <si>
    <t>National Science Foundation's Office of Polar Programs [OPP-0826747]; QuarkNet programs; Division Of Physics; Direct For Mathematical &amp; Physical Scien [0970004] Funding Source: National Science Foundation</t>
  </si>
  <si>
    <t>National Science Foundation's Office of Polar Programs(National Science Foundation (NSF)); QuarkNet programs; Division Of Physics; Direct For Mathematical &amp; Physical Scien(National Science Foundation (NSF)NSF - Directorate for Mathematical &amp; Physical Sciences (MPS))</t>
  </si>
  <si>
    <t>The authors particularly thank C. Allen (University of Kansas) for very helpful discussions, as well as our colleagues on the RICE and ANITA experiments. We also thank A. Bricker of Lawrence High School (Lawrence, KS) for his assistance in working with the Lawrence and Free State High School students. We also thank the winterovers at the south pole station (Xinhua Bai, The Most Rev. A. Baker, P. Braughton, C. Hammock, M. Offenbacher, M. Noske, N. Hart-Michel, R. Fuhrman, F. Hamblin, and N. Strehl) whose efforts were essential to the operation of this experiment. S. Grullon contributed the ROOT software code used to produce the upper limit compilation presented in this article. This work was supported by the National Science Foundation's Office of Polar Programs under Grant No. OPP-0826747 and the QuarkNet programs.</t>
  </si>
  <si>
    <t>1550-7998</t>
  </si>
  <si>
    <t>1550-2368</t>
  </si>
  <si>
    <t>PHYS REV D</t>
  </si>
  <si>
    <t>Phys. Rev. D</t>
  </si>
  <si>
    <t>10.1103/PhysRevD.85.062004</t>
  </si>
  <si>
    <t>Astronomy &amp; Astrophysics; Physics, Particles &amp; Fields</t>
  </si>
  <si>
    <t>Astronomy &amp; Astrophysics; Physics</t>
  </si>
  <si>
    <t>914SW</t>
  </si>
  <si>
    <t>Green Submitted, hybrid, Green Accepted</t>
  </si>
  <si>
    <t>WOS:000301973600001</t>
  </si>
  <si>
    <t>Baird, HP; Miller, KJ; Stark, JS</t>
  </si>
  <si>
    <t>Baird, Helena Phoenix; Miller, Karen Joy; Stark, Jonathan Sean</t>
  </si>
  <si>
    <t>Genetic Population Structure in the Antarctic Benthos: Insights from the Widespread Amphipod, Orchomenella franklini</t>
  </si>
  <si>
    <t>BROODING BRITTLE STAR; SOUTHERN-OCEAN; MITOCHONDRIAL LINEAGES; MCMURDO-STATION; CLIMATE-CHANGE; CASEY STATION; TELL US; DIFFERENTIATION; DIVERSITY; MARKERS</t>
  </si>
  <si>
    <t>Currently there is very limited understanding of genetic population structure in the Antarctic benthos. We conducted one of the first studies of microsatellite variation in an Antarctic benthic invertebrate, using the ubiquitous amphipod Orchomenella franklini (Walker, 1903). Seven microsatellite loci were used to assess genetic structure on three spatial scales: sites (100 s of metres), locations (1-10 kilometres) and regions (1000 s of kilometres) sampled in East Antarctica at Casey and Davis stations. Considerable genetic diversity was revealed, which varied between the two regions and also between polluted and unpolluted sites. Genetic differentiation among all populations was highly significant (F-ST = 0.086, R-ST = 0.139, p &lt; 0.001) consistent with the brooding mode of development in O. franklini. Hierarchical AMOVA revealed that the majority of the genetic subdivision occurred across the largest geographical scale, with N(e)m approximate to 1 suggesting insufficient gene flow to prevent independent evolution of the two regions, i.e., Casey and Davis are effectively isolated. Isolation by distance was detected at smaller scales and indicates that gene flow in O. franklini occurs primarily through stepping-stone dispersal. Three of the microsatellite loci showed signs of selection, providing evidence that localised adaptation may occur within the Antarctic benthos. These results provide insights into processes of speciation in Antarctic brooders, and will help inform the design of spatial management initiatives recently endorsed for the Antarctic benthos.</t>
  </si>
  <si>
    <t>[Baird, Helena Phoenix; Miller, Karen Joy] Univ Tasmania, Inst Marine &amp; Antarctic Studies, Hobart, Tas, Australia; [Miller, Karen Joy; Stark, Jonathan Sean] Australian Antarctic Div, Kingston, Tas, Australia</t>
  </si>
  <si>
    <t>University of Tasmania; Australian Antarctic Division</t>
  </si>
  <si>
    <t>Baird, HP (corresponding author), Univ Tasmania, Inst Marine &amp; Antarctic Studies, Hobart, Tas, Australia.</t>
  </si>
  <si>
    <t>hpbaird@utas.edu.au</t>
  </si>
  <si>
    <t>Miller, Karen/V-4098-2019; Stark, Jonathan/ABF-4025-2020; Miller, Karen/A-7902-2011</t>
  </si>
  <si>
    <t>Stark, Jonathan/0000-0002-4268-8072; Baird, Helena/0000-0002-7560-8331</t>
  </si>
  <si>
    <t>Australian Antarctic Division; Institute for Marine and Antarctic Studies; ANZ Trustees Foundation Holsworth Wildlife Research Endowment</t>
  </si>
  <si>
    <t>This work was supported by the Australian Antarctic Division (www.antarctica.gov.au/), the Institute for Marine and Antarctic Studies (http://www.imas.utas.edu.au/), and ANZ Trustees Foundation Holsworth Wildlife Research Endowment (http://www.anz.com/personal/private-bank-trustees/trustees/apply-grant/named-charitable-trusts/). The funders had no role in study design, data collection and analysis, decision to publish, or preparation of the manuscript.</t>
  </si>
  <si>
    <t>e34363</t>
  </si>
  <si>
    <t>10.1371/journal.pone.0034363</t>
  </si>
  <si>
    <t>940MY</t>
  </si>
  <si>
    <t>WOS:000303894900085</t>
  </si>
  <si>
    <t>Chown, SL; Huiskes, AHL; Gremmen, NJM; Lee, JE; Terauds, A; Crosbie, K; Frenot, Y; Hughes, KA; Imura, S; Kiefer, K; Lebouvier, M; Raymond, B; Tsujimoto, M; Ware, C; Van de Vijver, B; Bergstrom, DM</t>
  </si>
  <si>
    <t>Chown, Steven L.; Huiskes, Ad H. L.; Gremmen, Niek J. M.; Lee, Jennifer E.; Terauds, Aleks; Crosbie, Kim; Frenot, Yves; Hughes, Kevin A.; Imura, Satoshi; Kiefer, Kate; Lebouvier, Marc; Raymond, Ben; Tsujimoto, Megumu; Ware, Chris; Van de Vijver, Bart; Bergstrom, Dana Michelle</t>
  </si>
  <si>
    <t>Continent-wide risk assessment for the establishment of nonindigenous species in Antarctica</t>
  </si>
  <si>
    <t>biological invasions; biosecurity; mitigation; propagule pressure; unintentional introductions</t>
  </si>
  <si>
    <t>BIOLOGICAL INVASIONS; IMPACTS; PLANTS; TRANSPORTATION; BIOSECURITY; GERMINATION; PATHWAYS</t>
  </si>
  <si>
    <t>Invasive alien species are among the primary causes of biodiversity change globally, with the risks thereof broadly understood for most regions of the world. They are similarly thought to be among the most significant conservation threats to Antarctica, especially as climate change proceeds in the region. However, no comprehensive, continent-wide evaluation of the risks to Antarctica posed by such species has been undertaken. Here we do so by sampling, identifying, and mapping the vascular plant propagules carried by all categories of visitors to Antarctica during the International Polar Year's first season (2007-2008) and assessing propagule establishment likelihood based on their identity and origins and on spatial variation in Antarctica's climate. For an evaluation of the situation in 2100, we use modeled climates based on the Intergovernmental Panel on Climate Change's Special Report on Emissions Scenarios Scenario A1B [Nakicenovic N, Swart R, eds (2000) Special Report on Emissions Scenarios: A Special Report of Working Group III of the Intergovernmental Panel on Climate Change (Cambridge University Press, Cambridge, UK)]. Visitors carrying seeds average 9.5 seeds per person, although as vectors, scientists carry greater propagule loads than tourists. Annual tourist numbers (similar to 33,054) are higher than those of scientists (similar to 7,085), thus tempering these differences in propagule load. Alien species establishment is currently most likely for the Western Antarctic Peninsula. Recent founder populations of several alien species in this area corroborate these findings. With climate change, risks will grow in the Antarctic Peninsula, Ross Sea, and East Antarctic coastal regions. Our evidence-based assessment demonstrates which parts of Antarctica are at growing risk from alien species that may become invasive and provides the means to mitigate this threat now and into the future as the continent's climate changes.</t>
  </si>
  <si>
    <t>[Chown, Steven L.; Lee, Jennifer E.; Terauds, Aleks] Univ Stellenbosch, Dept Bot &amp; Zool, Ctr Invas Biol, ZA-7602 Matieland, South Africa; [Huiskes, Ad H. L.; Gremmen, Niek J. M.] Netherlands Inst Ecol, NL-4400 AC Yerseke, Netherlands; [Terauds, Aleks; Kiefer, Kate; Raymond, Ben; Ware, Chris; Bergstrom, Dana Michelle] Australian Antarctic Div, Dept Sustainabil Environm Water Populat &amp; Communi, Kingston, Tas 7050, Australia; [Crosbie, Kim] Int Assoc Antarctica Tour Operators, Providence, RI 02906 USA; [Frenot, Yves] French Polar Inst Paul Emile Victor, F-29280 Plouzane, France; [Hughes, Kevin A.] British Antarctic Survey, Nat Environm Res Council, Cambridge CB3 0ET, England; [Imura, Satoshi] Natl Inst Polar Res, Tokyo 1908518, Japan; [Lebouvier, Marc] Univ Rennes 1, Ctr Natl Rech Sci, Stn Biol, Unite Mixte Rech Ecobio, F-35380 Paimpont, France; [Tsujimoto, Megumu] Grad Univ Adv Studies, Tachikawa, Tokyo 1908518, Japan; [Tsujimoto, Megumu] Japan Soc Promot Sci, Tokyo 1028472, Japan; [Van de Vijver, Bart] Natl Bot Garden Belgium, B-1860 Meise, Belgium</t>
  </si>
  <si>
    <t>Stellenbosch University; Royal Netherlands Academy of Arts &amp; Sciences; Netherlands Institute of Ecology (NIOO-KNAW); Australian Antarctic Division; UK Research &amp; Innovation (UKRI); Natural Environment Research Council (NERC); NERC British Antarctic Survey; Research Organization of Information &amp; Systems (ROIS); National Institute of Polar Research (NIPR) - Japan; Universite de Rennes; Centre National de la Recherche Scientifique (CNRS); Graduate University for Advanced Studies - Japan; Japan Society for the Promotion of Science</t>
  </si>
  <si>
    <t>Chown, SL (corresponding author), Univ Stellenbosch, Dept Bot &amp; Zool, Ctr Invas Biol, ZA-7602 Matieland, South Africa.</t>
  </si>
  <si>
    <t>slchown@sun.ac.za</t>
  </si>
  <si>
    <t>Tsujimoto, Megumu/JCE-5500-2023; Terauds, Aleks/A-4991-2010; Chown, Steven/ABD-7646-2021; Ware, Chris J/N-4465-2016; Hughes, Kevin/JVZ-0793-2024; Bergstrom, Dana/AAC-2837-2022; Chown, Steven/H-3347-2011</t>
  </si>
  <si>
    <t>Tsujimoto, Megumu/0000-0001-5160-6086; Bergstrom, Dana/0000-0001-8484-8954; Frenot, Yves/0000-0003-2666-1272; Chown, Steven/0000-0001-6069-5105</t>
  </si>
  <si>
    <t>Netherlands Polar Program [851.20.040]; Scientific Committee on Antarctic Research; NERC [bas0100025] Funding Source: UKRI; Natural Environment Research Council [bas0100025] Funding Source: researchfish; Grants-in-Aid for Scientific Research [23247012] Funding Source: KAKEN</t>
  </si>
  <si>
    <t>Netherlands Polar Program; Scientific Committee on Antarctic Research; NERC(UK Research &amp; Innovation (UKRI)Natural Environment Research Council (NERC));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t>
  </si>
  <si>
    <t>We thank the participants in the International Polar Year Project Aliens in Antarctica for their assistance; and Tim Blackburn, Phil Hulme, Mahlon Kennicutt, Melodie McGeoch, Dave Richardson, Justine Shaw, and two anonymous reviewers for commenting on a previous version of the manuscript. Randstad Data Management (Rotterdam, The Netherlands) assisted with questionnaire analysis. Philips Netherlands, Ltd. (Eindhoven, The Netherlands) donated the vacuum cleaners. This work was supported by our institutions, Netherlands Polar Program Grant 851.20.040, and the Scientific Committee on Antarctic Research.</t>
  </si>
  <si>
    <t>10.1073/pnas.1119787109</t>
  </si>
  <si>
    <t>917HT</t>
  </si>
  <si>
    <t>WOS:000302164200049</t>
  </si>
  <si>
    <t>Pavithran, S; Anilkumar, N; Krishnan, KP; Noronha, SB; George, JV; Nanajkar, M; Chacko, R; Dessai, DRG; Achuthankutty, CT</t>
  </si>
  <si>
    <t>Pavithran, S.; Anilkumar, N.; Krishnan, K. P.; Noronha, Sharon B.; George, Jenson V.; Nanajkar, M.; Chacko, Racheal; Dessai, D. R. G.; Achuthankutty, C. T.</t>
  </si>
  <si>
    <t>Contrasting pattern in chlorophyll a distribution within the Polar Front of the Indian sector of Southern Ocean during austral summer 2010</t>
  </si>
  <si>
    <t>CURRENT SCIENCE</t>
  </si>
  <si>
    <t>Austral summer; chlorophyll a; mesozooplankton; Polar Front</t>
  </si>
  <si>
    <t>GRAZING IMPACT; SURFACE CHLOROPHYLL; COMMUNITY STRUCTURE; MESOZOOPLANKTON; IRON; PHYTOPLANKTON; ABUNDANCE; ZONE</t>
  </si>
  <si>
    <t>A contrasting pattern in chlorophyll a (CM a) distribution observed within the Polar Front (52 degrees S and 56 degrees S along 57 degrees 30'E) in the Indian sector of the Southern Ocean during the 2010 austral summer is reported here. At 52 degrees S, Chl a concentration ranged from 0.08 (30 m) to 0.69 mg m(-3) (70 m), whereas at 56 degrees S it was below detection level at all depths. Nutrients and light intensity were not found to be limiting the primary production at both stations. It appears that different types of food webs operating in the two locations within the front might have been responsible for causing the contrasting pattern in Chl a distribution. At 56 degrees S, large adult copepods and salps were abundant in the mesozooplankton community, which might have been exerting high grazing pressure on the phytoplankton community (conventional food web), thereby lowering the Chl a concentration. At 52 degrees S, on the other hand, Chl a concentration was relatively high because the small-sized copepods and copepodites which were more abundant here, might have preferred feeding on microzooplankton (20-200 mu M size) over phytoplankton (microbial food web). The high total bacterial count observed at this station is also in support of the prevalence of the microbial food web. It could be deduced from the study that distinct biological regimes may be existing within the same frontal regions in the Southern Ocean, depending on the type of food-web dynamics prevailing. More intensive sampling within the frontal regions is imperative in understanding the various biological processes so as to evaluate the productivity potential of the Southern Ocean.</t>
  </si>
  <si>
    <t>[Pavithran, S.; Anilkumar, N.; Krishnan, K. P.; Noronha, Sharon B.; George, Jenson V.; Nanajkar, M.; Chacko, Racheal; Dessai, D. R. G.; Achuthankutty, C. T.] Natl Ctr Antarctic &amp; Ocean Res, Goa 403804, India</t>
  </si>
  <si>
    <t>Ministry of Earth Sciences (MoES) - India; National Centre for Polar and Ocean Research (NCPOR)</t>
  </si>
  <si>
    <t>Pavithran, S (corresponding author), Natl Ctr Antarctic &amp; Ocean Res, Goa 403804, India.</t>
  </si>
  <si>
    <t>sinipavithran@gmail.com</t>
  </si>
  <si>
    <t>George, Jenson/GXH-1342-2022; P, Krishnan K/ABF-8783-2020</t>
  </si>
  <si>
    <t>Chacko, Racheal/0000-0002-0205-776X; Nanajkar, Mandar/0000-0002-6608-7669</t>
  </si>
  <si>
    <t>Ministry of Earth Sciences, Government of India; National Centre for Antarctic and Ocean Research, Goa</t>
  </si>
  <si>
    <t>Ministry of Earth Sciences, Government of India(Ministry of Earth Science (MoES), Government of India); National Centre for Antarctic and Ocean Research, Goa</t>
  </si>
  <si>
    <t>We thank the Ministry of Earth Sciences, Government of India for providing financial support for the project on 'Hydrodynamics and biogeochemistry of the Indian sector of Southern Ocean', under which the present work was carried out. We also thank the Director, National Centre for Antarctic and Ocean Research, Goa for providing the necessary facilities and support, and Mr Deepulal and Mr Akhil, Cochin University of Science and Technology for their help on-board. NCAOR contribution no. is 3/2012.</t>
  </si>
  <si>
    <t>0011-3891</t>
  </si>
  <si>
    <t>CURR SCI INDIA</t>
  </si>
  <si>
    <t>Curr. Sci.</t>
  </si>
  <si>
    <t>MAR 25</t>
  </si>
  <si>
    <t>920ER</t>
  </si>
  <si>
    <t>WOS:000302386000021</t>
  </si>
  <si>
    <t>Schneider, DP; Noone, DC</t>
  </si>
  <si>
    <t>Schneider, David P.; Noone, David C.</t>
  </si>
  <si>
    <t>Is a bipolar seesaw consistent with observed Antarctic climate variability and trends?</t>
  </si>
  <si>
    <t>NINO-SOUTHERN-OSCILLATION; SURFACE-TEMPERATURE; THERMOHALINE CIRCULATION; ANNULAR MODE; HEMISPHERE; PACIFIC; ENSO; OCEAN</t>
  </si>
  <si>
    <t>A bipolar seesaw of Arctic and Antarctic temperature anomalies has been reported to be evident in instrumental data on decadal timescales during the last century. This finding hinges upon a global temperature data set that for the area poleward of similar to 60 degrees S is derived from only one sub-Antarctic station prior to the mid-1940s, and does not include a substantial number of Antarctic stations until the late 1950s. The timeseries of the single-station record for the early period spliced to the data based on broader coverage for the latter period is an artificial estimate of the Antarctic climate trend and its variability. We estimate the real variability using the original timeseries from the sub-Antarctic station, a reconstruction of the Southern Annular Mode index, and an ice-core based reconstruction of Antarctic temperature. None of these Antarctic timeseries are significantly correlated with Arctic or North Atlantic climate records, nor with the index of the Atlantic Multidecadal Oscillation, which was proposed as the driving mechanism of the seesaw. Instead, each of these records is consistently correlated with tropical Pacific sea surface temperatures. However, neither the seesaw nor the tropics alone can fully capture the complexity of Antarctic climate variability and climate change. Citation: Schneider, D. P., and D. C. Noone (2012), Is a bipolar seesaw consistent with observed Antarctic climate variability and trends?, Geophys. Res. Lett., 39, L06704, doi: 10.1029/2011GL050826.</t>
  </si>
  <si>
    <t>[Schneider, David P.] Natl Ctr Atmospher Res, Climate &amp; Global Dynam Div, Earth Syst Lab, Boulder, CO 80307 USA; [Schneider, David P.; Noone, David C.] Univ Colorado, Dept Atmospher &amp; Ocean Sci, Boulder, CO 80309 USA; [Schneider, David P.; Noone, David C.] Univ Colorado, Cooperat Inst Res Environm Sci, Boulder, CO 80309 USA</t>
  </si>
  <si>
    <t>National Center Atmospheric Research (NCAR) - USA; University of Colorado System; University of Colorado Boulder; University of Colorado System; University of Colorado Boulder</t>
  </si>
  <si>
    <t>Schneider, DP (corresponding author), Natl Ctr Atmospher Res, Climate &amp; Global Dynam Div, Earth Syst Lab, POB 3000, Boulder, CO 80307 USA.</t>
  </si>
  <si>
    <t>dschneid@ucar.edu</t>
  </si>
  <si>
    <t>Schneider, David/E-2726-2010</t>
  </si>
  <si>
    <t>Schneider, David/0000-0001-5308-1834</t>
  </si>
  <si>
    <t>NOAA's Climate Program Office [NA17RJ1229]; National Science Foundation (NSF) [ARC-1107795, ANT-0838871]; Directorate For Geosciences; Office of Polar Programs (OPP) [0838871] Funding Source: National Science Foundation</t>
  </si>
  <si>
    <t>NOAA's Climate Program Office(National Oceanic Atmospheric Admin (NOAA) - USA); National Science Foundation (NSF)(National Science Foundation (NSF)); Directorate For Geosciences; Office of Polar Programs (OPP)(National Science Foundation (NSF)NSF - Directorate for Geosciences (GEO))</t>
  </si>
  <si>
    <t>Support of this work for D.N. and D.S. at the University of Colorado came from NOAA's Climate Program Office's Paleoclimate program (grant NA17RJ1229) and the National Science Foundation (NSF) (grant ARC-1107795). D.S. acknowledges additional support while working at the National Center for Atmospheric Research (NCAR), under National Science Foundation (NSF) grant ANT-0838871. NCAR is sponsored by the NSF.</t>
  </si>
  <si>
    <t>MAR 23</t>
  </si>
  <si>
    <t>L06704</t>
  </si>
  <si>
    <t>10.1029/2011GL050826</t>
  </si>
  <si>
    <t>914GH</t>
  </si>
  <si>
    <t>WOS:000301937000002</t>
  </si>
  <si>
    <t>Wright, AP; Young, DA; Roberts, JL; Schroeder, DM; Bamber, JL; Dowdeswell, JA; Young, NW; Le Brocq, AM; Warner, RC; Payne, AJ; Blankenship, DD; van Ommen, TD; Siegert, MJ</t>
  </si>
  <si>
    <t>Wright, A. P.; Young, D. A.; Roberts, J. L.; Schroeder, D. M.; Bamber, J. L.; Dowdeswell, J. A.; Young, N. W.; Le Brocq, A. M.; Warner, R. C.; Payne, A. J.; Blankenship, D. D.; van Ommen, T. D.; Siegert, M. J.</t>
  </si>
  <si>
    <t>Evidence of a hydrological connection between the ice divide and ice sheet margin in the Aurora Subglacial Basin, East Antarctica</t>
  </si>
  <si>
    <t>RADAR-SOUNDING DATA; DOME-C; TRANSANTARCTIC MOUNTAINS; WEST ANTARCTICA; THERMAL REGIME; LAKE CONCORDIA; BED ROUGHNESS; BENEATH; FLOW; MELTWATER</t>
  </si>
  <si>
    <t>Subglacial hydrology in East Antarctica is poorly understood, yet may be critical to the manner in which ice flows. Data from a new regional airborne geophysical survey (ICECAP) have transformed our understanding of the topography and glaciology associated with the 287,000 km(2) Aurora Subglacial Basin in East Antarctica. Using these data, in conjunction with numerical ice sheet modeling, we present a suite of analyses that demonstrate the potential of the 1000 km-long basin as a route for subglacial water drainage from the ice sheet interior to the ice sheet margin. We present results from our analysis of basal topography, bed roughness and radar power reflectance and from our modeling of ice sheet flow and basal ice temperatures. Although no clear-cut subglacial lakes are found within the Aurora Basin itself, dozens of lake-like reflectors are observed that, in conjunction with other results reported here, support the hypothesis that the basin acts as a pathway allowing discharge from subglacial lakes near the Dome C ice divide to reach the coast via the Totten Glacier.</t>
  </si>
  <si>
    <t>[Wright, A. P.; Siegert, M. J.] Univ Edinburgh, Sch Geosci, Edinburgh EH8 9XP, Midlothian, Scotland; [Young, D. A.; Schroeder, D. M.; Blankenship, D. D.] Univ Texas Austin, Jackson Sch Geosci, Inst Geophys, Austin, TX 78712 USA; [Roberts, J. L.; Young, N. W.; Warner, R. C.; van Ommen, T. D.] Australian Antarctic Div, Kingston, Tas, Australia; [Roberts, J. L.; Young, N. W.; Warner, R. C.; Blankenship, D. D.] Univ Tasmania, Antarct Climate &amp; Ecosyst Cooperat Res Ctr, Hobart, Tas, Australia; [Bamber, J. L.; Payne, A. J.] Univ Bristol, Sch Geog Sci, Bristol Glaciol Ctr, Bristol, Avon, England; [Dowdeswell, J. A.] Univ Cambridge, Scott Polar Res Inst, Cambridge CB2 1ER, England; [Le Brocq, A. M.] Univ Exeter, Dept Geog, Coll Earth &amp; Environm Sci, Exeter EX4 4RJ, Devon, England</t>
  </si>
  <si>
    <t>University of Edinburgh; University of Texas System; University of Texas Austin; Australian Antarctic Division; University of Tasmania; University of Bristol; University of Cambridge; University of Exeter</t>
  </si>
  <si>
    <t>Wright, AP (corresponding author), Univ Edinburgh, Sch Geosci, Drummond St, Edinburgh EH8 9XP, Midlothian, Scotland.</t>
  </si>
  <si>
    <t>a.p.wright@ed.ac.uk</t>
  </si>
  <si>
    <t>Siegert, Martin/M-9939-2019; Roberts, Jason L/B-2235-2012; Warner, Robert R./M-5342-2013; Warner, Roland Charles/ISS-2485-2023; Siegert, Martin J/A-3826-2008; Bamber, Jonathan/C-7608-2011; van Ommen, Tas/B-5020-2012; payne, antony/A-8916-2008; Young, Duncan/G-6256-2010</t>
  </si>
  <si>
    <t>Siegert, Martin/0000-0002-0090-4806; Roberts, Jason L/0000-0002-3477-4069; Warner, Roland Charles/0000-0002-9778-3544; Siegert, Martin J/0000-0002-0090-4806; Bamber, Jonathan/0000-0002-2280-2819; van Ommen, Tas/0000-0002-2463-1718; payne, antony/0000-0001-8825-8425; Dowdeswell, Julian/0000-0003-1369-9482; Young, Neal/0000-0001-9729-3273; Schroeder, Dustin/0000-0003-1916-3929; Young, Duncan/0000-0002-6866-8176</t>
  </si>
  <si>
    <t>NERC [NE/D003733/1]; NSF [ANT-0733025]; NASA [NNX09AR52G]; AAD [3103]; Jackson School of Geosciences; G. Unger Vetlesen Foundation; Antarctic Climate and Ecosystems Cooperative Research Centre (ACE CRC); Natural Environment Research Council [NE/G012733/2]; Natural Environment Research Council [NE/G00465X/1, NE/F016646/2, NER/A/S/2001/01248, NE/G012733/2, NE/F016646/1] Funding Source: researchfish; Directorate For Geosciences; Office of Polar Programs (OPP) [0733025] Funding Source: National Science Foundation; NERC [NE/G00465X/1, NE/G012733/2, NE/F016646/2, NE/F016646/1] Funding Source: UKRI</t>
  </si>
  <si>
    <t>NERC(UK Research &amp; Innovation (UKRI)Natural Environment Research Council (NERC)); NSF(National Science Foundation (NSF)); NASA(National Aeronautics &amp; Space Administration (NASA)); AAD; Jackson School of Geosciences; G. Unger Vetlesen Foundation; Antarctic Climate and Ecosystems Cooperative Research Centre (ACE CRC)(Australian GovernmentDepartment of Industry, Innovation and ScienceCooperative Research Centres (CRC) Programme); Natural Environment Research Council(UK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 NERC(UK Research &amp; Innovation (UKRI)Natural Environment Research Council (NERC))</t>
  </si>
  <si>
    <t>This work was supported by NERC grant NE/D003733/1 to Edinburgh, NSF grant ANT-0733025 and NASA grant NNX09AR52G to Texas, AAD project 3103, the Jackson School of Geosciences and the G. Unger Vetlesen Foundation. This research was also supported by the Antarctic Climate and Ecosystems Cooperative Research Centre (ACE CRC) and Natural Environment Research Council Fellowship NE/G012733/2 awarded to Anne Le Brocq. This is UTIG contribution 2426.</t>
  </si>
  <si>
    <t>F01033</t>
  </si>
  <si>
    <t>10.1029/2011JF002066</t>
  </si>
  <si>
    <t>914IY</t>
  </si>
  <si>
    <t>WOS:000301944300001</t>
  </si>
  <si>
    <t>Lowry, JK; Stoddart, HE</t>
  </si>
  <si>
    <t>Lowry, J. K.; Stoddart, H. E.</t>
  </si>
  <si>
    <t>The Pachynidae fam. nov (Crustacea: Amphipoda: Lysianassoidea)</t>
  </si>
  <si>
    <t>Crustacea; Amphipoda; Pachynidae; taxonomy; new family; new genera; new species; Acheronia; Coriolisa; Drummondia; Ekelofia; Figorella; Pachychelium; Pachynus; Prachynella; Renella; Sheardella; Smaraldia; Ultimachelium</t>
  </si>
  <si>
    <t>The new family Pachynidae is established. Three new genera are described: Renella gen. nov., Smaraldia gen. nov. and Ultimachelium gen. nov. and fifteen new species: Drummondia marlo sp. nov., D. tridentata sp. nov., Figorella angulosa sp. nov., F. formosa sp. nov., F. franklin sp. nov., Pachychelium tropicalis sp. nov., Pachynus obsolescens sp. nov. and Smaraldia springthorpei sp. nov. from Australian waters; Ekelofia eltanin sp. nov. from Antarctic waters; Prachynella shijiki sp. nov. from Japanese waters; Pachychelium fucaensis sp. nov. from south-western Canadian and Californian waters; Prachynella epa sp. nov. and Pr. oculata sp. nov. from Californian waters; and Drummondia luce sp. nov. and Ultimachelium tac sp. nov. from southern Chilean waters. New records of Pachynus barnardi Hurley, 1963 and Prachynella lodo J.L. Barnard, 1964 are reported from Canadian waters; Drummondia corinellae Lowry, 1984, Figorella tasmanica Lowry, 1984, Pachynus denticulatum Lowry, 1984, P. pugilator Lowry, 1984, Sheardella kapala Lowry, 1984 and S. tangaroa Lowry, 1984 from Australian waters; and Renella sculptidentata (Ren, 1991), Ultimachelium nichollsi (Lowry, 1984) and U. schellenbergi (Lowry, 1984) from Antarctic waters.</t>
  </si>
  <si>
    <t>[Lowry, J. K.; Stoddart, H. E.] Australian Museum, Crustacea Sect, Sydney, NSW 2010, Australia</t>
  </si>
  <si>
    <t>Lowry, JK (corresponding author), Australian Museum, Crustacea Sect, 6 Coll St, Sydney, NSW 2010, Australia.</t>
  </si>
  <si>
    <t>jim.lowry@austmus.gov.au; helen.stoddart@austmus.gov.au</t>
  </si>
  <si>
    <t>This paper has been a long time in preparation. We are grateful to a large number of Collection Managers and Curators, in many institutions, for the loan of material and for processing our collections. We thank them all. We acknowledge and thank our illustrators: Stephen Keable, Kate Dempsey and Rachael Peart. We are particularly grateful to Roger Springthorpe who produced our plates. Arundathi Bopiah made final plate adjustments for us. Mike Thurston again contributed valuable comments and improvements. The study was initially funded by ARC and more recently by ABRS which has allowed the second author's continued participation.</t>
  </si>
  <si>
    <t>939NL</t>
  </si>
  <si>
    <t>WOS:000303818200001</t>
  </si>
  <si>
    <t>Raymo, ME; Mitrovica, JX</t>
  </si>
  <si>
    <t>Raymo, Maureen E.; Mitrovica, Jerry X.</t>
  </si>
  <si>
    <t>Collapse of polar ice sheets during the stage 11 interglacial</t>
  </si>
  <si>
    <t>MARINE ISOTOPE STAGE-11; SEA-LEVEL HIGHSTAND; MANTLE VISCOSITY; MASS-LOSS; PLEISTOCENE; HOLOCENE; BERMUDA; ANALOG; RISE</t>
  </si>
  <si>
    <t>Contentious observations of Pleistocene shoreline features on the tectonically stable islands of Bermuda and the Bahamas have suggested that sea level about 400,000 years ago was more than 20 metres higher than it is today(1-4). Geochronologic and geomorphic evidence indicates that these features formed during interglacial marine isotope stage (MIS) 11, an unusually long interval of warmth during the ice age(1-4). Previous work has advanced two divergent hypotheses for these shoreline features: first, significant melting of the East Antarctic Ice Sheet, in addition to the collapse of the West Antarctic Ice Sheet and the Greenland Ice Sheet(1-3); or second, emplacement by a mega-tsunami during MIS 11 (ref. 4, 5). Here we show that the elevations of these features are corrected downwards by similar to 10 metres when we account for post-glacial crustal subsidence of these sites over the course of the anomalously long interglacial. On the basis of this correction, we estimate that eustatic sea level rose to similar to 6-13 m above the present-day value in the second half of MIS 11. This suggests that both the Greenland Ice Sheet and the West Antarctic Ice Sheet collapsed during the protracted warm period while changes in the volume of the East Antarctic Ice Sheet were relatively minor, thereby resolving the long-standing controversy over the stability of the East Antarctic Ice Sheet during MIS 11.</t>
  </si>
  <si>
    <t>[Raymo, Maureen E.] Columbia Univ, Lamont Doherty Earth Observ, Palisades, NY 10964 USA; [Mitrovica, Jerry X.] Harvard Univ, Dept Earth &amp; Planetary Sci, Cambridge, MA 02138 USA</t>
  </si>
  <si>
    <t>Columbia University; Harvard University</t>
  </si>
  <si>
    <t>Raymo, ME (corresponding author), Columbia Univ, Lamont Doherty Earth Observ, POB 1000,61 Route 9W, Palisades, NY 10964 USA.</t>
  </si>
  <si>
    <t>raymo@ldeo.columbia.edu</t>
  </si>
  <si>
    <t>Raymo, Maureen E/A-1270-2012</t>
  </si>
  <si>
    <t>Harvard University; Canadian Institute for Advanced Research; [NSF-OCE-0825293]; [OCE-1202632]; Division Of Ocean Sciences; Directorate For Geosciences [1238405] Funding Source: National Science Foundation; Division Of Ocean Sciences; Directorate For Geosciences [1202632] Funding Source: National Science Foundation</t>
  </si>
  <si>
    <t>Harvard University; Canadian Institute for Advanced Research(Canadian Institute for Advanced Research (CIFAR)); ; ; Division Of Ocean Sciences; Directorate For Geosciences(National Science Foundation (NSF)NSF - Directorate for Geosciences (GEO)); Division Of Ocean Sciences; Directorate For Geosciences(National Science Foundation (NSF)NSF - Directorate for Geosciences (GEO))</t>
  </si>
  <si>
    <t>We thank P. Hearty and D. Bowen for discussions of MIS 11 field data, and J. L. Davis for suggestions regarding data analysis. Support for this research was provided by NSF-OCE-0825293 and OCE-1202632 (M. E. R.), Harvard University (J. X. M.) and the Canadian Institute for Advanced Research (J.X.M.).</t>
  </si>
  <si>
    <t>MAR 22</t>
  </si>
  <si>
    <t>10.1038/nature10891</t>
  </si>
  <si>
    <t>912CC</t>
  </si>
  <si>
    <t>WOS:000301771200040</t>
  </si>
  <si>
    <t>Franzke, C</t>
  </si>
  <si>
    <t>Franzke, Christian</t>
  </si>
  <si>
    <t>Predictability of extreme events in a nonlinear stochastic-dynamical model</t>
  </si>
  <si>
    <t>PHYSICAL REVIEW E</t>
  </si>
  <si>
    <t>REDUCTION</t>
  </si>
  <si>
    <t>The objective of this work is to evaluate the potential of reduced order models to reproduce the extreme event and predictability characteristics of higher dimensional dynamical systems. A nonlinear toy model is used which contains key features of comprehensive climate models. First, we demonstrate that the systematic stochastic mode reduction strategy leads to a reduced order model with the same extreme value characteristics as the full dynamical models for a wide range of time-scale separations. Second, we find that extreme events in this model follow a generalized Pareto distribution with a negative shape parameter; thus extreme events are bounded in this model. Third, we show that a precursor approach has good forecast skill for extreme events. We then find that the reduced stochastic models capture the predictive skill of extreme events of the full dynamical models well. Consistent with previous studies we also find that the larger the extreme events, the better predictable they are. Our results suggest that systematically derived reduced order models have the potential to be used for the modeling and statistical prediction of weather-and climate-related extreme events and, possibly, in other areas of science and engineering too.</t>
  </si>
  <si>
    <t>British Antarctic Survey, Cambridge CB3 0ET, England</t>
  </si>
  <si>
    <t>Franzke, C (corresponding author), British Antarctic Survey, Madingley Rd, Cambridge CB3 0ET, England.</t>
  </si>
  <si>
    <t>chan1@bas.ac.uk</t>
  </si>
  <si>
    <t>; Franzke, Christian/A-6191-2012</t>
  </si>
  <si>
    <t>Franzke, Christian/0000-0002-8084-3256; Franzke, Christian/0000-0003-4111-1228</t>
  </si>
  <si>
    <t>Natural Environment Research Council; Natural Environment Research Council [bas0100026] Funding Source: researchfish; NERC [bas0100026] Funding Source: UKRI</t>
  </si>
  <si>
    <t>I would like to thank two anonymous reviewers whose comments improved an early version of the manuscript. This study is part of the British Antarctic Survey Polar Science for Planet Earth Programme. It was funded by The Natural Environment Research Council.</t>
  </si>
  <si>
    <t>1539-3755</t>
  </si>
  <si>
    <t>1550-2376</t>
  </si>
  <si>
    <t>PHYS REV E</t>
  </si>
  <si>
    <t>Phys. Rev. E</t>
  </si>
  <si>
    <t>10.1103/PhysRevE.85.031134</t>
  </si>
  <si>
    <t>Physics, Fluids &amp; Plasmas; Physics, Mathematical</t>
  </si>
  <si>
    <t>913CS</t>
  </si>
  <si>
    <t>WOS:000301849600001</t>
  </si>
  <si>
    <t>Dickhut, RM; Cincinelli, A; Cochran, M; Kylin, H</t>
  </si>
  <si>
    <t>Dickhut, Rebecca M.; Cincinelli, Alessandra; Cochran, Michele; Kylin, Henrik</t>
  </si>
  <si>
    <t>Aerosol-Mediated Transport and Deposition of Brominated Diphenyl Ethers to Antarctica</t>
  </si>
  <si>
    <t>ORGANOCHLORINE PESTICIDES; FLAME RETARDANTS; POLYCHLORINATED-BIPHENYLS; LATITUDINAL FRACTIONATION; GLOBAL DISTRIBUTION; ORGANIC POLLUTANTS; SEA; CONGENERS; PBDES; AIR</t>
  </si>
  <si>
    <t>Brominated diphenyl ethers (BDE47, 99, 100, and 209) were measured in air, snow and sea ice throughout western Antarctica between 2001 and 2007. BDEs in Antarctic air were predominantly associated with aerosols and were low compared to those in remote regions of the northern hemisphere, except in Marguerite Bay following the fire at Rothera research station in Sept 2001, indicating that this event was a local source of BDE209 to the Antarctic environment. Aerosol BDE47/100 reflects a mixture of commercial pentaBDE products; however, BDE99/100 is suggestive of photodegradation of BDE99 during long-range atmospheric transport (LRAT) in the austral summer. BDEs in snow were lower than predicted based on snow scavenging of aerosols indicating that atmospheric deposition events may be episodic. BDE47, -99, and -100 significantly declined in Antarctic sea ice between 2001 and 2007; however, BDE209 did not decline in Antarctic sea ice over the same time period. Significant losses of BDE99 and -100 from sea ice were recorded over a 19 day period in spring 2001 demonstrating that seasonal ice processes result in the preferential loss of some BDEs. BDE47/100 and BDE99/100 in sea ice samples reflect commercial pentaBDE products, suggesting that photodegradation of BDE99 is minimal during LRAT in the austral winter.</t>
  </si>
  <si>
    <t>[Kylin, Henrik] Linkoping Univ, Dept Water &amp; Environm Studies, SE-58183 Linkoping, Sweden; [Dickhut, Rebecca M.; Cochran, Michele] Virginia Inst Marine Sci, Coll William &amp; Mary, Gloucester Point, VA 23062 USA; [Cincinelli, Alessandra] Univ Florence, Dipartimento Chim, I-50019 Florence, Italy; [Kylin, Henrik] Fram Ctr, Norwegian Inst Air Res, NO-9296 Tromso, Norway</t>
  </si>
  <si>
    <t>Linkoping University; William &amp; Mary; Virginia Institute of Marine Science; University of Florence; NILU</t>
  </si>
  <si>
    <t>Kylin, H (corresponding author), Linkoping Univ, Dept Water &amp; Environm Studies, SE-58183 Linkoping, Sweden.</t>
  </si>
  <si>
    <t>henrik.kylin@liu.se</t>
  </si>
  <si>
    <t>Cincinelli, Alessandra/A-8468-2011; Kylin, Henrik/F-9819-2011</t>
  </si>
  <si>
    <t>Kylin, Henrik/0000-0002-5972-1852; Cincinelli, Alessandra/0000-0002-6977-4595</t>
  </si>
  <si>
    <t>National Science Foundation, Office of Polar Programs [0087872, 0741379]; Swedish Research Council; Italian Antarctic Research Program; Directorate For Geosciences; Office of Polar Programs (OPP) [0741379] Funding Source: National Science Foundation; Directorate For Geosciences; Office of Polar Programs (OPP) [0087872] Funding Source: National Science Foundation</t>
  </si>
  <si>
    <t>National Science Foundation, Office of Polar Programs(National Science Foundation (NSF)NSF - Directorate for Geosciences (GEO)); Swedish Research Council(Swedish Research Council); Italian Antarctic Research Program; Directorate For Geosciences; Office of Polar Programs (OPP)(National Science Foundation (NSF)NSF - Directorate for Geosciences (GEO)); Directorate For Geosciences; Office of Polar Programs (OPP)(National Science Foundation (NSF)NSF - Directorate for Geosciences (GEO))</t>
  </si>
  <si>
    <t>We remember the late Dr. Rebecca Dickhut with warmth and gratitude, and thank Dr. Andrew Wozniak for help to complete the manuscript at her demise. An anonymous reviewer gave valuable input to the manuscript, and Agneta Fransson provided the right photo for the TOC art. We thank the captains and crews of the R/V Nathaniel B. Palmer and the Icebreaker Oden, and the staff at Palmer Research Station and Mario Zucchelli Station for their help with this project. We gratefully acknowledge the NOAA Air Resources Laboratory for the provision of the HYSPLIT transport and dispersion model and/or READY website (http://www.arl.noaa.gov/ ready.php) used in this publication. The U.S. Antarctic Program, the Italian National Project of Antarctic Research, and the Swedish Polar Research Secretariat provided logistic support. This project was funded by the National Science Foundation, Office of Polar Programs, Awards 0087872 and 0741379, the Swedish Research Council and the Italian Antarctic Research Program. VIMS contribution 3219.</t>
  </si>
  <si>
    <t>MAR 20</t>
  </si>
  <si>
    <t>10.1021/es204375p</t>
  </si>
  <si>
    <t>910IK</t>
  </si>
  <si>
    <t>Green Submitted, Green Published</t>
  </si>
  <si>
    <t>WOS:000301630200014</t>
  </si>
  <si>
    <t>Möller, A; Xie, ZY; Cai, MH; Sturm, R; Ebinghaus, R</t>
  </si>
  <si>
    <t>Moeller, Axel; Xie, Zhiyong; Cai, Minghong; Sturm, Renate; Ebinghaus, Ralf</t>
  </si>
  <si>
    <t>Brominated Flame Retardants and Dechlorane Plus in the Marine Atmosphere from Southeast Asia toward Antarctica</t>
  </si>
  <si>
    <t>POLYBROMINATED DIPHENYL ETHERS; HENRYS-LAW-CONSTANTS; E-WASTE; PBDES; AIR; SEAWATER; TRENDS; URBAN; PRECIPITATION; ENVIRONMENT</t>
  </si>
  <si>
    <t>The occurrence, distribution, and temperature dependence in the marine atmosphere of several alternative brominated flame retardants (BFRs), Dechlorane Plus (DP) and polybrominated diphenyl ethers (PBDEs) were investigated during a sampling cruise from the East Indian Archipelago toward the Indian Ocean and further to the Southern Ocean. Elevated concentrations were observed over the East Indian Archipelago, especially of the non-PBDE BFR hexabromobenzene (HBB) with concentrations up to 26 pg m(-3) which were found to be related to continental air masses from the East Indian Archipelago. Other alternative BFRs-pentabromotoulene (PBT), pentabromobenzene (PBBz), and 2,3-dibromopropyl-2,4,6-tribromophenyl ether (DPTE)-were elevated, too, with concentrations up to 2.8, 4.3, and 2.3 pg m(-3), respectively. DP was detected from 0.26 to 11 pg m(-3) and bis-(2-ethylhexyl)-tetrabromophthalate (TBPH) ranged from not detected (nd) to 2.8 pg m-3, respectively. PBDEs ranged from nd to 6.6 pg m(-3) (Sigma 10PBDEs) with the highest individual concentrations for BDE-209. The approach of Clausius-Clapeyron (CC) plots indicates that HBB is dominated by long-range atmospheric transport at lower temperatures over the Indian and Southern Ocean, while volatilization processes and additional atmospheric emissions dominate at higher temperatures. In contrast, BDE-28 and -47 are dominated by long-range transport without fresh emissions over the entire cruise transect and temperature range, indicating limited fresh emissions of the meanwhile classic PBDEs.</t>
  </si>
  <si>
    <t>[Moeller, Axel; Xie, Zhiyong; Sturm, Renate; Ebinghaus, Ralf] Helmholtz Zentrum Geesthacht, Ctr Mat &amp; Coastal Res, Inst Coastal Res, Dept Environm Chem, D-21502 Geesthacht, Germany; [Moeller, Axel] Univ Luneburg, Inst Ecol &amp; Environm Chem, D-21335 Luneburg, Germany; [Cai, Minghong] Polar Res Inst China, SOA Key Lab Polar Sci, Shanghai 200136, Peoples R China</t>
  </si>
  <si>
    <t>Helmholtz Association; Helmholtz-Zentrum Hereon; Leuphana University Luneburg; Polar Research Institute of China</t>
  </si>
  <si>
    <t>Möller, A (corresponding author), Helmholtz Zentrum Geesthacht, Ctr Mat &amp; Coastal Res, Inst Coastal Res, Dept Environm Chem, Max Planck Str 1, D-21502 Geesthacht, Germany.</t>
  </si>
  <si>
    <t>axel.moeller@hzg.de</t>
  </si>
  <si>
    <t>Xie, Zhiyong/E-8436-2014</t>
  </si>
  <si>
    <t>Chinese Arctic and Antarctic Administration; State Oceanic Administration of China</t>
  </si>
  <si>
    <t>We acknowledge the crew of the R/V Xuelong and the support from the Chinese Arctic and Antarctic Administration, State Oceanic Administration of China. We thank Qingquan Hong (Xiamen University) for sampling on board R/V Xuelong, and Wenying Mi and Guangcai Zhong (HZG) for help with the sample preparation. Volker Matthias (HZG) is acknowledged for help plotting the BTs.</t>
  </si>
  <si>
    <t>10.1021/es300138q</t>
  </si>
  <si>
    <t>WOS:000301630200015</t>
  </si>
  <si>
    <t>Möller, A; Sturm, R; Xie, ZY; Cai, MH; He, JF; Ebinghaus, R</t>
  </si>
  <si>
    <t>Moeller, Axel; Sturm, Renate; Xie, Zhiyong; Cai, Minghong; He, Jianfeng; Ebinghaus, Ralf</t>
  </si>
  <si>
    <t>Organophosphorus Flame Retardants and Plasticizers in Airborne Particles over the Northern Pacific and Indian Ocean toward the Polar Regions: Evidence for Global Occurrence</t>
  </si>
  <si>
    <t>DECABROMODIPHENYL ETHER; DIPHENYL ETHERS; E-WASTE; AIR; ATMOSPHERE; TRANSPORT; WATER; GERMANY; SNOW; SEA</t>
  </si>
  <si>
    <t>Organophosphorus compounds (OPs) being applied as flame retardants and plasticizers were investigated in airborne particles over the Pacific, Indian, Arctic, and Southern Ocean. Samples taken during two polar expeditions in 2010/11, one from East Asia to the high Arctic (CHINARE 4) and another from East Asia toward the Indian Ocean to the Antarctic (CHINARE 27), were analyzed for three halogenated OPs (tris(2-chloroethyl) phosphate (TCEP), tris (2-chloroisopropyl) phosphate (TCPP) and tris(1,3-dichloro-2-isopropyl) phosphate (TDCP)), four alkylated OPs (tri-n-butyl phosphate (TnBP), tri-iso-butyl phosphate (TiBP), tris(2-butoxyethyl)phosphate (TBEP), and tris(2-ethylhexyl) phosphate (TEHP)), and triphenyl phosphate (TPhP). The sum of the eight investigated OPs ranged from 230 to 2900 pg m(-3) and from 120 to 1700 pg m(-3) during CHINARE 4 and CHINARE 27, respectively. TCEP and TCPP were the predominating compounds, both over the Asian seas as well as in the polar regions, with concentrations from 19 to 2000 pg m(-3) and 22 to 620 pg m(-3), respectively. Elevated concentrations were observed in proximity to the Asian continent enhanced by continental air masses. They decreased sharply toward the open oceans where they remained relatively stable. This paper shows the first occurrence of OPs over the global oceans proving that they undergo long-range atmospheric transport over the global oceans toward the Arctic and Antarctica.</t>
  </si>
  <si>
    <t>[Moeller, Axel; Sturm, Renate; Xie, Zhiyong; Ebinghaus, Ralf] Ctr Mat &amp; Coastal Res, Helmholtz Zentrum Geesthacht, Inst Coastal Res, Dept Environm Chem, D-21502 Geesthacht, Germany; [Cai, Minghong; He, Jianfeng] Polar Res Inst China, SOA Key Lab Polar Sci, Shanghai 200136, Peoples R China</t>
  </si>
  <si>
    <t>Helmholtz Association; Helmholtz-Zentrum Hereon; Polar Research Institute of China</t>
  </si>
  <si>
    <t>Möller, A (corresponding author), Ctr Mat &amp; Coastal Res, Helmholtz Zentrum Geesthacht, Inst Coastal Res, Dept Environm Chem, Max Planck Str 1, D-21502 Geesthacht, Germany.</t>
  </si>
  <si>
    <t>Chinese Arctic and Antarctic Administration, State Oceanic Administration of China</t>
  </si>
  <si>
    <t>We acknowledge the crew of the R/V Xuelong and the support from the Chinese Arctic and Antarctic Administration, State Oceanic Administration of China. We thank Peng Huang (CHINARE 4), Qingquan Hong (CHINARE 27) (Xiamen University) for sampling on board R/V Xuelong, and Wenying Mi and Guangcai Zhong (HZG) for help with the sample preparation. Volker Matthias (HZG) is acknowledged for help plotting the BTs.</t>
  </si>
  <si>
    <t>10.1021/es204272v</t>
  </si>
  <si>
    <t>WOS:000301630200013</t>
  </si>
  <si>
    <t>Stammerjohn, S; Massom, R; Rind, D; Martinson, D</t>
  </si>
  <si>
    <t>Stammerjohn, Sharon; Massom, Robert; Rind, David; Martinson, Douglas</t>
  </si>
  <si>
    <t>Regions of rapid sea ice change: An inter-hemispheric seasonal comparison</t>
  </si>
  <si>
    <t>SOUTHERN-OCEAN; CLIMATE; VARIABILITY; COVER</t>
  </si>
  <si>
    <t>This bi-polar analysis resolves ice edge changes on space/time scales relevant for investigating seasonal ice-ocean feedbacks and focuses on spatio-temporal changes in the timing of annual sea ice retreat and advance over 1979/80 to 2010/11. Where Arctic sea ice decrease is fastest, the sea ice retreat is now nearly 2 months earlier and subsequent advance more than 1 month later (compared to 1979/80), resulting in a 3-month longer summer ice-free season. In the Antarctic Peninsula and Bellingshausen Sea region, sea ice retreat is more than 1 month earlier and advance 2 months later, resulting in a more than 3-month longer summer icefree season. In contrast, in the western Ross Sea (Antarctica) region, sea ice retreat and advance are more than 1 month later and earlier respectively, resulting in a more than 2 month shorter summer ice-free season. Regardless of trend magnitude or direction, and at latitudes mostly poleward of 70 degrees (N/S), there is strong correspondence between anomalies in the timings of sea ice retreat and subsequent advance, but little correspondence between advance and subsequent retreat. These results support a strong ocean thermal feedback in autumn in response to changes in spring sea ice retreat. Further, model calculations suggest different net ocean heat changes in the Arctic versus Antarctic where autumn sea ice advance is 1 versus 2 months later. Ocean-atmosphere changes, particularly in boreal spring and austral autumn (i.e., during similar to March-May), are discussed and compared, as well as possible inter-hemispheric climate connections. Citation: Stammerjohn, S., R. Massom, D. Rind, and D. Martinson (2012), Regions of rapid sea ice change: An interhemispheric seasonal comparison, Geophys. Res. Lett., 39, L05502, doi: 10.1029/2012GL050874.</t>
  </si>
  <si>
    <t>[Stammerjohn, Sharon] Univ Colorado Boulder, Inst Arctic &amp; Alpine Studies, Boulder, CO 80303 USA; [Stammerjohn, Sharon] Univ Calif Santa Cruz, Ocean Sci Dept, Santa Cruz, CA 95064 USA; [Massom, Robert] Australian Antarctic Div, Kingston, Tas, Australia; [Massom, Robert] Univ Tasmania, Antarctic Climate &amp; Ecosyst Cooperat Res Ctr, Hobart, Tas 7001, Australia; [Rind, David] NASA, Goddard Inst Space Studies, New York, NY 10025 USA; [Martinson, Douglas] Columbia Univ, Lamont Doherty Earth Observ, Palisades, NY 10964 USA</t>
  </si>
  <si>
    <t>University of Colorado System; University of Colorado Boulder; University of California System; University of California Santa Cruz; Australian Antarctic Division; University of Tasmania; Antarctic Climate &amp; Ecosystems Cooperative Research Centre (ACE CRC); National Aeronautics &amp; Space Administration (NASA); NASA Goddard Space Flight Center; Goddard Institute for Space Studies; Columbia University</t>
  </si>
  <si>
    <t>Stammerjohn, S (corresponding author), Univ Colorado Boulder, Inst Arctic &amp; Alpine Studies, Boulder, CO 80303 USA.</t>
  </si>
  <si>
    <t>sharon.stammerjohn@colorado.edu</t>
  </si>
  <si>
    <t>STAMMERJOHN, SHARON/0000-0002-1697-8244; Massom, Robert/0000-0003-1533-5084</t>
  </si>
  <si>
    <t>NOAA [NA17RJ1231]; LTER [NSF/OPP 0217282]; Australian Government's Cooperative Research Centre through the Antarctic Climate and Ecosystems Cooperative Research Centre; Australian Antarctic Division Project [CPC19]; Australian Antarctic Science Project [3024]; NASA; Office of Polar Programs (OPP); Directorate For Geosciences [0823101, 0838975] Funding Source: National Science Foundation</t>
  </si>
  <si>
    <t>NOAA(National Oceanic Atmospheric Admin (NOAA) - USA); LTER; Australian Government's Cooperative Research Centre through the Antarctic Climate and Ecosystems Cooperative Research Centre(Australian GovernmentDepartment of Industry, Innovation and ScienceCooperative Research Centres (CRC) Programme); Australian Antarctic Division Project; Australian Antarctic Science Project; NASA(National Aeronautics &amp; Space Administration (NASA)); Office of Polar Programs (OPP); Directorate For Geosciences(National Science Foundation (NSF)NSF - Directorate for Geosciences (GEO))</t>
  </si>
  <si>
    <t>S.E.S. was supported by NOAA grant/cooperative agreement NA17RJ1231, and S.E.S and D.G.M. supported by Palmer LTER NSF/OPP 0217282. R.A.M was supported by the Australian Government's Cooperative Research Centre programme through the Antarctic Climate and Ecosystems Cooperative Research Centre, Australian Antarctic Division Project CPC19 and Australian Antarctic Science Project 3024. D. R. was supported by the NASA Cryosphere Program.</t>
  </si>
  <si>
    <t>MAR 16</t>
  </si>
  <si>
    <t>L06501</t>
  </si>
  <si>
    <t>10.1029/2012GL050874</t>
  </si>
  <si>
    <t>910UI</t>
  </si>
  <si>
    <t>WOS:000301668100001</t>
  </si>
  <si>
    <t>Siegel, J; Dugan, B; Lizarralde, D; Person, M; DeFoor, W; Miller, N</t>
  </si>
  <si>
    <t>Siegel, Jacob; Dugan, Brandon; Lizarralde, Daniel; Person, Mark; DeFoor, Whitney; Miller, Nathaniel</t>
  </si>
  <si>
    <t>Geophysical evidence of a late Pleistocene glaciation and paleo-ice stream on the Atlantic Continental Shelf offshore Massachusetts, USA</t>
  </si>
  <si>
    <t>MARINE GEOLOGY</t>
  </si>
  <si>
    <t>offshore Massachusetts; glacial erosion; late Pleistocene glaciation; high-resolution seismic data; ice stream</t>
  </si>
  <si>
    <t>NEW-ENGLAND; NORTH-SEA; QUATERNARY STRATIGRAPHY; GEOMORPHIC FEATURES; ANTARCTIC PENINSULA; HIGH-RESOLUTION; PASSIVE MARGIN; SHEET; RECORD; ISLAND</t>
  </si>
  <si>
    <t>Interpretations of seismic reflection data collected offshore Massachusetts, USA, reveal the first conclusive geophysical evidence of a pre-Wisconsinan glaciation that extended beyond the limits of the Last Glacial Maximum (LGM) in the region. The data image numerous glacial geomorphic features that define the extent of a paleo-ice stream, including: (1) a regionally distributed erosion surface that forms a 50 km wide trough, with steeply eroded sidewalls (4 degrees-18 degrees) and nearly 100 m in relief at the margins; (2) a network of sub-ice sheet meltwater channels; and (3) a transparent, glacigenic seismic unit. The orientation of the paleo-ice stream trough indicates that the ice stream flowed to the south-southwest, toward the shelf break. This suggests that the ice stream formed further to the north, where it appears that Georges Bank (southeast of the Gulf of Maine, USA) redirected ice flow. Limited well data constrain the glacial erosion event (up to 300 m below sea-level) to occur within the Pleistocene. The glacial event represents a time of larger ice volume on the northern Atlantic continental shelf, as compared to the LGM; thus, we suggest that the event corresponds to marine oxygen isotope stage 12 (late Pleistocene) when the first major Pleistocene shelf-crossing glaciation began offshore southeastern Canada. These geophysical constraints on a late Pleistocene glaciation offshore Massachusetts have important implications for: (1) models of the Laurentide Ice Sheet, as the geomorphic evidence of pre-LGM ice streams are difficult to characterize yet account for most of the ice sheet's mass flux; and (2) the pore water salinity pattern offshore New England, as sedimentary basins near an ice sheet margin often contain large volumes of glacially emplaced freshwater. (C) 2012 Elsevier B.V. All rights reserved.</t>
  </si>
  <si>
    <t>[Siegel, Jacob; Dugan, Brandon] Rice Univ, Dept Earth Sci, Houston, TX 77251 USA; [Lizarralde, Daniel] Woods Hole Oceanog Inst, Dept Geol &amp; Geophys, Woods Hole, MA 02543 USA; [Person, Mark; DeFoor, Whitney] New Mexico Inst Min &amp; Technol, Dept Earth &amp; Environm Sci, Socorro, NM 87801 USA; [Miller, Nathaniel] MIT WHOI Joint Program, Woods Hole, MA USA</t>
  </si>
  <si>
    <t>Rice University; Woods Hole Oceanographic Institution; New Mexico Institute of Mining Technology; Massachusetts Institute of Technology (MIT)</t>
  </si>
  <si>
    <t>Siegel, J (corresponding author), Rice Univ, Dept Earth Sci, Houston, TX 77251 USA.</t>
  </si>
  <si>
    <t>js22@rice.edu</t>
  </si>
  <si>
    <t>Dugan, Brandon/A-2651-2011</t>
  </si>
  <si>
    <t>Miller, Nathan/0000-0003-3271-2929; Lizarralde, Daniel/0000-0001-6152-6039</t>
  </si>
  <si>
    <t>[NSF-OCE-0824368]; Directorate For Geosciences; Division Of Ocean Sciences [0824368, 0824497] Funding Source: National Science Foundation</t>
  </si>
  <si>
    <t>; Directorate For Geosciences; Division Of Ocean Sciences(National Science Foundation (NSF)NSF - Directorate for Geosciences (GEO))</t>
  </si>
  <si>
    <t>This work was funded by NSF-OCE-0824368. Seismic data were collected on the R/V Endeavor (cruise EN465) using Scripps Institution of Oceanography's portable seismic system. We thank the Scripps technicians and the crew of the R/V Endeavor for their assistance in collecting the data. D. Praeg, D. J. W. Piper, and an anonymous reviewer provided insightful comments that improved this manuscript. We also thank J. Anderson for helpful discussions.</t>
  </si>
  <si>
    <t>0025-3227</t>
  </si>
  <si>
    <t>1872-6151</t>
  </si>
  <si>
    <t>MAR GEOL</t>
  </si>
  <si>
    <t>Mar. Geol.</t>
  </si>
  <si>
    <t>MAR 15</t>
  </si>
  <si>
    <t>10.1016/j.margeo.2012.01.007</t>
  </si>
  <si>
    <t>Geosciences, Multidisciplinary; Oceanography</t>
  </si>
  <si>
    <t>Geology; Oceanography</t>
  </si>
  <si>
    <t>950YI</t>
  </si>
  <si>
    <t>WOS:000304687400005</t>
  </si>
  <si>
    <t>Kelly, DC; Nielsen, TMJ; Schellenberg, SA</t>
  </si>
  <si>
    <t>Kelly, D. Clay; Nielsen, Tina M. J.; Schellenberg, Stephen A.</t>
  </si>
  <si>
    <t>Carbonate saturation dynamics during the Paleocene-Eocene thermal maximum: Bathyal constraints from ODP sites 689 and 690 in the Weddell Sea (South Atlantic)</t>
  </si>
  <si>
    <t>Paleocene-Eocene thermal maximum; ODP Site 689; Weddell Sea; lysocline; carbonate sedimentation</t>
  </si>
  <si>
    <t>INDIAN-OCEAN; ISOTOPE EXCURSION; PLANKTONIC-FORAMINIFERA; METHANE HYDRATE; MAUD RISE; DISSOCIATION; EXTINCTION; END; FLUCTUATIONS; PRESERVATION</t>
  </si>
  <si>
    <t>Spatiotemporal patterns of carbonate dissolution provide a critical constraint on carbon input during an ancient (similar to 55.5 Ma) global warming event known as the Paleocene-Eocene thermal maximum (PETM), yet the magnitude of lysocline shoaling in the Southern Ocean is poorly constrained due to limited spatial coverage in the circum-Antarctic region. This shortcoming is partially addressed by comparing patterns of carbonate sedimentation at the Site 690 PETM reference section to those herein reconstructed for nearby Site 689. Biochemostratigraphic correlation of the two records reveals that the first similar to 36 ka of the carbon isotope excursion (CIE) signaling PETM conditions is captured by the Site 689 section, while the remainder of the CIE interval and nearly all of the CIE recovery are missing due to a coring gap. A relatively expanded stratigraphy and higher carbonate content at mid-bathyal Site 689 indicate that dissolution was less severe than at Site 690. Thus, the bathymetric transect delimited by these two PETM records indicates that the lysocline shoaled above Site 689 (similar to 1,100 m) while the calcite compensation depth remained below Site 690 (similar to 1,900 m) in the Weddell Sea region. The ensuing recovery of carbonate sedimentation conforms to a bathymetric trend best explained by gradual lysocline deepening as negative feedback mechanisms neutralized ocean acidification. Further, biochemostratigraphic evidence indicates the tail end of the CIE recovery interval at both sites has been truncated by a hiatus most likely related to vigorous production and advection of intermediate waters. (C) 2012 Elsevier B.V. All rights reserved.</t>
  </si>
  <si>
    <t>[Kelly, D. Clay; Nielsen, Tina M. J.] Univ Wisconsin, Dept Geosci, Madison, WI 53706 USA; [Schellenberg, Stephen A.] San Diego State Univ, Dept Geol Sci, San Diego, CA 92115 USA</t>
  </si>
  <si>
    <t>University of Wisconsin System; University of Wisconsin Madison; California State University System; San Diego State University</t>
  </si>
  <si>
    <t>Kelly, DC (corresponding author), Univ Wisconsin, Dept Geosci, 1215 W Dayton St, Madison, WI 53706 USA.</t>
  </si>
  <si>
    <t>ckelly@geology.wisc.edu</t>
  </si>
  <si>
    <t>Kelly, Clay/0000-0002-3241-1635</t>
  </si>
  <si>
    <t>U.S. National Science Foundation (NSF); NSF [OCE-0452253]; joint Oceanographic Institutions (JOI), Inc.</t>
  </si>
  <si>
    <t>U.S. National Science Foundation (NSF)(National Science Foundation (NSF)); NSF(National Science Foundation (NSF)); joint Oceanographic Institutions (JOI), Inc.</t>
  </si>
  <si>
    <t>The authors are grateful for the constructive comments provided by two anonymous reviewers and thank Gert J. De Lange for editorial handling. Samples courtesy the Ocean Drilling Program (ODP) with the assistance of Gar Esmay at the IODP-East Coast Repository. ODP is sponsored by the U.S. National Science Foundation (NSF) and participating countries under management of joint Oceanographic Institutions (JOI), Inc. Funding provided by NSF grant OCE-0452253 to DCK and SAS.</t>
  </si>
  <si>
    <t>10.1016/j.margeo.2012.02.003</t>
  </si>
  <si>
    <t>WOS:000304687400006</t>
  </si>
  <si>
    <t>Porter-Smith, R; Lyne, VD; Kloser, RJ; Lucieer, VL</t>
  </si>
  <si>
    <t>Porter-Smith, R.; Lyne, V. D.; Kloser, R. J.; Lucieer, V. L.</t>
  </si>
  <si>
    <t>Catchment-based classification of Australia's continental slope canyons</t>
  </si>
  <si>
    <t>submarine canyons; continental slope; classification; regionalisation; bathome; biome</t>
  </si>
  <si>
    <t>DIGITAL ELEVATION MODEL; GEOMORPHOLOGY; SYSTEM; WATERSHEDS; EXTRACTION; EVOLUTION; NETWORKS; VALLEY; AREAS; SHELF</t>
  </si>
  <si>
    <t>This study presents an approach to the classification of submarine canyons on the Australian continental slope. There are many canyons around the Australian continental margin it provides an opportunity to undertake a characterisation and inventory of these potentially important assets. By establishing a shelf, break and foot of slope based on gradient, submarine catchments are defined based on a drainage network derived from across the continental shelf and slope. On completion of this classification, metrics are extracted for both the drainage network representing submarine canyons and the catchment morphology. The rationale for this research is to demonstrate the application of algorithms developed for drainage analysis. These algorithms have traditionally been applied in terrestrial environments for the automatic extraction of drainage networks and catchments from digital elevation models. This work is made possible by recent advances in deep-sea multibeam technology, so that the seafloor morphology can be mapped in higher definition. With the recent advances in data quality, these algorithms can be applied to an integrated and combined model of both elevation and bathymetric datasets to provide better insight into geomorphological features, including the relationships between subaqueous sedimentary canyons, channels and drainage system morphology. Drainage analysis provides a rapid automatic procedure to derive networks on the continental shelf and slope. Results show that by establishing a shelf break and foot of slope based on gradient, submarine catchments can be derived on the continental slope based on the drainage analysis. The Australian continental slope contains 257 shelf-incised catchments based on analysis of a bathymetric model mapped at a resolution of 250 m. The drainage analysis demonstrates the capabilities of correctly predicting the layout of dendritic patterns leading to a better geological understanding. Crown Copyright (C) 2012 Published by Elsevier B.V. All rights reserved.</t>
  </si>
  <si>
    <t>[Porter-Smith, R.; Lyne, V. D.; Kloser, R. J.] CSIRO Div Marine &amp; Atmospher Res, Hobart, Tas 7000, Australia; [Lucieer, V. L.] Univ Tasmania, Inst Marine &amp; Antarctic Studies, Hobart, Tas 7001, Australia</t>
  </si>
  <si>
    <t>Commonwealth Scientific &amp; Industrial Research Organisation (CSIRO); University of Tasmania</t>
  </si>
  <si>
    <t>Porter-Smith, R (corresponding author), CSIRO Div Marine &amp; Atmospher Res, Hobart, Tas 7000, Australia.</t>
  </si>
  <si>
    <t>Rick.Smith@csiro.au; Vincent.Lyne@csiro.au; Rudy.Kloser@csiro.au; Vanessa.Lucieer@utas.edu.au</t>
  </si>
  <si>
    <t>Smith, Rick/E-4801-2013; Kloser, Rudy J/A-1464-2012; Lucieer, Vanessa/D-1697-2009; Lyne, Vincent/O-2110-2016</t>
  </si>
  <si>
    <t>Lucieer, Vanessa/0000-0001-7531-5750; Kloser, Rudy/0000-0002-8620-536X; Lyne, Vincent/0000-0002-7718-4050</t>
  </si>
  <si>
    <t>National Mapping Project; CSIRO Marine and Atmospheric Research; CSIRO Wealth from Oceans National Research Flagship; CERF Marine Biodiversity Hub</t>
  </si>
  <si>
    <t>National Mapping Project; CSIRO Marine and Atmospheric Research(Commonwealth Scientific &amp; Industrial Research Organisation (CSIRO)); CSIRO Wealth from Oceans National Research Flagship; CERF Marine Biodiversity Hub</t>
  </si>
  <si>
    <t>We would like to acknowledge the contribution of colleagues at CSIRO Marine and Atmospheric Research who assisted in the collection and analysis of the field data, Gordon Keith for the data management and analysis. Two anonymous reviewers are thanked for reviews of drafts of this paper. Data and funding come from the National Mapping Project supported by CSIRO Marine and Atmospheric Research, working closely with the CSIRO Wealth from Oceans National Research Flagship and the CERF Marine Biodiversity Hub.</t>
  </si>
  <si>
    <t>10.1016/j.margeo.2012.01.008</t>
  </si>
  <si>
    <t>WOS:000304687400013</t>
  </si>
  <si>
    <t>Vogt, PR; Parrish, M</t>
  </si>
  <si>
    <t>Vogt, Peter R.; Parrish, Mary</t>
  </si>
  <si>
    <t>Driftwood dropstones in Middle Miocene Climate Optimum shallow marine strata (Calvert Cliffs, Maryland Coastal Plain): Erratic pebbles no certain proxy for cold climate</t>
  </si>
  <si>
    <t>Middle Miocene Climate Optimum; Ice-rafted detritus; Driftwood dropstones; Calvert Formation; Columbia River Flood Basalts; East Antarctic ice sheet expansion</t>
  </si>
  <si>
    <t>EOCENE THERMAL MAXIMUM; ORIGIN; EVOLUTION; SEQUENCES; VOLCANISM; MARGIN; CO2</t>
  </si>
  <si>
    <t>Sparse lithic erratics (pebbles to cobbles) sampled from three shallow marine strata deposited during the Middle Miocene Climate Optimum (MMCO, ca. 16-14 Ma) along the western Atlantic margin (exposed in the Calvert Cliffs, Maryland) suggest transport and deposition not from ice but from the roots of trees uprooted during floods and carried out to sea. Evidence for driftwood transport includes carbonized wood in the same strata. More than half the ca. 225 erratics were quarried in the largely metamorphic Piedmont province (including a few from the Port Deposit Gneiss, still outcropping on the lower Susquehanna River). The lowest sampled bed (Parker Creek Bone Bed) is assigned to the ca. 15.7-15.5 Ma peak warmth of the MMCO, which we attribute in part to CO2 from the coevally erupted Grande Ronde flood basalts (GRFB), the peak effusiveness episode of the Columbia River Flood Basalts (CRFB) The three sampled beds predate the ca. 13.9 Ma Antarctic cryosphere expansion, which may be recorded in the Calvert Cliffs by a unique buried channel. (c) 2012 Elsevier B.V. All rights reserved.</t>
  </si>
  <si>
    <t>[Vogt, Peter R.] Univ Calif Santa Barbara, Inst Marine Sci, Santa Barbara, CA 93106 USA; [Vogt, Peter R.; Parrish, Mary] Smithsonian Inst, Natl Museum Nat Hist, Washington, DC 20560 USA</t>
  </si>
  <si>
    <t>University of California System; University of California Santa Barbara; Smithsonian Institution; Smithsonian National Museum of Natural History</t>
  </si>
  <si>
    <t>Vogt, PR (corresponding author), Univ Calif Santa Barbara, Inst Marine Sci, Santa Barbara, CA 93106 USA.</t>
  </si>
  <si>
    <t>ptr_vogt@yahoo.com</t>
  </si>
  <si>
    <t>10.1016/j.palaeo.2012.01.035</t>
  </si>
  <si>
    <t>922CI</t>
  </si>
  <si>
    <t>WOS:000302524000009</t>
  </si>
  <si>
    <t>Banks, JL; Ross, DJ; Keough, MJ; Eyre, BD; Macleod, CK</t>
  </si>
  <si>
    <t>Banks, Joanne L.; Ross, D. Jeff; Keough, Michael J.; Eyre, Bradley D.; Macleod, Catriona K.</t>
  </si>
  <si>
    <t>Measuring hypoxia induced metal release from highly contaminated estuarine sediments during a 40 day laboratory incubation experiment</t>
  </si>
  <si>
    <t>Hypoxia; Anoxia; Metal contamination; Soft sediments</t>
  </si>
  <si>
    <t>COASTAL MARINE-SEDIMENTS; DISSOLVED TRACE-METALS; WATER INTERFACE; HEAVY-METALS; BIOGEOCHEMICAL CONTROL; PORE-WATER; REMOBILIZATION; FLUXES; BIOAVAILABILITY; TOXICITY</t>
  </si>
  <si>
    <t>Nutrient inputs to estuarine and coastal waters worldwide are increasing and this in turn is increasing the prevalence of eutrophication and hypoxic and anoxic episodes in these systems. Many urbanised estuaries are also subject to high levels of anthropogenic metal contamination. Environmental O-2 levels may influence whether sediments act as sinks or sources of metals. In this study we investigated the effect of an extended O-2 depletion event (40 days) on fluxes of trace metals (and the metalloid As) across the sediment-water interface in sediments from a highly metal contaminated estuary in S.E. Tasmania, Australia. We collected sediments from three sites that spanned a range of contamination and measured total metal concentration in the overlying water using sealed core incubations. Manganese and iron, which are known to regulate the release of other divalent cations from sub-oxic sediments, were released from sediments at all sites as hypoxia developed. In contrast, the release of arsenic, cadmium, copper and zinc was comparatively low, most likely due to inherent stability of these elements within the sediments, perhaps as a result of their refractory origin, their association with fine-grained sediments or their being bound in stable sulphide complexes. Metal release was not sustained due to the powerful effect of metal-sulphide precipitation of dissolved metals back into sediments. The limited mobilisation of sediment bound metals during hypoxia is encouraging, nevertheless the results highlight particular problems for management in areas where hypoxia might occur, such as the release of metals exacerbating already high loads or resulting in localised toxicity. (C) 2012 Elsevier B.V. All rights reserved.</t>
  </si>
  <si>
    <t>[Banks, Joanne L.; Keough, Michael J.] Univ Melbourne, Dept Zool, Melbourne, Vic 3010, Australia; [Ross, D. Jeff; Macleod, Catriona K.] Nubeena Crescent, Inst Marine &amp; Antarctic Studies, Taroona, Tas 7053, Australia; [Eyre, Bradley D.] So Cross Univ, Sch Environm Sci &amp; Management, Ctr Coastal Biogeochem, Lismore, NSW 2480, Australia</t>
  </si>
  <si>
    <t>University of Melbourne; Melbourne Bioinformatics; University of Tasmania; Southern Cross University</t>
  </si>
  <si>
    <t>Banks, JL (corresponding author), Univ Melbourne, Dept Zool, Melbourne, Vic 3010, Australia.</t>
  </si>
  <si>
    <t>jlbanks@student.unimelb.edu.au; Jeff.Ross@utas.edu.au; mjkeough@unimelb.edu.au; bradley.eyre@scu.edu.au; Catriona.Macleod@utas.edu.au</t>
  </si>
  <si>
    <t>Eyre, Bradley/C-2527-2013; Ross, Donald/F-7607-2012; Macleod, Catriona/J-7176-2014</t>
  </si>
  <si>
    <t>Eyre, Bradley/0000-0001-5502-0680; Ross, Donald/0000-0002-8659-3833; Keough, Michael/0000-0002-3382-3068; Macleod, Catriona/0000-0002-0539-6361</t>
  </si>
  <si>
    <t>ARC [LP0770222]</t>
  </si>
  <si>
    <t>ARC(Australian Research Council)</t>
  </si>
  <si>
    <t>We thank Andrew Pender for field and laboratory assistance and Graham Lancaster, Environmental Analysis Laboratories (EAL) and John O'Reilly of Analytical Services Tasmania (AST) for sample processing. This work was supported by an ARC Linkage grant (LP0770222).</t>
  </si>
  <si>
    <t>10.1016/j.scitotenv.2012.01.033</t>
  </si>
  <si>
    <t>914ZA</t>
  </si>
  <si>
    <t>WOS:000301991200024</t>
  </si>
  <si>
    <t>Sakaguchi, K; Nagatsuma, T; Ogawa, T; Obara, T; Troshichev, OA</t>
  </si>
  <si>
    <t>Sakaguchi, K.; Nagatsuma, T.; Ogawa, T.; Obara, T.; Troshichev, O. A.</t>
  </si>
  <si>
    <t>Ionospheric Pc5 plasma oscillations observed by the King Salmon HF radar and their comparison with geomagnetic pulsations on the ground and in geostationary orbit</t>
  </si>
  <si>
    <t>FIELD LINE RESONANCES; SOLAR-WIND VELOCITY; STARE AURORAL RADAR; WAVE POWER; MAGNETOSPHERE; SUPERDARN; MICROPULSATIONS; ATMOSPHERE; ELECTRONS; DYNAMICS</t>
  </si>
  <si>
    <t>We analyzed Pc5 (1.7-6.7 mHz) oscillations of ionospheric Doppler plasma velocity observed on a westward pointing beam 3 of the SuperDARN King Salmon HF radar in Alaska during the solar maximum in 2002 and the minimum in 2007. Local time distributions of the ionospheric Pc5 oscillations showed peculiar asymmetric characteristics in both years; that is, the occurrence probability had a maximum around the magnetic midnight, whereas backscatter echoes exhibited almost no oscillation on the dayside. We compared these ionospheric Pc5 events with magnetic field variations on the ground under the radar beam at Pebek and King Salmon and the geostationary ETS-8 satellite at almost conjugate longitude. We found only a few nightside events where both the radar and magnetometers detected similar sinusoidal oscillations. On the other hand, from statistical spectral analyses we found that there were positive correlations between the integrated Pc5 range spectral power of velocity oscillations and the geomagnetic pulsations both on the ground and in geostationary orbit although the pulsation powers were quite low. For these ionospheric Pc5 events, we found that both solar wind bulk flow speed and dynamic pressure showed no correlation with the spectral power and more than half of the Pc5 events were observed when the geomagnetic activities were low as inferred from the AE and Dst indices. These results indicate that the azimuthal Pc5 oscillation in the ionospheric plasma flow does not represent well-known characteristics of Pc5 pulsations driven by solar wind changes. We consider that the nightside occurrence peak of the ionospheric Pc5 oscillation might be related to diurnal changes in the ionospheric conductivity, which controls the amplitude of wave electric fields in the ionosphere. Therefore, the Pc5 wave power distributions obtained by radar observations provide features different from those obtained from magnetic field observations.</t>
  </si>
  <si>
    <t>[Sakaguchi, K.; Nagatsuma, T.; Ogawa, T.] Natl Inst Informat &amp; Commun Technol, Koganei, Tokyo 1848795, Japan; [Obara, T.] Japan Aerosp Explorat Agcy, Tsukuba, Ibaraki, Japan; [Troshichev, O. A.] Arctic &amp; Antarctic Res Inst, St Petersburg 199226, Russia</t>
  </si>
  <si>
    <t>National Institute of Information &amp; Communications Technology (NICT) - Japan; Japan Aerospace Exploration Agency (JAXA); Arctic &amp; Antarctic Research Institute</t>
  </si>
  <si>
    <t>Sakaguchi, K (corresponding author), Natl Inst Informat &amp; Commun Technol, 4-2-1 Nukuikitamachi, Koganei, Tokyo 1848795, Japan.</t>
  </si>
  <si>
    <t>kaoris@nict.go.jp</t>
  </si>
  <si>
    <t>Sakaguchi, Kaori/T-5260-2019; Nagatsuma, Tsutomu/AAS-8526-2020</t>
  </si>
  <si>
    <t>Sakaguchi, Kaori/0000-0002-3240-1293; Nagatsuma, Tsutomu/0000-0002-9334-0738; Obara, Takahiro/0000-0003-2811-4619</t>
  </si>
  <si>
    <t>A03218</t>
  </si>
  <si>
    <t>10.1029/2011JA016923</t>
  </si>
  <si>
    <t>910TR</t>
  </si>
  <si>
    <t>WOS:000301666000001</t>
  </si>
  <si>
    <t>Le Roux, JP</t>
  </si>
  <si>
    <t>Le Roux, J. P.</t>
  </si>
  <si>
    <t>A review of Tertiary climate changes in southern South America and the Antarctic Peninsula. Part 2: continental conditions</t>
  </si>
  <si>
    <t>Climate change; Tertiary; South America; Antarctic Peninsula; Sea-floor spreading; Greenhouse gases; Andes Range</t>
  </si>
  <si>
    <t>FORMATION UPPER MIOCENE; ACTIVE SPREADING RIDGE; SANTA-CRUZ PROVINCE; OLIGOCENE ICE-SHEET; KING GEORGE ISLAND; STABLE-ISOTOPE; ATACAMA DESERT; MIDDLE MIOCENE; PALEOCLIMATIC IMPLICATIONS; SEDIMENTOLOGICAL EVIDENCE</t>
  </si>
  <si>
    <t>Climate changes in southern South America and the Antarctic Peninsula during the Tertiary show a strong correlation with ocean warming and cooling events, which are in turn related to tectonic processes. During periods of accelerated sea-floor spreading and mid-ocean ridge activity, sea-levels rose so that parts of the continents were flooded and forests were destroyed. However, this was balanced by the large-scale release of CO2 during volcanic outgassing and carbonate precipitation on the continental shelves, which caused rising air temperatures and the poleward expansion of (sub)tropical and temperate forests. Cooling episodes generally caused an increase in the north-south thermal gradient because of an equatorward shift in climate belts, so that the Westerly Winds intensified and brought higher rainfall to the lower latitudes. An increase in wind-blown dust caused temperatures to drop further by reflecting sunlight back into space. The rising Andes Range had a marked influence on climate patterns. Up to the middle Miocene it was still low enough to allow summer rainfall to reach central and north-central Chile, but after about 14 Ma it rose rapidly and effectively blocked the spill-over of moisture from the Atlantic Ocean and Amazon Basin. At this time, the cold Humboldt Current was also established, which together with the Andes helped to create the Arid Diagonal of southern South America stretching from the Atacama Desert to the dry steppes of Patagonia. This caused the withdrawal of subtropical forests to south-central Chile and the expansion of sclerophytic vegetation to central Chile. However, at the same time it intercepted more rain from the northeast, causing the effect of the South American monsoon to intensify in northwestern Argentina and southern Bolivia, where forest communities presently occur. In Patagonia, glaciation started as early as 10.5 Ma, but by 7 Ma had become a prominent feature of the landscape and continued apparently uninterruptedly into the Pleistocene. The Antarctic Peninsula saw its first mountain glaciation between 45 and 41 Ma, with major ice sheet expansion commencing at about 34 Ma. Isolated stands of Nothofagus forests were still present in low-lying areas, suggesting that the glaciers were initially wet-based, but dry-based glaciers were established at around 8 Ma. Although temperatures rose briefly during the Messinian-Pliocene transition, causing sub-Antarctic flora to retreat to higher elevations of the Transantarctic Mountains, the present cold polar conditions were finally established by about 3 Ma. (C) 2011 Elsevier B.V. All rights reserved.</t>
  </si>
  <si>
    <t>Univ Chile, Dept Geol, Fac Ciencias Fis &amp; Matemat, Ctr Excelencia Geotermia los Andes, Santiago, Chile</t>
  </si>
  <si>
    <t>Universidad de Chile</t>
  </si>
  <si>
    <t>Le Roux, JP (corresponding author), Univ Chile, Dept Geol, Fac Ciencias Fis &amp; Matemat, Ctr Excelencia Geotermia los Andes, Casilla 13518,Correo 21, Santiago, Chile.</t>
  </si>
  <si>
    <t>jroux@ing.uchile.cl</t>
  </si>
  <si>
    <t>Le Roux, Jacobus/A-9765-2008; Le Roux, Jacobus Philippus/U-7085-2019</t>
  </si>
  <si>
    <t>Le Roux, Jacobus/0000-0003-0173-4471; Le Roux, Jacobus Philippus/0000-0003-0173-4471</t>
  </si>
  <si>
    <t>World Bank [ARTG-04, ATC-105]; CONICYT; INACH</t>
  </si>
  <si>
    <t>World Bank(The World Bank India); CONICYT(Comision Nacional de Investigacion Cientifica y Tecnologica (CONICYT)); INACH</t>
  </si>
  <si>
    <t>This paper is based partly on the results of two successive Anillos projects: ARTG-04 (Conexiones Geologicas entre Antartica Occidental y Patagonia desde el Paleozoico Tardio: Tectonica, Paleogeografia, Biogeografia y Paleoclima), and ATC-105 (Evolucion Geologica y Paleontologica de las Cuencas de Magallanes y Larsen en el Mesozoico y Cenozoico: Fuente de sus Detritos y Posibles Equivalencias), funded by the World Bank, CONICYT and INACH. The Editor, Jasper Knight, and two anonymous reviewers made valuable comments to improve the paper.</t>
  </si>
  <si>
    <t>10.1016/j.sedgeo.2011.12.001</t>
  </si>
  <si>
    <t>910KE</t>
  </si>
  <si>
    <t>WOS:000301634800002</t>
  </si>
  <si>
    <t>Kendrick, MA; Kamenetsky, VS; Phillips, D; Honda, M</t>
  </si>
  <si>
    <t>Kendrick, Mark A.; Kamenetsky, Vadim S.; Phillips, David; Honda, Masahiko</t>
  </si>
  <si>
    <t>Halogen systematics (Cl, Br, I) in Mid-Ocean Ridge Basalts: A Macquarie Island case study</t>
  </si>
  <si>
    <t>GEOCHIMICA ET COSMOCHIMICA ACTA</t>
  </si>
  <si>
    <t>POPPING ROCK; NOBLE-GASES; CHLORINE; GLASSES; MANTLE; MORB; BENEATH; ASSIMILATION; CONSTRAINTS; INCLUSIONS</t>
  </si>
  <si>
    <t>The abundance of halogens (Cl, Br and I) in the Earth's mantle has the potential to provide information about mantle metasomatism and volatile recycling in subduction zones. Basalt melts sample different parts of the Earth's mantle, but few data are available for Br or I in basalt melts, and the relative partitioning behaviour of these elements has not been investigated rigorously. To address these issues, we determined the abundances of Cl, Br and I in enriched Mid-Ocean Ridge Basalt (E-MORB) glasses from Macquarie Island in the southwest Pacific. The Macquarie Island glasses are fairly typical of Pacific MORB with MgO of similar to 5.5. to 9 wt%, Sr-87/Sr-86 of 0.70257-0.70276, Nd-143/Nd-144 of 0.51300-0.51306 and He-3/He-4 of similar to 8 Ra. These glasses provide a unique opportunity to investigate halogen partitioning behaviour, because their variable MgO contents and trace element signatures (e. g. La/Sm similar to 1.4-7.9) result from different degrees of partial melting and fractional crystallisation. The combined measurement of Br/Cl, I/Cl and K/Cl, together with correlations between Cl and other trace elements, demonstrate that the halogens in the Macquarie Island glasses had a mantle source and were not influenced by seawater contamination. Log-log correlation diagrams indicate that Cl, Br and K were not statistically fractionated during partial melting, crystallisation or degassing of CO2 from these melts. The behaviour of I is less well constrained and minor fractionation of I/Cl cannot be precluded during multi-stage melting and enrichment processes. The data indicate the mantle source of the Macquarie Island glasses was characterised by K/Cl of 13 +/- 4, Br/Cl of (3.7 +/- 0.5) x 10(-3) and I/Cl of (130 +/- 100) x 10(-6) (2 sigma uncertainties; weight ratios). The K/Cl ratio of the Macquarie Island glasses is equivalent to the median of all published MORB data. This suggests the Br/Cl and I/Cl values may also be representative of average MORB mantle values. (C) 2011 Elsevier Ltd. All rights reserved.</t>
  </si>
  <si>
    <t>[Kendrick, Mark A.; Phillips, David] Univ Melbourne, Sch Earth Sci, Melbourne, Vic 3010, Australia; [Kamenetsky, Vadim S.] Univ Tasmania, ARC Ctr Excellence Ore Deposits, Hobart, Tas 7001, Australia; [Kamenetsky, Vadim S.] Univ Tasmania, Inst Marine &amp; Antarctic Studies, Hobart, Tas 7001, Australia; [Honda, Masahiko] Australian Natl Univ, Res Sch Earth Sci, Canberra, ACT 0200, Australia</t>
  </si>
  <si>
    <t>University of Melbourne; Melbourne Bioinformatics; University of Tasmania; University of Tasmania; Australian National University</t>
  </si>
  <si>
    <t>Kendrick, MA (corresponding author), Univ Melbourne, Sch Earth Sci, Melbourne, Vic 3010, Australia.</t>
  </si>
  <si>
    <t>mark.kendrick@unimelb.edu.au</t>
  </si>
  <si>
    <t>Kamenetsky, Vadim/K-2200-2019; Kamenetsky, Vadim/CAF-7424-2022; Honda, Masahiko/I-5979-2019; Kamenetsky, Vadim/B-1019-2008; Kendrick, Mark/F-8824-2012</t>
  </si>
  <si>
    <t>Honda, Masahiko/0000-0002-9545-9855; Kamenetsky, Vadim/0000-0002-2734-8790; Kendrick, Mark/0000-0002-6541-4162; Phillips, David/0000-0001-7256-6730</t>
  </si>
  <si>
    <t>Australian Research Council QEII [DP0879451]; Australian Research Council [DP0555984]; University of Tasmania; Australian Research Council [DP0555984, DP0879451] Funding Source: Australian Research Council</t>
  </si>
  <si>
    <t>Australian Research Council QEII(Australian Research Council); Australian Research Council(Australian Research Council); University of Tasmania; Australian Research Council(Australian Research Council)</t>
  </si>
  <si>
    <t>Stanislav Szczepanski is thanked for technical assistance in the Melbourne University Noble Gas Laboratory. Maya Kamenetsky is gratefully acknowledged for help with sample preparation. Dr. M.A. Kendrick is the recipient of an Australian Research Council QEII Fellowship (Project No. DP0879451). Dr. V. S. Kamenetsky is the recipient of an Australian Research Council Professorial Fellowship (Project No. DP0555984) and the University of Tasmania New Star Proffessorship. Bill McDonough and Ray Burgess are gratefully acknowledged for constructive comments on an earlier version of this manuscript and we thank Alessandro Aiuppa and two anonymous reviewers for constructive reviews of the current contribution.</t>
  </si>
  <si>
    <t>0016-7037</t>
  </si>
  <si>
    <t>1872-9533</t>
  </si>
  <si>
    <t>GEOCHIM COSMOCHIM AC</t>
  </si>
  <si>
    <t>Geochim. Cosmochim. Acta</t>
  </si>
  <si>
    <t>10.1016/j.gca.2011.12.004</t>
  </si>
  <si>
    <t>894TO</t>
  </si>
  <si>
    <t>WOS:000300450000007</t>
  </si>
  <si>
    <t>Heid, T; Kääb, A</t>
  </si>
  <si>
    <t>Heid, T.; Kaab, A.</t>
  </si>
  <si>
    <t>Evaluation of existing image matching methods for deriving glacier surface displacements globally from optical satellite imagery</t>
  </si>
  <si>
    <t>Image matching; Optical imagery; Glacier; Landsat; Surface displacement; Global</t>
  </si>
  <si>
    <t>MASS-BALANCE; ANTARCTIC PENINSULA; ICE SHELF; VELOCITY; DEFORMATION; BEHAVIOR; TERRAIN; SURGE; FIELD</t>
  </si>
  <si>
    <t>Automatic matching of images from two different times is a method that is often used to derive glacier surface velocity. Nearly global repeat coverage of the Earth's surface by optical satellite sensors now opens the possibility for global-scale mapping and monitoring of glacier flow with a number of applications in, for example, glacier physics, glacier-related climate change and impact assessment, and glacier hazard management. The purpose of this study is to compare and evaluate different existing image matching methods for glacier flow determination over large scales. The study compares six different matching methods: normalized cross-correlation (NCC), the phase correlation algorithm used in the COSI-Corr software, and four other Fourier methods with different normalizations. We compare the methods over five regions of the world with different representative glacier characteristics: Karakoram, the European Alps, Alaska, Pine Island (Antarctica) and southwest Greenland. Landsat images are chosen for matching because they expand back to 1972, they cover large areas, and at the same time their spatial resolution is as good as 15 m for images after 1999 (ETM + pan). Cross-correlation on orientation images (CCF-O) outperforms the three similar Fourier methods, both in areas with high and low visual contrast. NCC experiences problems in areas with low visual contrast, areas with thin clouds or changing snow conditions between the images. CCF-O has problems on narrow outlet glaciers where small window sizes (about 16 pixels by 16 pixels or smaller) are needed, and it also obtains fewer correct matches than COSI-Corr in areas with low visual contrast. COSI-Corr has problems on narrow outlet glaciers and it obtains fewer correct matches compared to CCF-O when thin clouds cover the surface, or if one of the images contains snow dunes. In total, we consider CCF-O and COSI-Corr to be the two most robust matching methods for global-scale mapping and monitoring of glacier velocities. If combining CCF-O with locally adaptive template sizes and by filtering the matching results automatically by comparing the displacement matrix to its low pass filtered version, the matching process can be automated to a large degree. This allows the derivation of glacier velocities with minimal (but not without!) user interaction and hence also opens up the possibility of global-scale mapping and monitoring of glacier flow. (C) 2011 Elsevier Inc. All rights reserved.</t>
  </si>
  <si>
    <t>[Heid, T.; Kaab, A.] Dept Geosci, N-0316 Oslo, Norway</t>
  </si>
  <si>
    <t>Heid, T (corresponding author), Dept Geosci, POB 1047 Blindern, N-0316 Oslo, Norway.</t>
  </si>
  <si>
    <t>torborgh@geo.uio.no; andreas.kaeaeb@geo.uio.no</t>
  </si>
  <si>
    <t>Kääb, Andreas/AAG-8769-2020</t>
  </si>
  <si>
    <t>Kääb, Andreas/0000-0002-6017-6564</t>
  </si>
  <si>
    <t>Research Council of Norway [185906/V30]; ESA Climate Change Initiative [4000101778/10/I-AM]</t>
  </si>
  <si>
    <t>Research Council of Norway(Research Council of Norway); ESA Climate Change Initiative</t>
  </si>
  <si>
    <t>COSI-Corr is developed by S. Leprince, S. Barbot, F. Ayoub and J.P. Avouac and is available for download from the website http://www.tectonics.caltech.edu/slip_history/spot_coseis/index.html. We thank S. Leprince for insightful comments. Landsat images are downloaded from http://glovis.usgs.gov/. Comments and suggestions from B. Raup and three anonymous reviewers greatly improved the paper. The study is supported by The Research Council of Norway through the Precise analysis of mass movements through correlation of repeat images (CORRIA) project (No. 185906/V30) and the ESA Climate Change Initiative project Glaciers_cci (4000101778/10/I-AM). The study is also a contribution to the Monitoring Earth surface changes from space study by the Keck Institute for Space Studies at Caltech/JPL Misganu Debella-Gilo derived the displacements using the adaptive approach and created synthetic displacement images.</t>
  </si>
  <si>
    <t>10.1016/j.rse.2011.11.024</t>
  </si>
  <si>
    <t>895SW</t>
  </si>
  <si>
    <t>WOS:000300517700029</t>
  </si>
  <si>
    <t>Hendry, KR; Robinson, LF</t>
  </si>
  <si>
    <t>Hendry, Katharine R.; Robinson, Laura F.</t>
  </si>
  <si>
    <t>The relationship between silicon isotope fractionation in sponges and silicic acid concentration: Modern and core-top studies of biogenic opal</t>
  </si>
  <si>
    <t>PLANKTONIC-FORAMINIFERA; HALICHONDRIA PANICEA; SILICEOUS SPONGES; UPTAKE KINETICS; SOUTHERN-OCEAN; MG/CA; DIATOMS; SR/CA; DELTA-O-18; NUTRIENTS</t>
  </si>
  <si>
    <t>Recent work has shown the silicon isotope composition, denoted by delta Si-30, of deep-sea sponges reflects the concentration of ambient silicic acid (Si(OH)(4)) in seawater. However, existing calibrations are based predominantly on living sponges collected from the Southern Ocean. These data cannot, however, be used to determine whether other parameters that correlate with silicic acid in the Southern Ocean, such as temperature and salinity, influence delta Si-30 of sponges. Furthermore, the published data do not demonstrate whether disaggregated core-top sedimentary spicules preserve the primary delta Si-30 signal recorded in living sponges. Here, we address both of these issues. We refine and widen the existing calibration by including a global distribution of modern sponges. In addition, we provide the first systematic calibration from spicules picked from core-top sediments that covers sites from different ocean basins. The relationship between Si(OH)(4) and delta Si-30 in sponge spicules is the same in different ocean basins, between specimens that grew in different temperature and salinity conditions. Our core-top data agree well with the modern sponge calibration indicating there are no significant post-depositional effects or early diagenetic overprints. These two new datasets support the assertion that sponge delta Si-30 can be used as a proxy for silicic acid concentrations in the past. (C) 2011 Elsevier Ltd. All rights reserved.</t>
  </si>
  <si>
    <t>[Hendry, Katharine R.; Robinson, Laura F.] Woods Hole Oceanog Inst, Dept Marine Chem &amp; Geochem, Woods Hole, MA 02543 USA; [Hendry, Katharine R.] Cardiff Univ, Sch Ocean &amp; Earth Sci, Cardiff CF10 3AT, S Glam, Wales; [Robinson, Laura F.] Univ Bristol, Dept Earth Sci, Bristol BS8 1RJ, Avon, England</t>
  </si>
  <si>
    <t>Woods Hole Oceanographic Institution; Cardiff University; University of Bristol</t>
  </si>
  <si>
    <t>Hendry, KR (corresponding author), Woods Hole Oceanog Inst, Dept Marine Chem &amp; Geochem, Woods Hole, MA 02543 USA.</t>
  </si>
  <si>
    <t>khendry@whoi.edu</t>
  </si>
  <si>
    <t>; Hendry, Katharine/E-4793-2011</t>
  </si>
  <si>
    <t>Robinson, Laura/0000-0001-6811-0140; Hendry, Katharine/0000-0002-0790-5895</t>
  </si>
  <si>
    <t>National Science Foundation [1029986, 0944474, 0902957]; WHOI; Directorate For Geosciences; Division Of Polar Programs [0944474] Funding Source: National Science Foundation; Directorate For Geosciences; Office of Polar Programs (OPP) [1127582] Funding Source: National Science Foundation; Division Of Ocean Sciences; Directorate For Geosciences [1029986] Funding Source: National Science Foundation; Division Of Polar Programs; Directorate For Geosciences [0902957] Funding Source: National Science Foundation</t>
  </si>
  <si>
    <t>National Science Foundation(National Science Foundation (NSF)); WHOI; Directorate For Geosciences; Division Of Polar Programs(National Science Foundation (NSF)NSF - Directorate for Geosciences (GEO)); Directorate For Geosciences; Office of Polar Programs (OPP)(National Science Foundation (NSF)NSF - Directorate for Geosciences (GEO)); Division Of Ocean Sciences; Directorate For Geosciences(National Science Foundation (NSF)NSF - Directorate for Geosciences (GEO)); Division Of Polar Programs; Directorate For Geosciences(National Science Foundation (NSF)NSF - Directorate for Geosciences (GEO))</t>
  </si>
  <si>
    <t>The authors would like to thank the following for collection of sponge specimens: Dann Blackwood (USGS, Woods Hole), Rhian Waller (University of Maine), Chris Kelley (University of Hawaii), Nicholas White (University of Cambridge), Jade Berman and Andy Clarke (British Antarctic Survey). Further specimens were obtained from the Smithsonian. Hawaiian samples were collected with Papahanaumokuakea Monument permit # PMNM-2009-053. Core samples were obtained with the assistance of Lloyd Keigwin and Ellen Roosen (WHOI), Stefan Mulitza (University of Bremen), Claire Allen and Claus-Deiter Hillenbrand (BAS), and Jerry McManus (Lamont Doherty Earth Observatory, Columbia University). Many thanks to Jurek Blusztjan and Maureen Auro (WHOI), Mark Brzezinski and Charlotte Beucher (University of California Santa Barbara), Ros Rickaby and Alex Halliday (Oxford University) for assistance in the laboratory, and with analyses and discussion. Thanks to Mark Brzezinski, Martin Wille, James McManus and an anonymous reviewer for constructive reviews of the manuscript. Many thanks to the captain and crew of the R/V Nathaniel B Palmer (dredge samples were collected on cruises NBP0805 and NBP1103). This work was funded by the National Science Foundation (MGG Grant 1029986; OPP ANT Grants 0944474 and 0902957) and with the support of a WHOI Doherty Scholarship.</t>
  </si>
  <si>
    <t>10.1016/j.gca.2011.12.010</t>
  </si>
  <si>
    <t>WOS:000300450000001</t>
  </si>
  <si>
    <t>Simmonds, I; Keay, K; Bye, JAT</t>
  </si>
  <si>
    <t>Simmonds, Ian; Keay, Kevin; Bye, John Arthur Tristram</t>
  </si>
  <si>
    <t>Identification and Climatology of Southern Hemisphere Mobile Fronts in a Modern Reanalysis</t>
  </si>
  <si>
    <t>EXTRATROPICAL CYCLONE CHARACTERISTICS; COOL-SEASON RAINFALL; OBJECTIVE IDENTIFICATION; NORTHERN-HEMISPHERE; PATTERN-RECOGNITION; TRACKING METHODS; CLUSTER-ANALYSIS; COLD FRONTS; VARIABILITY; CIRCULATION</t>
  </si>
  <si>
    <t>Presented here is an objective approach to identify, characterize, and track Southern Hemisphere mobile fronts in hemispheric analyses of relatively modest resolution, such as reanalyses. Among the principles in its design were that it should be based on broadscale synoptic considerations and be as simple and easily understood as possible. The resulting Eulerian scheme has been applied to the European Centre for Medium-Range Weather Forecasts (ECMWF) Re-Analysis (ERA) Interim and a climatology of frontal characteristics, at both the 10-m and 850-hPa levels, derived for the period 1 January 1989-28 February 2009. The knowledge of the character of these features is central to understanding weather and climate over the hemisphere. In both summer and winter the latitude belt 40 degrees-60 degrees S hosts the highest frequency of frontal points, but there are significant zonal asymmetries within this band. The climatology reveals that the longest fronts are in the Indian Ocean where mean lengths exceed 2000 km. The mean frontal intensity over the hemisphere tends to be greater at 850 hPa than at 10 m, and greater in winter than in summer. The frontal intensity also shows its maximum in the Indian Ocean. In the mean, the meridional tilt of these fronts is northwest southeast over much of the midlatitudes and subtropics, and increases with latitude toward the equator. The tilts are of overwhelmingly opposite sign in the coastal Antarctic and subantarctic regions. Broadly speaking, the number of fronts and their mean length and mean intensity exhibit maxima in winter in the midlatitudes (30 degrees-50 degrees S), but show a sizeable semiannual variation (maxima in fall and spring) during the year at higher latitudes.</t>
  </si>
  <si>
    <t>[Simmonds, Ian; Keay, Kevin; Bye, John Arthur Tristram] Univ Melbourne, Sch Earth Sci, Melbourne, Vic 3010, Australia</t>
  </si>
  <si>
    <t>University of Melbourne; Melbourne Bioinformatics</t>
  </si>
  <si>
    <t>Simmonds, I (corresponding author), Univ Melbourne, Sch Earth Sci, Melbourne, Vic 3010, Australia.</t>
  </si>
  <si>
    <t>simmonds@unimelb.edu.au</t>
  </si>
  <si>
    <t>Simmonds, Ian/0000-0002-4479-3255</t>
  </si>
  <si>
    <t>Australian Research Council</t>
  </si>
  <si>
    <t>Australian Research Council(Australian Research Council)</t>
  </si>
  <si>
    <t>Parts of this research were made possible by a grant from the Australian Research Council. The ERA Interim data used in this paper were provided courtesy of ECMWF and are freely available via the ECMWF data server (http://data.ecmwf.int/). We wish to thank Mike Willmott of the Observations and Engineering Branch, Bureau of Meteorology, for his assistance in preparing the satellite image in Fig. 1. We are also grateful for the very constructive comments of two reviewers.</t>
  </si>
  <si>
    <t>10.1175/JCLI-D-11-00100.1</t>
  </si>
  <si>
    <t>910EP</t>
  </si>
  <si>
    <t>WOS:000301620300011</t>
  </si>
  <si>
    <t>Johnson, M; Proshutinsky, A; Aksenov, Y; Nguyen, AT; Lindsay, R; Haas, C; Zhang, JL; Diansky, N; Kwok, R; Maslowski, W; Häkkinen, S; Ashik, I; de Cuevas, B</t>
  </si>
  <si>
    <t>Johnson, Mark; Proshutinsky, Andrey; Aksenov, Yevgeny; Nguyen, An T.; Lindsay, Ron; Haas, Christian; Zhang, Jinlun; Diansky, Nikolay; Kwok, Ron; Maslowski, Wieslaw; Haekkinen, Sirpa; Ashik, Igor; de Cuevas, Beverly</t>
  </si>
  <si>
    <t>Evaluation of Arctic sea ice thickness simulated by Arctic Ocean Model Intercomparison Project models</t>
  </si>
  <si>
    <t>MASS-BALANCE; NUMERICAL INVESTIGATIONS; CIRCULATION; VARIABILITY; TOPOGRAPHY; CLIMATE; REPRESENTATION; SCHEMES; SENSITIVITY; ADVECTION</t>
  </si>
  <si>
    <t>Six Arctic Ocean Model Intercomparison Project model simulations are compared with estimates of sea ice thickness derived from pan-Arctic satellite freeboard measurements (2004-2008); airborne electromagnetic measurements (2001-2009); ice draft data from moored instruments in Fram Strait, the Greenland Sea, and the Beaufort Sea (1992-2008) and from submarines (1975-2000); and drill hole data from the Arctic basin, Laptev, and East Siberian marginal seas (1982-1986) and coastal stations (1998-2009). Despite an assessment of six models that differ in numerical methods, resolution, domain, forcing, and boundary conditions, the models generally overestimate the thickness of measured ice thinner than similar to 2 m and underestimate the thickness of ice measured thicker than about similar to 2 m. In the regions of flat immobile landfast ice (shallow Siberian Seas with depths less than 25-30 m), the models generally overestimate both the total observed sea ice thickness and rates of September and October ice growth from observations by more than 4 times and more than one standard deviation, respectively. The models do not reproduce conditions of fast ice formation and growth. Instead, the modeled fast ice is replaced with pack ice which drifts, generating ridges of increasing ice thickness, in addition to thermodynamic ice growth. Considering all observational data sets, the better correlations and smaller differences from observations are from the Estimating the Circulation and Climate of the Ocean, Phase II and Pan-Arctic Ice Ocean Modeling and Assimilation System models.</t>
  </si>
  <si>
    <t>[Johnson, Mark] Univ Alaska Fairbanks, Inst Marine Sci, Fairbanks, AK 99775 USA; [Proshutinsky, Andrey] Woods Hole Oceanog Inst, Woods Hole, MA 02543 USA; [Aksenov, Yevgeny; de Cuevas, Beverly] Natl Oceanog Ctr, Southampton SO14 3ZH, Hants, England; [Nguyen, An T.] MIT, Dept Earth Atmospher &amp; Planetary, Cambridge, MA 02139 USA; [Lindsay, Ron; Zhang, Jinlun] Univ Washington, Polar Sci Ctr, Seattle, WA 98105 USA; [Haas, Christian] Univ Alberta, Dept Earth &amp; Atmospher Sci, Edmonton, AB T6G 2E3, Canada; [Diansky, Nikolay] Russian Acad Sci, Inst Numer Math, Moscow 119991, Russia; [Kwok, Ron] CALTECH, Jet Prop Lab, Pasadena, CA 91109 USA; [Maslowski, Wieslaw] USN, Postgrad Sch, Dept Oceanog, Monterey, CA 93943 USA; [Haekkinen, Sirpa] NASA, Goddard Space Flight Ctr, Greenbelt, MD 20771 USA; [Ashik, Igor] Arctic &amp; Antarctic Res Inst, St Petersburg 198095, Russia</t>
  </si>
  <si>
    <t>University of Alaska System; University of Alaska Fairbanks; Woods Hole Oceanographic Institution; NERC National Oceanography Centre; Massachusetts Institute of Technology (MIT); University of Washington; University of Washington Seattle; University of Alberta; Russian Academy of Sciences; National Aeronautics &amp; Space Administration (NASA); NASA Jet Propulsion Laboratory (JPL); California Institute of Technology; United States Department of Defense; United States Navy; Naval Postgraduate School; National Aeronautics &amp; Space Administration (NASA); NASA Goddard Space Flight Center; Arctic &amp; Antarctic Research Institute</t>
  </si>
  <si>
    <t>Johnson, M (corresponding author), Univ Alaska Fairbanks, Inst Marine Sci, POB 757220, Fairbanks, AK 99775 USA.</t>
  </si>
  <si>
    <t>majohnson@alaska.edu</t>
  </si>
  <si>
    <t>Lindsay, Ronald W/C-1083-2019; Haas, Christian/L-5279-2016; Kwok, Ronald/L-3968-2019; Diansky, Nikolay A/R-8307-2018; Hakkinen, Sirpa/E-1461-2012; Lindsay, Ron W/S-9083-2016; Kwok, Ron/A-9762-2008; Bloshkina, Ekaterina/I-6901-2015</t>
  </si>
  <si>
    <t>Haas, Christian/0000-0002-7674-3500; Kwok, Ronald/0000-0003-4051-5896; Kwok, Ron/0000-0003-4051-5896; Bloshkina, Ekaterina/0000-0002-2078-7459; Nguyen, An/0000-0002-6033-3726; Diansky, Nikolay/0000-0002-6785-1956; Proshutinsky, Andrey/0000-0003-3087-1934</t>
  </si>
  <si>
    <t>National Science Foundation Office of Polar [ARC-0804180, ARC-0804010, ARC-0805141, ARC080789, ARC0908769]; AOMIP; OPP project [ARC-0804010]; Alfred Wegener Institute in Germany; EU; Russian Foundation of Basic Research [09-05-00266, 09-05-01231]; UK Natural Environment Research Council [2025]; NERC [noc010005, noc010010] Funding Source: UKRI; Natural Environment Research Council [noc010010, noc010005] Funding Source: researchfish; Directorate For Geosciences; Office of Polar Programs (OPP) [0804010, 0856867, 0908769, 1203643] Funding Source: National Science Foundation; Office of Polar Programs (OPP); Directorate For Geosciences [0901987, 0856531] Funding Source: National Science Foundation</t>
  </si>
  <si>
    <t>National Science Foundation Office of Polar; AOMIP; OPP project; Alfred Wegener Institute in Germany; EU(European Union (EU)); Russian Foundation of Basic Research(Russian Foundation for Basic Research (RFBR)); UK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 Directorate For Geosciences; Office of Polar Programs (OPP)(National Science Foundation (NSF)NSF - Directorate for Geosciences (GEO)); Office of Polar Programs (OPP); Directorate For Geosciences(National Science Foundation (NSF)NSF - Directorate for Geosciences (GEO))</t>
  </si>
  <si>
    <t>This research is supported by the National Science Foundation Office of Polar Programs covering awards of AOMIP collaborative research projects: ARC-0804180 (M.J.), ARC-0804010 (A.P.), ARC-0805141 (W.M.), ARC080789, and ARC0908769 (J.Z.). Travel support to attend AOMIP meetings and publications fees for Y.A., I.A., B.d.C., S. H., R.K., R.L., and A.N. were provided by OPP project ARC-0804010. C.H. is grateful for support with data acquisitions through the Alfred Wegener Institute in Germany and various EU projects. This research is also supported by the Russian Foundation of Basic Research, projects 09-05-00266 and 09-05-01231. At the National Oceanography Centre Southampton, this study was funded by the UK Natural Environment Research Council as a contribution to the Marine Centres' Strategic Research Programme Oceans 2025. The NOCS-ORCA simulations were undertaken as part of the DRAKKAR collaboration [ Bernard et al., 2006]. NOCS also acknowledges the use of UK National High Performance Computing Resource.</t>
  </si>
  <si>
    <t>C00D13</t>
  </si>
  <si>
    <t>10.1029/2011JC007257</t>
  </si>
  <si>
    <t>910VI</t>
  </si>
  <si>
    <t>WOS:000301670800001</t>
  </si>
  <si>
    <t>A review of Tertiary climate changes in southern South America and the Antarctic Peninsula. Part 1: Oceanic conditions</t>
  </si>
  <si>
    <t>Climate change; Tertiary; South America; Antarctic Peninsula; Continental drift; Ocean circulation</t>
  </si>
  <si>
    <t>TIERRA-DEL-FUEGO; SEA-LEVEL CHANGES; EOCENE-OLIGOCENE TRANSITION; LATE CRETACEOUS TIME; CENTRAL CHILE; DRAKE PASSAGE; ICE-SHEET; LATE MIOCENE; CALCAREOUS NANNOFOSSILS; PATAGONIA ARGENTINA</t>
  </si>
  <si>
    <t>Oceanic conditions around southern South America and the Antarctic Peninsula have a major influence on climate patterns in these subcontinents. During the Tertiary, changes in ocean water temperatures and currents also strongly affected the continental climates and seem to have been controlled in turn by global tectonic events and sea-level changes. During periods of accelerated sea-floor spreading, an increase in the midocean ridge volumes and the outpouring of basaltic lavas caused a rise in sea-level and mean ocean temperature, accompanied by the large-scale release of CO2. The precursor of the South Equatorial Current would have crossed the East Pacific Rise twice before reaching the coast of southern South America, thus heating up considerably during periods of ridge activity. The absence of the Antarctic Circumpolar Current before the opening of the Drake Passage suggests that the current flowing north along the present western seaboard of southern South American could have been temperate even during periods of ridge inactivity, which might explain the generally warm temperatures recorded in the Southeast Pacific from the early Oligocene to middle Miocene. Along the east coast of southern South America, water temperatures also fluctuated between temperate-cool and warm until the early Miocene, when the first incursion of temperate-cold to cold Antarctic waters is recorded. The cold Falkland/Malvinas Current initiated only after the middle Miocene. After the opening of the Drake Passage, the South Equatorial Current would have joined the newly developed, cold Antarctic Circumpolar Current on its way to Southern South America. During periods of increased sea-floor spreading, it would have contributed heat to the Antarctic Circumpolar Current that caused a poleward shift in climatic belts. However, periods of decreased sea-floor spreading would have been accompanied by diminishing ridge volumes and older, cooler and denser oceanic plates, causing global sea-level falls. This would have resulted in a narrowing of the Drake Passage, an intensification of the Antarctic Circumpolar Current that enhanced the isolation of Antarctica from warmer northern waters, and increased glaciation on the Antarctic Peninsula. Colder ocean surface waters would also have trapped more CO2, enhancing climate cooling on the adjacent continents. During these periods the atmospheric belts shifted equatorward and increased the latitudinal thermal gradient, leading to higher wind velocities and enhanced oceanic upwelling along the western seaboard of Southern South America. (C) 2011 Elsevier B.V. All rights reserved.</t>
  </si>
  <si>
    <t>jpleroux@terra.cl</t>
  </si>
  <si>
    <t>This paper is based partly on the results of two successive Anillos Projects: ARTG-04 (Conexiones Geologicas entre Antartica Occidental y Patagonia desde el Paleozoico Tardio: Tectonica, Paleogeografia, Biogeografia y Paleoclima), and ATC-105 (Evolucion Geologica y Paleontologica de las Cuencas de Magallanes y Larsen en el Mesozoico y Cenozoico: Fuente de sus Detritos y Posibles Equivalencias), funded by the World Bank, CONICYT and INACH. I am indebted to the editor, Jasper Knight, Stephen Gallagher, and an anonymous reviewer who provided valuable comments that significantly improved this paper.</t>
  </si>
  <si>
    <t>10.1016/j.sedgeo.2011.12.014</t>
  </si>
  <si>
    <t>WOS:000301634800001</t>
  </si>
  <si>
    <t>Vasil, CA; Polito, MJ; Patterson, WP; Emslie, SD</t>
  </si>
  <si>
    <t>Vasil, Christopher A.; Polito, Michael J.; Patterson, William P.; Emslie, Steven D.</t>
  </si>
  <si>
    <t>Wanted: dead or alive? Isotopic analysis (δ13C and δ15N) of Pygoscelis penguin chick tissues supports opportunistic sampling</t>
  </si>
  <si>
    <t>RAPID COMMUNICATIONS IN MASS SPECTROMETRY</t>
  </si>
  <si>
    <t>CARBON STABLE-ISOTOPES; ALLOCHTHONOUS INPUT; NUTRITIONAL STRESS; FORAGING ECOLOGY; NITROGEN; SEABIRD; DIET; FRACTIONATION; COMPONENTS; DYNAMICS</t>
  </si>
  <si>
    <t>RATIONALE: Physiological stress and starvation have been shown to affect delta C-13 and delta N-15 isotope values and, given that animals often die from starvation, the cause of death may be an important factor to consider in stable isotope analyses of opportunistically collected samples. METHODS: We addressed this issue by comparing tissue stable isotope values of living and deceased Adelie (Pygoscelis adeliae) and Chinstrap Penguin (P. antarctica) chicks collected from the same respective populations. RESULTS: No significant difference was found between living and deceased penguin chick feather, down, and toenail isotope values and both groups displayed similar isotopic trends between tissue types. In addition, similar relationships were observed between both species and across several seasons. Furthermore, sub-dermal adiposity and cause of death (starvation and/or predation) had no significant effect on the delta C-13 and delta N-15 values. CONCLUSIONS: Our findings suggest that tissues from deceased penguins can be isotopically representative of tissues obtained from the living population, despite the cause of death, and support the use of opportunistic sampling in stable isotope analyses. Copyright (C) 2012 John Wiley &amp; Sons, Ltd.</t>
  </si>
  <si>
    <t>[Vasil, Christopher A.; Polito, Michael J.; Emslie, Steven D.] Univ N Carolina, Dept Biol &amp; Marine Biol, Wilmington, NC 28403 USA; [Patterson, William P.] Univ Saskatchewan, Isotope Lab, Dept Geol Sci, Saskatoon, SK S7N 5E2, Canada</t>
  </si>
  <si>
    <t>University of North Carolina; University of North Carolina Wilmington; University of Saskatchewan</t>
  </si>
  <si>
    <t>Polito, MJ (corresponding author), Univ N Carolina, Dept Biol &amp; Marine Biol, Wilmington, NC 28403 USA.</t>
  </si>
  <si>
    <t>mjp7454@uncw.edu</t>
  </si>
  <si>
    <t>Patterson, William P/J-6473-2012; Polito, Michael/G-9118-2012; , Bill/GSD-6628-2022</t>
  </si>
  <si>
    <t>Polito, Michael/0000-0001-8639-4431; Patterson, William/0000-0003-3387-708X</t>
  </si>
  <si>
    <t>National Science Foundation (NSF) [ANT-0125098, ANT-0739575]; U.S. Antarctic Program; U.S. AntarcticMarine Living Resources (AMLR); Raytheon Polar Services; Directorate For Geosciences; Office of Polar Programs (OPP) [0739575] Funding Source: National Science Foundation</t>
  </si>
  <si>
    <t>National Science Foundation (NSF)(National Science Foundation (NSF)); U.S. Antarctic Program; U.S. AntarcticMarine Living Resources (AMLR); Raytheon Polar Services; Directorate For Geosciences; Office of Polar Programs (OPP)(National Science Foundation (NSF)NSF - Directorate for Geosciences (GEO))</t>
  </si>
  <si>
    <t>This research was funded by National Science Foundation (NSF) grants ANT-0125098 and ANT-0739575. Fieldwork was conducted with logistic support provided by the U.S. Antarctic Program, U.S. AntarcticMarine Living Resources (AMLR) Program, and Raytheon Polar Services. For their assistance in collecting penguin tissue samples we thank D. Ainley, G. Ballard, L. Coats, W. Trivelpiece, S. Trivelpiece, and many others from the NSF Ross Island penguin research group and the U.S. AMLR program's Cape Shirreff penguin research group. D. Besic, K. Durenberger and E. Unger provided assistance with sample preparation and stable isotope analysis. This work complies with approved Institutional Animal Care and Use Protocols and was completed in accordance with Antarctic Conservation Act permits provided to S. Emslie (2006-001), D. Ainley (2006-10), and R. Holt (2008-008).</t>
  </si>
  <si>
    <t>0951-4198</t>
  </si>
  <si>
    <t>1097-0231</t>
  </si>
  <si>
    <t>RAPID COMMUN MASS SP</t>
  </si>
  <si>
    <t>Rapid Commun. Mass Spectrom.</t>
  </si>
  <si>
    <t>10.1002/rcm.5340</t>
  </si>
  <si>
    <t>Biochemical Research Methods; Chemistry, Analytical; Spectroscopy</t>
  </si>
  <si>
    <t>Biochemistry &amp; Molecular Biology; Chemistry; Spectroscopy</t>
  </si>
  <si>
    <t>885MJ</t>
  </si>
  <si>
    <t>WOS:000299782800001</t>
  </si>
  <si>
    <t>Kernaléguen, L; Cazelles, B; Arnould, JPY; Richard, P; Guinet, C; Cherel, Y</t>
  </si>
  <si>
    <t>Kernaleguen, Laetitia; Cazelles, Bernard; Arnould, John P. Y.; Richard, Pierre; Guinet, Christophe; Cherel, Yves</t>
  </si>
  <si>
    <t>Long-Term Species, Sexual and Individual Variations in Foraging Strategies of Fur Seals Revealed by Stable Isotopes in Whiskers</t>
  </si>
  <si>
    <t>SEASONAL-CHANGES; ARCTOCEPHALUS-GAZELLA; NITROGEN-BALANCE; PHOCA-VITULINA; TROPHIC NICHE; POPULATION; SPECIALIZATION; PREDATORS; PATTERNS; CARBON</t>
  </si>
  <si>
    <t>Background: Individual variations in the use of the species niche are an important component of diversity in trophic interactions. A challenge in testing consistency of individual foraging strategy is the repeated collection of information on the same individuals. Methodology/Principal Findings: The foraging strategies of sympatric fur seals (Arctocephalus gazella and A. tropicalis) were examined using the stable isotope signature of serially sampled whiskers. Most whiskers exhibited synchronous delta C-13 and delta N-15 oscillations that correspond to the seal annual movements over the long term (up to 8 years). delta C-13 and delta N-15 values were spread over large ranges, with differences between species, sexes and individuals. The main segregating mechanism operates at the spatial scale. Most seals favored foraging in subantarctic waters (where the Crozet Islands are located) where they fed on myctophids. However, A. gazella dispersed in the Antarctic Zone and A. tropicalis more in the subtropics. Gender differences in annual time budget shape the seal movements. Males that do not perform any parental care exhibited large isotopic oscillations reflecting broad annual migrations, while isotopic values of females confined to a limited foraging range during lactation exhibited smaller changes. Limited inter-individual isotopic variations occurred in female seals and in male A. tropicalis. In contrast, male A. gazella showed large inter-individual variations, with some males migrating repeatedly to high-Antarctic waters where they fed on krill, thus meaning that individual specialization occurred over years. Conclusions/Significance: Whisker isotopic signature yields unique long-term information on individual behaviour that integrates the spatial, trophic and temporal dimensions of the ecological niche. The method allows depicting the entire realized niche of the species, including some of its less well-known components such as age-, sex-, individual- and migration-related changes. It highlights intrapopulation heterogeneity in foraging strategies that could have important implications for likely demographic responses to environmental variability.</t>
  </si>
  <si>
    <t>[Kernaleguen, Laetitia; Guinet, Christophe; Cherel, Yves] CNRS, Ctr Etud Biol Chize, Villiers En Bois, France; [Cazelles, Bernard] Univ Paris 06, CNRS, Ecole Normale Super, Paris, France; [Arnould, John P. Y.] Deakin Univ, Sch Life &amp; Environm Sci, Burwood, Vic, Australia; [Richard, Pierre] Univ La Rochelle, CNRS, La Rochelle, France; [Cazelles, Bernard] Univ Paris 06, Inst Rech Dev, Bondy, France</t>
  </si>
  <si>
    <t>Centre National de la Recherche Scientifique (CNRS); Sorbonne Universite; Universite PSL; Ecole Normale Superieure (ENS); Centre National de la Recherche Scientifique (CNRS); Deakin University; Centre National de la Recherche Scientifique (CNRS); La Rochelle Universite; Sorbonne Universite; Institut de Recherche pour le Developpement (IRD)</t>
  </si>
  <si>
    <t>Kernaléguen, L (corresponding author), CNRS, Ctr Etud Biol Chize, Villiers En Bois, France.</t>
  </si>
  <si>
    <t>cherel@cebc.cnrs.fr</t>
  </si>
  <si>
    <t>Guinet, Christophe/AAR-8457-2020; Cazelles, Bernard/B-1572-2013; Richard, Pierre/N-6482-2014</t>
  </si>
  <si>
    <t>Cazelles, Bernard/0000-0002-7972-361X; Richard, Pierre/0000-0002-0393-9967</t>
  </si>
  <si>
    <t>Agence Nationale de la Recherche; Institut Polaire Francais Paul Emile Victor [109]</t>
  </si>
  <si>
    <t>Agence Nationale de la Recherche(Agence Nationale de la Recherche (ANR)); Institut Polaire Francais Paul Emile Victor</t>
  </si>
  <si>
    <t>Financial support was provided by the Agence Nationale de la Recherche (program IPSOS-SEAL, C. Guinet) and by the Institut Polaire Francais Paul Emile Victor (Program no. 109, H. Weimerskirch). The funders had no role in study design, data collection and analysis, decision to publish, or preparation of the manuscript.</t>
  </si>
  <si>
    <t>MAR 14</t>
  </si>
  <si>
    <t>e32916</t>
  </si>
  <si>
    <t>10.1371/journal.pone.0032916</t>
  </si>
  <si>
    <t>931EO</t>
  </si>
  <si>
    <t>WOS:000303198600031</t>
  </si>
  <si>
    <t>Sandblom, E; Davison, W; Axelsson, M</t>
  </si>
  <si>
    <t>Sandblom, Erik; Davison, William; Axelsson, Michael</t>
  </si>
  <si>
    <t>Cold Physiology: Postprandial Blood Flow Dynamics and Metabolism in the Antarctic Fish Pagothenia borchgrevinki</t>
  </si>
  <si>
    <t>CARDIAC-PERFORMANCE; ANGIOTENSIN-II; CARDIOVASCULAR-RESPONSES; ONCORHYNCHUS-TSHAWYTSCHA; GASTROINTESTINAL-TRACT; GASTRIC EVACUATION; RENIN-ANGIOTENSIN; TEMPERATURE; PRESSURE; EXERCISE</t>
  </si>
  <si>
    <t>Previous studies on metabolic responses to feeding (i.e. the specific dynamic action, SDA) in Antarctic fishes living at temperatures below zero have reported long-lasting increases and small peak responses. We therefore hypothesized that the postprandial hyperemia also would be limited in the Antarctic fish Pagothenia borchgrevinki. The proportion of cardiac output directed to the splanchnic circulation in unfed fish was 18%, which is similar to temperate fish species. Contrary to our prediction, however, gastrointestinal blood flow had increased by 88% at twenty four hours after feeding due to a significant increase in cardiac output and a significant decrease in gastrointestinal vascular resistance. While gastric evacuation time appeared to be longer than in comparable temperate species, digestion had clearly commenced twenty four hours after feeding as judged by a reduction in mass of the administered feed. Even so, oxygen consumption did not increase suggesting an unusually slowly developing SDA. Adrenaline and angiotensin II was injected into unfed fish to investigate neuro-humoral control mechanisms of gastrointestinal blood flow. Both agonists increased gastrointestinal vascular resistance and arterial blood pressure, while systemic vascular resistance was largely unaffected. The hypertension was mainly due to increased cardiac output revealing that the heart and the gastrointestinal vasculature, but not the somatic vasculature, are important targets for these agonists. It is suggested that the apparently reduced SDA in P. borchgrevinki is due to a depressant effect of the low temperature on protein assimilation processes occurring outside of the gastrointestinal tract, while the gastrointestinal blood flow responses to feeding and vasoactive substances resemble those previously observed in temperate species.</t>
  </si>
  <si>
    <t>[Sandblom, Erik; Axelsson, Michael] Univ Gothenburg, Dept Biol &amp; Environm Sci, Gothenburg, Sweden; [Davison, William] Univ Canterbury, Sch Biol Sci, Christchurch 1, New Zealand</t>
  </si>
  <si>
    <t>University of Gothenburg; University of Canterbury</t>
  </si>
  <si>
    <t>Sandblom, E (corresponding author), Univ Gothenburg, Dept Biol &amp; Environm Sci, Gothenburg, Sweden.</t>
  </si>
  <si>
    <t>erik.sandblom@zool.gu.se</t>
  </si>
  <si>
    <t>Axelsson, Michael/D-1412-2009</t>
  </si>
  <si>
    <t>Axelsson, Michael/0000-0002-7839-3233</t>
  </si>
  <si>
    <t>Swedish Research Council; University of Canterbury</t>
  </si>
  <si>
    <t>Swedish Research Council(Swedish Research Council); University of Canterbury</t>
  </si>
  <si>
    <t>Funding for this work was received from The Swedish Research Council and the University of Canterbury. The funders had no role in study design, data collection and analysis, decision to publish, or preparation of the manuscript.</t>
  </si>
  <si>
    <t>MAR 13</t>
  </si>
  <si>
    <t>e33487</t>
  </si>
  <si>
    <t>10.1371/journal.pone.0033487</t>
  </si>
  <si>
    <t>930IA</t>
  </si>
  <si>
    <t>Green Submitted, Green Published, gold</t>
  </si>
  <si>
    <t>WOS:000303129700067</t>
  </si>
  <si>
    <t>Menk, FW; Ables, ST; Grew, RS; Clilverd, MA; Sandel, BR</t>
  </si>
  <si>
    <t>Menk, F. W.; Ables, S. T.; Grew, R. S.; Clilverd, M. A.; Sandel, B. R.</t>
  </si>
  <si>
    <t>The annual and longitudinal variations in plasmaspheric ion density</t>
  </si>
  <si>
    <t>FIELD LINE RESONANCES; EXTREME-ULTRAVIOLET IMAGER; ELECTRON-DENSITY; GEOMAGNETIC-FIELD; TOPSIDE IONOSPHERE; LOW LATITUDES; SEMIANNUAL VARIATIONS; SOLAR-ACTIVITY; WHISTLER DATA; IN-SITU</t>
  </si>
  <si>
    <t>This paper shows that at solar maximum, equatorial ion densities at L = 2.5 are substantially higher at American longitudes in the December months than in the June months. This arises because the configuration of the geomagnetic field causes a longitude-dependent asymmetry in ionospheric solar illumination at conjugate points that is greatest at American longitudes. For example, at -60 degrees E geographic longitude the L = 2.5 field line has its foot point near 65 degrees geographic latitude in the Southern Hemisphere but near 42 degrees latitude in the Northern Hemisphere. We investigated the consequent effects on equatorial electron and ion densities by comparing ground-based observations of ULF field line eigenoscillations with in situ measurements of electron densities (from the CRRES and IMAGE spacecraft) and He+ densities (IMAGE) for L = 2.5 at solar maximum. Near -60 degrees E longitude the electron and ion mass densities are about 1.5 and 2.2 times larger, respectively, in the December months than in the June months. Over the Asia-Pacific region there is little difference between summer and winter densities. Plasmaspheric empirical density models should be modified accordingly. By comparing the electron, helium, and mass densities, we estimate the annual variation in H+, He+, and O+ concentrations near -3 degrees E longitude and -74 degrees E longitude. In each case the He+ concentration is about 5% by number, but O+ concentrations are substantially higher at -3 degrees E longitude compared with -74 degrees E. We speculate that this may be related to enhanced ionospheric temperatures associated with the South Atlantic anomaly.</t>
  </si>
  <si>
    <t>[Menk, F. W.; Ables, S. T.; Grew, R. S.] Univ Newcastle, Sch Math &amp; Phys Sci, Callaghan, NSW 2308, Australia; [Clilverd, M. A.] British Antarctic Survey, Cambridge CB3 0ET, England; [Sandel, B. R.] Univ Arizona, Lunar &amp; Planetary Inst, Tucson, AZ 85721 USA</t>
  </si>
  <si>
    <t>University of Newcastle; UK Research &amp; Innovation (UKRI); Natural Environment Research Council (NERC); NERC British Antarctic Survey; University of Arizona</t>
  </si>
  <si>
    <t>Menk, FW (corresponding author), Univ Newcastle, Sch Math &amp; Phys Sci, Univ Dr, Callaghan, NSW 2308, Australia.</t>
  </si>
  <si>
    <t>fred.menk@newcastle.edu.au</t>
  </si>
  <si>
    <t>Menk, Frederick/A-2640-2009</t>
  </si>
  <si>
    <t>Menk, Frederick/0000-0002-1154-6223</t>
  </si>
  <si>
    <t>Australian Research Council; University of Newcastle; NERC [bas0100023] Funding Source: UKRI; Natural Environment Research Council [bas0100023] Funding Source: researchfish</t>
  </si>
  <si>
    <t>Australian Research Council(Australian Research Council); University of Newcastle; NERC(UK Research &amp; Innovation (UKRI)Natural Environment Research Council (NERC)); Natural Environment Research Council(UK Research &amp; Innovation (UKRI)Natural Environment Research Council (NERC))</t>
  </si>
  <si>
    <t>We thank Y. Wang and P. Webb for IMAGE/RPI electron density data obtained via the Virtual Wave Observatory, and for magnetometer data we thank the following providers: D. Calp, Geological Survey of Canada (CANMOS); K. Yumoto, Kyushu University, Japan (CPMN); J. Bitterly and M. Bitterly, Ecole et Observatoire des Sciences de la Terre, Strasbourg, France (EOST; accessed via the WDC for Geomagnetism, Kyoto); P. Wilkinson, IPS Radio and Space Services, Sydney (IPS); M. Moldwin, UCLA (MEASURE); PAS; E. Zesta, U. S. Air Force Research Labs, Hanscom AFB, Massachusetts (SAMBA); F. Honary, University of Lancaster, UK (SAMNET), the University of Newcastle (UNC). This work was supported by the Australian Research Council and the University of Newcastle.</t>
  </si>
  <si>
    <t>A03215</t>
  </si>
  <si>
    <t>10.1029/2011JA017071</t>
  </si>
  <si>
    <t>910TI</t>
  </si>
  <si>
    <t>Green Accepted, Green Published, Bronze</t>
  </si>
  <si>
    <t>WOS:000301665000003</t>
  </si>
  <si>
    <t>Franzke, CLE; Graves, T; Watkins, NW; Gramacy, RB; Hughes, C</t>
  </si>
  <si>
    <t>Franzke, Christian L. E.; Graves, Timothy; Watkins, Nicholas W.; Gramacy, Robert B.; Hughes, Cecilia</t>
  </si>
  <si>
    <t>Robustness of estimators of long-range dependence and self-similarity under non-Gaussianity</t>
  </si>
  <si>
    <t>PHILOSOPHICAL TRANSACTIONS OF THE ROYAL SOCIETY A-MATHEMATICAL PHYSICAL AND ENGINEERING SCIENCES</t>
  </si>
  <si>
    <t>memory; paradigmatic models; multiplicative noise</t>
  </si>
  <si>
    <t>LOCAL WHITTLE ESTIMATION; EXTREME EVENTS; TIME-SERIES; MEMORY; TEMPERATURE; MOTION; AE</t>
  </si>
  <si>
    <t>Long-range dependence (LRD) and non-Gaussianity are ubiquitous in many natural systems such as ecosystems, biological systems and climate. However, it is not always appreciated that the two phenomena may occur together in natural systems and that self-similarity in a system can be a superposition of both phenomena. These features, which are common in complex systems, impact the attribution of trends and the occurrence and clustering of extremes. The risk assessment of systems with these properties will lead to different outcomes (e.g. return periods) than the more common assumption of independence of extremes. Two paradigmatic models are discussed that can simultaneously account for LRD and non-Gaussianity: autoregressive fractional integrated moving average (ARFIMA) and linear fractional stable motion (LFSM). Statistical properties of estimators for LRD and self-similarity are critically assessed. It is found that the most popular estimators can be biased in the presence of important features of many natural systems like trends and multiplicative noise. Also the LRD and non-Gaussianity of two typical natural time series are discussed.</t>
  </si>
  <si>
    <t>[Franzke, Christian L. E.; Watkins, Nicholas W.; Hughes, Cecilia] British Antarctic Survey, Cambridge CB3 0ET, England; [Graves, Timothy; Gramacy, Robert B.] Univ Cambridge, Stat Lab, Ctr Math Sci, Cambridge CB3 0WB, England; [Gramacy, Robert B.] Univ Chicago, Booth Sch Business, Chicago, IL 60637 USA</t>
  </si>
  <si>
    <t>UK Research &amp; Innovation (UKRI); Natural Environment Research Council (NERC); NERC British Antarctic Survey; University of Cambridge; University of Chicago</t>
  </si>
  <si>
    <t>Franzke, CLE (corresponding author), British Antarctic Survey, Madingley Rd, Cambridge CB3 0ET, England.</t>
  </si>
  <si>
    <t>Watkins, Nicholas Wynn/C-5140-2008; Watkins, Nick/GPX-7439-2022; Franzke, Christian/A-6191-2012</t>
  </si>
  <si>
    <t>Watkins, Nicholas Wynn/0000-0003-4484-6588; Watkins, Nick/0000-0003-4484-6588; Franzke, Christian/0000-0003-4111-1228</t>
  </si>
  <si>
    <t>Natural Environment Research Council; EPSRC [EP/D065704/1]; EPSRC [EP/D065704/1] Funding Source: UKRI; NERC [bas0100026] Funding Source: UKRI; Engineering and Physical Sciences Research Council [EP/D065704/1] Funding Source: researchfish; Natural Environment Research Council [bas0100026] Funding Source: researchfish</t>
  </si>
  <si>
    <t>Natural Environment Research Council(UK Research &amp; Innovation (UKRI)Natural Environment Research Council (NERC)); EPSRC(UK Research &amp; Innovation (UKRI)Engineering &amp; Physical Sciences Research Council (EPSRC)); EPSRC(UK Research &amp; Innovation (UKRI)Engineering &amp; Physical Sciences Research Council (EPSRC)); NERC(UK Research &amp; Innovation (UKRI)Natural Environment Research Council (NERC)); Engineering and Physical Sciences Research Council(UK Research &amp; Innovation (UKRI)Engineering &amp; Physical Sciences Research Council (EPSRC)); Natural Environment Research Council(UK Research &amp; Innovation (UKRI)Natural Environment Research Council (NERC))</t>
  </si>
  <si>
    <t>We thank M. Freeman and two anonymous reviewers for their comments on an earlier version of this manuscript. In particular, we are grateful to one of the reviewers for their emphasis on the Whittle and WL estimators. This study is part of the British Antarctic Survey Polar Science for Planet Earth Programme. It was funded by the Natural Environment Research Council. T.G. acknowledges generous support through an EPSRC studentship. R.B.G. was funded under EPSRC research grant EP/D065704/1.</t>
  </si>
  <si>
    <t>1364-503X</t>
  </si>
  <si>
    <t>1471-2962</t>
  </si>
  <si>
    <t>PHILOS T R SOC A</t>
  </si>
  <si>
    <t>Philos. Trans. R. Soc. A-Math. Phys. Eng. Sci.</t>
  </si>
  <si>
    <t>10.1098/rsta.2011.0349</t>
  </si>
  <si>
    <t>892WI</t>
  </si>
  <si>
    <t>WOS:000300315900013</t>
  </si>
  <si>
    <t>Weber, ME; Kuhn, G; Sprenk, D; Rolf, C; Ohlwein, C; Ricken, W</t>
  </si>
  <si>
    <t>Weber, M. E.; Kuhn, G.; Sprenk, D.; Rolf, C.; Ohlwein, C.; Ricken, W.</t>
  </si>
  <si>
    <t>Dust transport from Patagonia to Antarctica - A new stratigraphic approach from the Scotia Sea and its implications for the last glacial cycle</t>
  </si>
  <si>
    <t>Dust; Magnetic susceptibility; Atmospheric circulation; Chronology; Paleoclimate; Last glacial cycle; Southern Ocean; Scotia Sea; Patagonia; Antarctica</t>
  </si>
  <si>
    <t>EAST ANTARCTICA; SOUTHERN-OCEAN; ICE-CORE; DOME-C; RELATIVE PALEOINTENSITY; CIRCUMPOLAR CURRENT; GEOMAGNETIC-FIELD; ATMOSPHERIC CO2; BIPOLAR SEESAW; CLIMATE-CHANGE</t>
  </si>
  <si>
    <t>We studied two deep-sea cores from the Scotia Sea to reconstruct past atmospheric circulation in the southern hemisphere and to resolve a long-standing debate on the interpretation of magnetic susceptibility (MS) records in Southern Ocean (SO) sediment. High-sedimentation sites MD07-3134 (0.2-1.2 m/kyr) and MD07-3133 (0.3-21 m/lcyr) cover the last 92.5 kyr and 36 kyr, respectively. Both exhibit a one-toone coupling of the MS and Ca2+ signal to the non-sea salt (nss) Ca2+ signal of the EDML ice core, clearly identifying atmospheric circulation as means of distribution. Comparison of additional proxies also excludes major influence by volcanic sources, sea-ice, icebergs, or oceanic current transport. The close resemblance of the dust proxies over the last glacial cycle, in turn, allows for the establishment of an age model of unprecedented resolution and precision for SO deep-sea sediment because atmospheric transport involves no major leads or lags. This is of particular importance because MS is routinely measured on deep-sea cores in the SO but the sediments usually lack biogenic carbonate and therefore had only limited stratigraphic control so far. Southern South America (SSA) is the likely source of eolian material because Site MD07-3133, located closer to the continent, has slightly higher MS values than Site MD07-3134, and also the MS record of Patagonian Site SALSA shows comparable variability. Patagonia was the dust source for both the Scotia Sea and East Antarctica. Dust fluxes were several times higher during glacial times, when atmospheric circulation was either stronger or shifted in latitude, sea level was lowered, shelf surfaces were exposed, and environmental conditions in SSA were dominated by glaciers and extended outwash plains. Hence, MS records of SO deep-sea sediment are reliable tracers of atmospheric circulation, allowing for chronologically-constrained reconstructions of the circum Antarctic paleoclimate history. (C) 2012 Elsevier Ltd. All rights reserved.</t>
  </si>
  <si>
    <t>[Weber, M. E.; Sprenk, D.; Ricken, W.] Univ Cologne, Inst Geol &amp; Mineral, D-50674 Cologne, Germany; [Kuhn, G.] Helmholtz Assoc, Alfred Wegener Inst Polar &amp; Marine Res AWI, D-27568 Bremerhaven, Germany; [Rolf, C.] Leibniz Inst Appl Geophys, D-30655 Hannover, Germany; [Ohlwein, C.] Univ Bonn, Inst Meteorol, D-53121 Bonn, Germany</t>
  </si>
  <si>
    <t>University of Cologne; Helmholtz Association; Alfred Wegener Institute, Helmholtz Centre for Polar &amp; Marine Research; Leibniz Institut fur Angewandte Geophysik (LIAG); University of Bonn</t>
  </si>
  <si>
    <t>Weber, ME (corresponding author), Univ Cologne, Inst Geol &amp; Mineral, Zuelpicher Str 49A, D-50674 Cologne, Germany.</t>
  </si>
  <si>
    <t>michael.weber@uni-koeln.de</t>
  </si>
  <si>
    <t>Weber, Michael E/G-8707-2012</t>
  </si>
  <si>
    <t>Weber, Michael E/0000-0003-2175-8980; Rolf, Christian/0000-0002-1459-6664; Kuhn, Gerhard/0000-0001-6069-7485</t>
  </si>
  <si>
    <t>Deutsche Forschungsgemeinschaft (DFG) [RI 525/17-1, KU 683/9-1]</t>
  </si>
  <si>
    <t>We are grateful for financial support from the Deutsche Forschungsgemeinschaft (DFG; grants RI 525/17-1, KU 683/9-1) and the suggestions from three anonymous reviewers. Our study was part of the Southern Ocean Initiative of the International Marine Past Global Change Study (IMAGES) program and the AWI research program Polar Regions and Coasts in a changing Earth System (PACES), Topic 3 Lessons from the Past. Supplementary data to this paper are available at doi:10.1594/PANGAEA.771904 (http://doi.pangaea.de/10.1594/PANGAEA.771904).</t>
  </si>
  <si>
    <t>MAR 12</t>
  </si>
  <si>
    <t>10.1016/j.quascirev.2012.01.016</t>
  </si>
  <si>
    <t>912UC</t>
  </si>
  <si>
    <t>WOS:000301825900016</t>
  </si>
  <si>
    <t>Newnham, RM; Vandergoes, MJ; Sikes, E; Carter, L; Wilmshurst, JM; Lowe, DJ; McGlone, MS; Sandiford, A</t>
  </si>
  <si>
    <t>Newnham, Rewi M.; Vandergoes, Marcus J.; Sikes, Elisabeth; Carter, Lionel; Wilmshurst, Janet M.; Lowe, David J.; McGlone, Matt S.; Sandiford, Anna</t>
  </si>
  <si>
    <t>Does the bipolar seesaw extend to the terrestrial southern mid-latitudes?</t>
  </si>
  <si>
    <t>Bipolar seesaw; Extended LGM; LGIT; Lateglacial reversal; Antarctic isotope maxima; ACR; YD; NZ-INTIMATE; Palynology; Tephrochronology</t>
  </si>
  <si>
    <t>ABRUPT CLIMATE-CHANGE; LAST GLACIAL TERMINATION; ANTARCTIC COLD REVERSAL; NORTH-ATLANTIC REGION; NEW-ZEALAND; YOUNGER DRYAS; ICE-CORE; GREENLAND ICE; ATMOSPHERIC CO2; EVENT STRATIGRAPHY</t>
  </si>
  <si>
    <t>High precision comparison of Greenland and Antarctic ice cores, suggesting a pervasive antiphased temperature relationship between the polar hemispheres during the last glaciation, lends strong support to the bipolar seesaw model (EPICA, 2006). The extent to which reorganisation of ocean-heat transport during abrupt climate change events affected the southern mid-latitudes remains unclear, however, owing to a paucity of well-dated records with robust climate proxies, variability between some records, and varying interpretations of their significance. Here we present temperature reconstructions for three key pollen records recognised by the NZ-INTIMATE (NZ-I) group which, along with the preliminary NZ-1 climate event stratigraphy (Alloway et al., 2007) and published marine records, are compared with polar ice core records for the interval 30-10 cal. ka. We focus on key events within the context of Dansgard Oeschger cycles 4-1 and The Antarctic Cold Reversal/Younger Dryas intervals. The New Zealand records are broadly consistent with an extended bipolar seesaw whereby the oceanic southern mid-latitudes are warmed at times of MOC weakening or cessation in the North Atlantic, and vice versa. Variability between records indicate that other factors must be involved, however, and nor do these records refute alternative models that predict an antiphased inter-hemispheric pattern. Nevertheless an extended bipolar model may explain an early onset of LGM conditions in New Zealand and elsewhere in the Southern Hemisphere at a time when interstadials GI3 and GI4 kept Greenland warm. Similar interhemispheric dynamics have been invoked to explain an earlier termination of the LGM in Antarctica than in Greenland (Wolff et al., 2009) which is also evident in the New Zealand records. A prominent mid-LGM interstadial complex observed in several New Zealand records, connected by tephrochronology may represent another antiphased event although stronger chronological control is needed to support this assertion. By comparison, the variability evident between New Zealand Lateglacial records cannot be explained simply by chronological imprecision and there may be latitudinal controls on the extent to which the Antarctic pattern is registered, as has been suggested from other records from the southern mid-high latitudes. Consolidation of these patterns is needed from more precise climate reconstructions at sites spread across latitudinal gradients in both the marine and terrestrial realms. (C) 2011 Elsevier Ltd. All rights reserved.</t>
  </si>
  <si>
    <t>[Newnham, Rewi M.] Victoria Univ Wellington, Sch Geog Environm &amp; Earth Sci, Wellington 6140, New Zealand; [Vandergoes, Marcus J.] GNS Sci, Lower Hutt, New Zealand; [Sikes, Elisabeth] Rutgers State Univ, Inst Marine &amp; Coastal Sci, New Brunswick, NJ 08901 USA; [Carter, Lionel] Victoria Univ Wellington, Antarctic Res Ctr, Wellington 6140, New Zealand; [Wilmshurst, Janet M.; McGlone, Matt S.] Landcare Res, Canterbury, New Zealand; [Lowe, David J.] Univ Waikato, Dept Earth &amp; Ocean Sci, Hamilton, New Zealand; [Sandiford, Anna] Forens Grp Ltd, Auckland, New Zealand</t>
  </si>
  <si>
    <t>Victoria University Wellington; GNS Science - New Zealand; Rutgers University System; Rutgers University New Brunswick; Victoria University Wellington; Landcare Research - New Zealand; University of Waikato</t>
  </si>
  <si>
    <t>Newnham, RM (corresponding author), Victoria Univ Wellington, Sch Geog Environm &amp; Earth Sci, POB 600, Wellington 6140, New Zealand.</t>
  </si>
  <si>
    <t>rewi.newnham@vuw.ac.nz</t>
  </si>
  <si>
    <t>Sandiford, Anna/HMV-3329-2023; Lowe, David James/G-2654-2013; Wilmshurst, Janet/O-8611-2019; Sikes, Elisabeth/HPE-8194-2023</t>
  </si>
  <si>
    <t>Lowe, David James/0000-0002-2547-6019; Wilmshurst, Janet/0000-0002-4474-8569; Sikes, Elisabeth/0000-0003-2900-3283</t>
  </si>
  <si>
    <t>10.1016/j.quascirev.2011.04.013</t>
  </si>
  <si>
    <t>WOS:000301825900018</t>
  </si>
  <si>
    <t>Byeon, HE; Um, SH; Yim, JH; Lee, HK; Pyo, S</t>
  </si>
  <si>
    <t>Byeon, Hye-Eun; Um, Sung Hee; Yim, Joung Han; Lee, Hong Kum; Pyo, Suhkneung</t>
  </si>
  <si>
    <t>Ohioensin F suppresses TNF-α-induced adhesion molecule expression by inactivation of the MAPK, Akt and NF-κB pathways in vascular smooth muscle cells</t>
  </si>
  <si>
    <t>LIFE SCIENCES</t>
  </si>
  <si>
    <t>Ohioensin F; Anti-inflammation; Vascular cell adhesion molecule; MAPK; NF-kappa B; Akt</t>
  </si>
  <si>
    <t>TUMOR-NECROSIS-FACTOR; MOSS POLYTRICHASTRUM-ALPINUM; ENDOTHELIAL-CELLS; GENE-EXPRESSION; TRANSCRIPTIONAL REGULATION; ANTIOXIDANT CAPACITIES; INFLAMMATORY CYTOKINES; SIGNALING PATHWAYS; EPITHELIAL-CELLS; ACTIVATION</t>
  </si>
  <si>
    <t>Aims: The expression of cell adhesion molecules on vascular smooth muscle cells is central to leukocyte recruitment and progression of atherosclerotic disease. Ohioensin F, a chemical compound of the Antarctic moss Polyerichastrum alpinum, exhibited inhibitory activity against protein tyrosine phosphatase 1B and antioxidant activity. However, published scientific information regarding other biological activities and pharmacological function of ohioensin F is scarce. In the present study, we aimed to examine the in vitro effects of ohioensin F on the ability to suppress TNF-alpha-induced adhesion molecule expression in vascular smooth muscle cells (VSMCs). Main methods: The inhibitory effect of ohioensin F on TNF-a-induced upregulation in expression of adhesion molecules was investigated by enzyme-linked immunosorbent assay, cell adhesion assay, RT-PCR, western blot analysis, immunofluorescence, and transfection and reporter assay, respectively. Key findings: Pretreatment of VSMCs with ohioensin F at nontoxic concentrations of 0.1-10 mu g/ml dose-dependently inhibited TNF-alpha-induced expression of vascular cell adhesion molecule-1 (VCAM-1) and intercellular adhesion molecule-1 (ICAM-1). In addition, ohioensin F suppressed adhesion of THP-1 monocytes to TNF-alpha-stimulated VSMCs. Ohioensin F reduced TNF-alpha-induced production of intracellular reactive oxygen species (ROS) and phosphorylation of p38, ERK, JNK and Akt. Finally, ohioensin F inhibited TNF-alpha-induced CAM mRNA expression and NK-kappa B translocation. Significance: These results suggest a new mechanism of ohioensin F's anti-inflammatory action, owing to the negative regulation of TNF-alpha-induced adhesion molecule expression, monocyte adhesion and ROS production in vascular smooth muscle cells. Our finding also supports ohioensin F as a potential pharmacological, anti-inflammatory molecule that has a protective effect on the atherosclerotic lesion. (C) 2012 Elsevier Inc. All rights reserved.</t>
  </si>
  <si>
    <t>[Byeon, Hye-Eun; Pyo, Suhkneung] Sungkyunkwan Univ, Sch Pharm, Suwon 440746, Kyunggi Do, South Korea; [Yim, Joung Han; Lee, Hong Kum] KORDI, Korea Polar Res Inst, Polar BioCtr, Inchon 406840, South Korea; [Um, Sung Hee] Sungkyunkwan Univ, Sch Med, Samsung Biomed Res Inst, Dept Mol Cell Biol, Suwon 440746, Kyunggi Do, South Korea</t>
  </si>
  <si>
    <t>Sungkyunkwan University (SKKU); Korea Institute of Ocean Science &amp; Technology (KIOST); Korea Polar Research Institute (KOPRI); Sungkyunkwan University (SKKU)</t>
  </si>
  <si>
    <t>Pyo, S (corresponding author), Sungkyunkwan Univ, Sch Pharm, Suwon 440746, Kyunggi Do, South Korea.</t>
  </si>
  <si>
    <t>snpyo@skku.edu</t>
  </si>
  <si>
    <t>Korea Polar Research Institute [PE11060]</t>
  </si>
  <si>
    <t>Korea Polar Research Institute(Korea Polar Research Institute of Marine Research Placement (KOPRI))</t>
  </si>
  <si>
    <t>This work was supported by the Korea Polar Research Institute, grant number PE11060 (Utilization of novel metabolites from polar organiums).</t>
  </si>
  <si>
    <t>0024-3205</t>
  </si>
  <si>
    <t>LIFE SCI</t>
  </si>
  <si>
    <t>Life Sci.</t>
  </si>
  <si>
    <t>MAR 10</t>
  </si>
  <si>
    <t>11-12</t>
  </si>
  <si>
    <t>10.1016/j.lfs.2011.12.017</t>
  </si>
  <si>
    <t>Medicine, Research &amp; Experimental; Pharmacology &amp; Pharmacy</t>
  </si>
  <si>
    <t>Research &amp; Experimental Medicine; Pharmacology &amp; Pharmacy</t>
  </si>
  <si>
    <t>913XR</t>
  </si>
  <si>
    <t>WOS:000301911200003</t>
  </si>
  <si>
    <t>Nielsen, K; Taylor, MJ; Hibbins, RE; Jarvis, MJ; Russell, JM</t>
  </si>
  <si>
    <t>Nielsen, K.; Taylor, M. J.; Hibbins, R. E.; Jarvis, M. J.; Russell, J. M., III</t>
  </si>
  <si>
    <t>On the nature of short-period mesospheric gravity wave propagation over Halley, Antarctica</t>
  </si>
  <si>
    <t>IMAGING DOPPLER INTERFEROMETER; LOWER THERMOSPHERE; MOMENTUM FLUX; LIDAR OBSERVATIONS; INVERSION-LAYERS; AIRGLOW; OH; CLIMATOLOGY; AUSTRALIA; WINDS</t>
  </si>
  <si>
    <t>As part of a collaborative program between British Antarctic Survey and Utah State University, measurements were made using an all-sky airglow imager located at the U. K. Halley Station (76 degrees S, 27 degrees W) during the 2000 and 2001 austral winter seasons from April through to early September. A co-located imaging Doppler interferometer was utilized to obtain coincident wind measurements for a total of 171 wave events. This study comprises the first detailed climatological investigation of the propagation nature (freely propagating, Doppler ducted, or evanescent) of individual quasi-monochromatic, short-period wave events at a high southern latitude. Distributions of the derived vertical wavelength exhibit an interquartile range from similar to 16-48 km with a median vertical wavelength of 21 km. The majority of the wave events were found to be freely propagating waves, with only similar to 5% exhibiting a clear Doppler ducted signature, while 15% of the waves were found to be evanescent in nature. Although no coincident temperature measurements were available, subsequent SABER temperature measurements suggest that up to similar to 28% of the measured temperature profiles are capable of providing a ducted environment for the observed wave field. This is in sharp contrast to findings at mid-and low latitudes where these waves have been shown to be prone to Doppler ducted motion. It is suggested that the relatively weak wind field and associated tidal wind amplitudes over Halley are not capable of forming a significant Doppler ducted region to sustain a substantial amount of ducted waves belonging to the detectable spectrum of the airglow imager. As these wind fields are comparable to wind fields found at other polar latitudes, we hypothesize that the majority of short-period gravity waves observed in the polar mesosphere are freely propagating and thus an important source of energy transfer into the MLT region.</t>
  </si>
  <si>
    <t>[Nielsen, K.] Computat Phys Inc, Boulder, CO 80301 USA; [Taylor, M. J.] Utah State Univ, Dept Phys, Logan, UT 84322 USA; [Jarvis, M. J.] British Antarctic Survey, Cambridge CB3 0ET, England; [Russell, J. M., III] Hampton Univ, Ctr Atmospher Sci, Hampton, VA 23668 USA</t>
  </si>
  <si>
    <t>Utah System of Higher Education; Utah State University; UK Research &amp; Innovation (UKRI); Natural Environment Research Council (NERC); NERC British Antarctic Survey; Hampton University</t>
  </si>
  <si>
    <t>Nielsen, K (corresponding author), Computat Phys Inc, 1650 38th St,Ste 105W, Boulder, CO 80301 USA.</t>
  </si>
  <si>
    <t>knielsen@cpi.com; mike.taylor@usu.edu; robert.hibbins@ntnu.no; mjja@bas.ac.uk; james.russell@hamptonu.edu</t>
  </si>
  <si>
    <t>Hibbins, Robert/0000-0002-6867-2255</t>
  </si>
  <si>
    <t>UK Natural Environment Research Council (NERC); National Science Foundation, Office of Polar [OPP-9816465, OPP-0338364, ATM-0350680, AGS-1026996]; Div Atmospheric &amp; Geospace Sciences; Directorate For Geosciences [1315193] Funding Source: National Science Foundation; NERC [bas0100023] Funding Source: UKRI; Natural Environment Research Council [bas0100023] Funding Source: researchfish</t>
  </si>
  <si>
    <t>UK Natural Environment Research Council (NERC)(UK Research &amp; Innovation (UKRI)Natural Environment Research Council (NERC)); National Science Foundation, Office of Polar(National Science Foundation (NSF)); Div Atmospheric &amp; Geospace Sciences; Directorate For Geosciences(National Science Foundation (NSF)NSF - Directorate for Geosciences (GEO)); NERC(UK Research &amp; Innovation (UKRI)Natural Environment Research Council (NERC)); Natural Environment Research Council(UK Research &amp; Innovation (UKRI)Natural Environment Research Council (NERC))</t>
  </si>
  <si>
    <t>This research was jointly supported by the UK Natural Environment Research Council (NERC), the National Science Foundation, Office of Polar Programs, under grants OPP-9816465 and OPP-0338364, ATM-0350680, and AGS-1026996.</t>
  </si>
  <si>
    <t>D05124</t>
  </si>
  <si>
    <t>10.1029/2011JD016261</t>
  </si>
  <si>
    <t>908OD</t>
  </si>
  <si>
    <t>Green Accepted, Green Published</t>
  </si>
  <si>
    <t>WOS:000301498800001</t>
  </si>
  <si>
    <t>France, JL; Reay, HJ; King, MD; Voisin, D; Jacobi, HW; Domine, F; Beine, H; Anastasio, C; MacArthur, A; Lee-Taylor, J</t>
  </si>
  <si>
    <t>France, J. L.; Reay, H. J.; King, M. D.; Voisin, D.; Jacobi, H. W.; Domine, F.; Beine, H.; Anastasio, C.; MacArthur, A.; Lee-Taylor, J.</t>
  </si>
  <si>
    <t>Hydroxyl radical and NOx production rates, black carbon concentrations and light-absorbing impurities in snow from field measurements of light penetration and nadir reflectivity of onshore and offshore coastal Alaskan snow</t>
  </si>
  <si>
    <t>HYDROGEN-PEROXIDE H2O2; OPTICAL-PROPERTIES; RADIATIVE-TRANSFER; ANTARCTIC SNOW; NITRATE SOLUTIONS; PHOTOCHEMICAL NO; NITROGEN-DIOXIDE; SOLAR-RADIATION; SPECTRAL ALBEDO; HONO EMISSIONS</t>
  </si>
  <si>
    <t>Photolytic production rates of NO, NO2 and OH radicals in snow and the total absorption spectrum due to impurities in snowpack have been calculated for the Ocean-Atmosphere-Sea-Ice-Snowpack (OASIS) campaign during Spring 2009 at Barrow, Alaska. The photolytic production rate and snowpack absorption cross-sections were calculated from measurements of snowpack stratigraphy, light penetration depths (e-folding depths), nadir reflectivity (350-700 nm) and UV broadband atmospheric radiation. Maximum NOx fluxes calculated during the campaign owing to combined nitrate and nitrite photolysis were calculated as 72 nmol m(-2) h(-1) for the inland snowpack and 44 nmol m(-2) h(-1) for the snow on sea-ice and snowpack around the Barrow Arctic Research Center (BARC). Depth-integrated photochemical production rates of OH radicals were calculated giving maximum OH depth-integrated production rates of similar to 160 nmol m(-2) h(-1) for the inland snowpack and similar to 110-120 nmol m(-2) h(-1) for the snow around BARC and snow on sea-ice. Light penetration (e-folding) depths at a wavelength of 400 nm measured for snowpack in the vicinity of Barrow and snow on sea-ice are similar to 9 cm and 14 cm for snow 15 km inland. Fitting scaled HULIS (HUmic-LIke Substances) and black carbon absorption cross-sections to the determined snow impurity absorption cross-sections show a humic-like component to snowpack absorption, with typical concentrations of 1.2-1.5 mu gC g(-1). Estimates of black carbon concentrations for the four snowpacks are similar to 40 to 70 ng g(-1) for the terrestrial Arctic snowpacks and similar to 90 ng g(-1) for snow on sea-ice.</t>
  </si>
  <si>
    <t>[France, J. L.; Reay, H. J.; King, M. D.] Univ London, Dept Earth Sci, Egham TW20 0EX, Surrey, England; [Voisin, D.; Jacobi, H. W.; Domine, F.] Univ Grenoble 1, CNRS, Lab Glaciol &amp; Geophys Environm, F-38402 St Martin Dheres, France; [Beine, H.; Anastasio, C.] Univ Calif Davis, Dept Land Air &amp; Water Resources, Davis, CA 95616 USA; [MacArthur, A.] Univ Edinburgh, NERC Field Spect Facil, Grant Inst, Sch GeoSci, Edinburgh EH9 3JW, Midlothian, Scotland; [Lee-Taylor, J.] Natl Ctr Atmospher Res, Div Atmospher Chem, Boulder, CO 80307 USA</t>
  </si>
  <si>
    <t>University of London; Royal Holloway University London; Centre National de la Recherche Scientifique (CNRS); Communaute Universite Grenoble Alpes; Universite Grenoble Alpes (UGA); University of California System; University of California Davis; UK Research &amp; Innovation (UKRI); Natural Environment Research Council (NERC); University of Edinburgh; National Center Atmospheric Research (NCAR) - USA</t>
  </si>
  <si>
    <t>France, JL (corresponding author), Univ London, Dept Earth Sci, Egham TW20 0EX, Surrey, England.</t>
  </si>
  <si>
    <t>m.king@es.rhul.ac.uk</t>
  </si>
  <si>
    <t>France, James/A-7885-2012; voisin, didier/ABE-6110-2020; Lee-Taylor, Julia M/B-7409-2008; King, Martin/B-1308-2009; France, James/L-9719-2015</t>
  </si>
  <si>
    <t>voisin, didier/0000-0003-1317-7561; Lee-Taylor, Julia M/0000-0003-0989-1113; King, Martin/0000-0002-0089-7693; Jacobi, Hans-Werner/0000-0003-2230-3136; France, James/0000-0002-8785-1240</t>
  </si>
  <si>
    <t>NERC [NE/F010788/1, NE/F004796/1]; NERC FSF [555.0608]; RHUL; NSF [ATM-0807702]; LEFE-CHAT of CNRS-INSU; French Polar Institute (IPEV) [1017]; National Science Foundation; U.S. Department of Energy, Office of Science, Office of Biological and Environmental Research, Climate and Environmental Sciences Division; Natural Environment Research Council [fsf010001, NE/F010788/1, NE/F004796/1] Funding Source: researchfish; Div Atmospheric &amp; Geospace Sciences; Directorate For Geosciences [0807702] Funding Source: National Science Foundation; NERC [NE/F010788/1, fsf010001, NE/F004796/1] Funding Source: UKRI</t>
  </si>
  <si>
    <t>NERC(UK Research &amp; Innovation (UKRI)Natural Environment Research Council (NERC)); NERC FSF; RHUL; NSF(National Science Foundation (NSF)); LEFE-CHAT of CNRS-INSU; French Polar Institute (IPEV); National Science Foundation(National Science Foundation (NSF)); U.S. Department of Energy, Office of Science, Office of Biological and Environmental Research, Climate and Environmental Sciences Division(United States Department of Energy (DOE)); Natural Environment Research Council(UK Research &amp; Innovation (UKRI)Natural Environment Research Council (NERC)); Div Atmospheric &amp; Geospace Sciences; Directorate For Geosciences(National Science Foundation (NSF)NSF - Directorate for Geosciences (GEO)); NERC(UK Research &amp; Innovation (UKRI)Natural Environment Research Council (NERC))</t>
  </si>
  <si>
    <t>This work is part of the international multidisciplinary OASIS (Ocean-Atmosphere-Sea Ice-Snowpack) program. J.L.F. and M.D.K. thank NERC for support through grants NE/F010788/1 and NE/F004796/1, NERC FSF for support through grant 555.0608 and the RHUL research strategy fund. Funding for this work was also gratefully received from NSF grant ATM-0807702. H.J.R. thanks RHUL for support through the Thomas Holloway Scholarship scheme. D.V., H.W.J. and F.D. acknowledge financial support by the LEFE-CHAT program of CNRS-INSU. The participation of LGGE was funded by the French Polar Institute (IPEV) grant 1017 to F.D. The National Center for Atmospheric Research is sponsored by the National Science Foundation. All sky camera data were obtained from the Atmospheric Radiation Measurement (ARM) Program sponsored by the U.S. Department of Energy, Office of Science, Office of Biological and Environmental Research, Climate and Environmental Sciences Division.</t>
  </si>
  <si>
    <t>MAR 9</t>
  </si>
  <si>
    <t>D00R12</t>
  </si>
  <si>
    <t>10.1029/2011JD016639</t>
  </si>
  <si>
    <t>908OA</t>
  </si>
  <si>
    <t>WOS:000301498500002</t>
  </si>
  <si>
    <t>Gough, AJ; Mahoney, AR; Langhorne, PJ; Williams, MJM; Haskell, TG</t>
  </si>
  <si>
    <t>Gough, A. J.; Mahoney, A. R.; Langhorne, P. J.; Williams, M. J. M.; Haskell, T. G.</t>
  </si>
  <si>
    <t>Sea ice salinity and structure: A winter time series of salinity and its distribution</t>
  </si>
  <si>
    <t>MCMURDO SOUND; NATURAL-CONVECTION; BRINE DRAINAGE; PLATELET ICE; WEDDELL SEA; SOLIDIFICATION; PROFILE; GROWTH; MODEL; EVOLUTION</t>
  </si>
  <si>
    <t>We present a winter time series of Antarctic sea ice salinity from eastern McMurdo Sound, an area close to an ice shelf where a subice platelet layer forms below the sea ice late in winter. This dramatically changes the sea ice structure as the sea ice grows into the subice platelet layer. Every 2 weeks during the 5 months of sea ice formation, salinity profiles were measured, along with detailed measurements of ice structure and growth rates. Once the influence of growth rate on sea ice bulk salinity is removed, the data from 69 cores and the results of a basic parameterization demonstrate that bulk salinity for platelet ice is higher than that for columnar sea ice. We also present measurements of the salinity profile close to the ice-water interface and use these to investigate the expected regime of fluid flow within the permeable portions of the sea ice, with particular reference to mushy layer and percolation theory. Finally, we provide a new distribution of sea ice salinity from 740 measurements, which can be interpreted as the sum of two spatial fields that we attribute to sea ice samples with and without brine channels and which should be reproduced by any realistic sea ice models. This distribution suggests that two measurements of quantities linearly linked to sea ice salinity must differ by 29% if they are to be considered different with 90% confidence.</t>
  </si>
  <si>
    <t>[Gough, A. J.; Langhorne, P. J.] Univ Otago, Dept Phys, Dunedin 9016, New Zealand; [Mahoney, A. R.] Univ Alaska Fairbanks, Inst Geophys, Fairbanks, AK 99709 USA; [Williams, M. J. M.] Natl Inst Water &amp; Atmospheres Ltd, Wellington, New Zealand; [Haskell, T. G.] Ind Res Ltd, Lower Hutt 5040, New Zealand</t>
  </si>
  <si>
    <t>University of Otago; University of Alaska System; University of Alaska Fairbanks; Callaghan Innovation</t>
  </si>
  <si>
    <t>Gough, AJ (corresponding author), Univ Otago, Dept Phys, Dunedin 9016, New Zealand.</t>
  </si>
  <si>
    <t>ajgo@physics.otago.ac.nz</t>
  </si>
  <si>
    <t>Williams, Michael/H-9674-2014; Gough, Alex J/D-4784-2009; Langhorne, Pat/C-3539-2018</t>
  </si>
  <si>
    <t>Langhorne, Pat/0000-0003-0239-7657</t>
  </si>
  <si>
    <t>Foundation for Research Science and Technology; University of Otago</t>
  </si>
  <si>
    <t>Foundation for Research Science and Technology(New Zealand Foundation for Research, Science and Technology); University of Otago</t>
  </si>
  <si>
    <t>This work, part of New Zealand's contribution to the IPY, was funded by the Foundation for Research Science and Technology and a University of Otago postgraduate scholarship. Antarctica New Zealand provided logistical support. We thank Brian Staite and the 2009 Scott Base wintering team for valuable assistance in the field. We are grateful to Craig Purdie for advice while planning this experiment and Inga Smith and Chris Petrich for comments that improved this paper. Some temperature data were provided by Joe Trodahl. The comments of two anonymous reviewers significantly improved this paper.</t>
  </si>
  <si>
    <t>MAR 8</t>
  </si>
  <si>
    <t>C03008</t>
  </si>
  <si>
    <t>10.1029/2011JC007527</t>
  </si>
  <si>
    <t>908FV</t>
  </si>
  <si>
    <t>WOS:000301477200004</t>
  </si>
  <si>
    <t>Caballero-Gill, RP; Clemens, S; Prell, W</t>
  </si>
  <si>
    <t>Caballero-Gill, Rocio P.; Clemens, Steve; Prell, Warren</t>
  </si>
  <si>
    <t>Antarctic Isotope Maxima events 24 and 25 identified in benthic marine δ18O</t>
  </si>
  <si>
    <t>EAST-ASIAN MONSOON; SOUTH CHINA SEA; MILLENNIAL-SCALE; CLIMATE-CHANGE; DEEP; AGE; RECORDS; WATER; CORE; CAVE</t>
  </si>
  <si>
    <t>High-resolution planktic and benthic delta O-18 records at Site 1146 ( northern South China Sea) include structure within Marine Isotope Stage 5.4, 118.5-105.9 ka, that is not captured in stacked delta O-18 records commonly used for age model construction and as proxies for global ice volume. Leveraging a common monsoonal influence, Site 1146 planktic delta O-18 was aligned to speleothem delta O-18 from southeastern China to derive a radiometrically calibrated (RC) age model. On the RC age model, the benthic delta O-18 record contains structure equivalent in time to Antarctic Isotope Maximum (AIM) events 24 and 25. Sea level reconstructions for isotopic event 5.4 suggest that these benthic delta O-18 events (AIM 24 and 25) derive from isotopic change (ice volume) although some temperature change cannot be completely excluded.</t>
  </si>
  <si>
    <t>[Caballero-Gill, Rocio P.; Clemens, Steve; Prell, Warren] Brown Univ, Dept Geol Sci, Providence, RI 02912 USA</t>
  </si>
  <si>
    <t>Brown University</t>
  </si>
  <si>
    <t>Caballero-Gill, RP (corresponding author), Brown Univ, Dept Geol Sci, 324 Brook St, Providence, RI 02912 USA.</t>
  </si>
  <si>
    <t>rocio_caballero@brown.edu</t>
  </si>
  <si>
    <t>U.S. National Science Foundation [OCE0352215]; Graduate STEM K-12 Fellowship</t>
  </si>
  <si>
    <t>U.S. National Science Foundation(National Science Foundation (NSF)); Graduate STEM K-12 Fellowship</t>
  </si>
  <si>
    <t>We thank informal reviewers Timothy D. Herbert and Jan Tullis as well as formal reviewer Mark Siddall; the Editor, Rainer Zahn; and one anonymous reviewer for constructive comment and criticism. This work was supported by U.S. National Science Foundation grant OCE0352215 to SCC and Graduate STEM K-12 Fellowship to RPCG. Marine samples were provided by the Ocean Drilling Program (ODP). April Martin and Dmitri Sedykin assisted with various aspects of data reduction.</t>
  </si>
  <si>
    <t>10.1029/2011PA002269</t>
  </si>
  <si>
    <t>908OM</t>
  </si>
  <si>
    <t>WOS:000301499700001</t>
  </si>
  <si>
    <t>de Jong, J; Schoemann, V; Lannuzel, D; Croot, P; de Baar, H; Tison, JL</t>
  </si>
  <si>
    <t>de Jong, Jeroen; Schoemann, Veronique; Lannuzel, Delphine; Croot, Peter; de Baar, Hein; Tison, Jean-Louis</t>
  </si>
  <si>
    <t>Natural iron fertilization of the Atlantic sector of the Southern Ocean by continental shelf sources of the Antarctic Peninsula</t>
  </si>
  <si>
    <t>JOURNAL OF GEOPHYSICAL RESEARCH-BIOGEOSCIENCES</t>
  </si>
  <si>
    <t>WEDDELL-SCOTIA CONFLUENCE; FAEROE-SHETLAND CHANNEL; DISSOLVED IRON; CIRCUMPOLAR CURRENT; PHYTOPLANKTON BLOOM; CHELATING RESIN; WORLD OCEAN; SEDIMENT RESUSPENSION; ORGANIC COMPLEXATION; HYDROTHERMAL VENTS</t>
  </si>
  <si>
    <t>In large parts of the Southern Ocean, primary production is limited due to shortage of iron (Fe). We measured vertical Fe profiles in the western Weddell Sea, Weddell-Scotia Confluence, and Antarctic Circumpolar Current (ACC), showing that Fe is derived from benthic Fe diffusion and sediment resuspension in areas characterized by high turbulence due to rugged bottom topography. Our data together with literature data reveal an exponential decrease of dissolved Fe (DFe) concentrations with increasing distance from the continental shelves of the Antarctic Peninsula and the western Weddell Sea. This decrease can be observed 3500 km eastward of the Antarctic Peninsula area, downstream the ACC. We estimated DFe summer fluxes into the upper mixed layer of the Atlantic sector of the Southern Ocean and found that horizontal advection dominates DFe supply, representing 54 +/- 15% of the total flux, with significant vertical advection second most important at 29 +/- 13%. Horizontal and vertical diffusion are weak with 1 +/- 2% and 1 +/- 1%, respectively. The atmospheric contribution is insignificant close to the Antarctic continent but increases to 15 +/- 10% in the remotest waters (&gt;1500 km offshore) of the ACC. Translating Southern Ocean carbon fixation by primary producers into biogenic Fe fixation shows a twofold excess of new DFe input close to the Antarctic continent and a one-third shortage in the open ocean. Fe recycling, with an estimated fe ratio of 0.59, is the likely pathway to balance new DFe supply and Fe fixation.</t>
  </si>
  <si>
    <t>[de Jong, Jeroen; Lannuzel, Delphine] Univ Libre Brussels, Dept Sci Terre &amp; Environm, Lab Oceanog Chim &amp; Geochim Eaux, B-1050 Brussels, Belgium; [de Jong, Jeroen; Schoemann, Veronique; de Baar, Hein] Royal Netherlands Inst Sea Res, Dept Biol Oceanog, NL-1790 AB Den Burg, Netherlands; [Schoemann, Veronique] Univ Libre Brussels, Lab Ecol Syst Aquat, B-1050 Brussels, Belgium; [Lannuzel, Delphine] Univ Tasmania, Inst Marine &amp; Antarctic Studies, Hobart, Tas 7005, Australia; [Lannuzel, Delphine] Univ Tasmania, Antarctic Climate &amp; Ecosyst Cooperat Res Ctr, Hobart, Tas 7005, Australia; [Croot, Peter] Plymouth Marine Lab, Plymouth, Devon, England; [Tison, Jean-Louis] Univ Libre Brussels, Dept Sci Terre &amp; Environm, Lab Glaciol, B-1050 Brussels, Belgium</t>
  </si>
  <si>
    <t>Universite Libre de Bruxelles; Utrecht University; Royal Netherlands Institute for Sea Research (NIOZ); Universite Libre de Bruxelles; University of Tasmania; Antarctic Climate &amp; Ecosystems Cooperative Research Centre (ACE CRC); University of Tasmania; Plymouth Marine Laboratory; Universite Libre de Bruxelles</t>
  </si>
  <si>
    <t>de Jong, J (corresponding author), Univ Libre Brussels, Dept Sci Terre &amp; Environm, Lab Oceanog Chim &amp; Geochim Eaux, Ave FD Roosevelt 50, B-1050 Brussels, Belgium.</t>
  </si>
  <si>
    <t>Croot, Peter/U-5296-2019; de Jong, Jeroen/F-3190-2011; Croot, Peter/C-8460-2009; Tison, Jean-Louis/F-4065-2015; lannuzel, delphine/J-7937-2014</t>
  </si>
  <si>
    <t>Croot, Peter/0000-0003-1396-0601; de Jong, Jeroen/0000-0002-3034-5929; Tison, Jean-Louis/0000-0002-9758-3454; lannuzel, delphine/0000-0001-6154-1837</t>
  </si>
  <si>
    <t>ARC-SIBCLIM [ARC-2/07-287]; Belgian French Community; BELCANTO [SD/CA/03A]; Belgian Federal Science Policy Office; Fonds de la Recherche Scientifique (F.R.S.-FNRS, Belgium) under FRFC [2.4617.06]; Netherlands Organization for Scientific Research (NWO) [851.20.046]; Natural Environment Research Council [pml010002] Funding Source: researchfish; NERC [pml010002] Funding Source: UKRI</t>
  </si>
  <si>
    <t>ARC-SIBCLIM(Australian Research Council); Belgian French Community; BELCANTO; Belgian Federal Science Policy Office(Belgian Federal Science Policy Office); Fonds de la Recherche Scientifique (F.R.S.-FNRS, Belgium) under FRFC(Fonds de la Recherche Scientifique - FNRS); Netherlands Organization for Scientific Research (NWO)(Netherlands Organization for Scientific Research (NWO)); Natural Environment Research Council(UK Research &amp; Innovation (UKRI)Natural Environment Research Council (NERC)); NERC(UK Research &amp; Innovation (UKRI)Natural Environment Research Council (NERC))</t>
  </si>
  <si>
    <t>We thank the captains and crews on several RV Polarstern expeditions for skillfully carrying out their tasks. We are indebted to the Alfred-Wegener-Institut fur Polar- und Meeresforschung (AWI), Bremerhaven, Germany, for hosting us on its ship. Mike Schroder (AWI) and his team are thanked for carrying out the CTD operations during ISPOL. The Royal Belgian Institute of Natural Sciences is thanked for providing us with a clean air laboratory container during the ISPOL cruise. This study would not have been possible without the financial support from the ARC-SIBCLIM project (contract ARC-2/07-287) funded by the Belgian French Community, as well as the BELCANTO (contract SD/CA/03A) and BIGSOUTH (contract SD/CA/05A) projects funded by the Belgian Federal Science Policy Office. We are also grateful to the Fonds de la Recherche Scientifique (F.R.S.-FNRS, Belgium) for support of the MC-ICP-MS facility at ULB under FRFC contract 2.4617.06. We also acknowledge financial support under contract 851.20.046 from the Netherlands Polar Program of the Netherlands Organization for Scientific Research (NWO). The great scrutiny and detailed comments by two anonymous reviewers greatly improved the manuscript.</t>
  </si>
  <si>
    <t>2169-8953</t>
  </si>
  <si>
    <t>2169-8961</t>
  </si>
  <si>
    <t>J GEOPHYS RES-BIOGEO</t>
  </si>
  <si>
    <t>J. Geophys. Res.-Biogeosci.</t>
  </si>
  <si>
    <t>G01029</t>
  </si>
  <si>
    <t>10.1029/2011JG001679</t>
  </si>
  <si>
    <t>Environmental Sciences; Geosciences, Multidisciplinary</t>
  </si>
  <si>
    <t>Environmental Sciences &amp; Ecology; Geology</t>
  </si>
  <si>
    <t>908OE</t>
  </si>
  <si>
    <t>WOS:000301498900001</t>
  </si>
  <si>
    <t>Sremba, AL; Hancock-Hanser, B; Branch, TA; LeDuc, RL; Baker, CS</t>
  </si>
  <si>
    <t>Sremba, Angela L.; Hancock-Hanser, Brittany; Branch, Trevor A.; LeDuc, Rick L.; Baker, C. Scott</t>
  </si>
  <si>
    <t>Circumpolar Diversity and Geographic Differentiation of mtDNA in the Critically Endangered Antarctic Blue Whale (Balaenoptera musculus intermedia)</t>
  </si>
  <si>
    <t>MITOCHONDRIAL-DNA DIVERSITY; POPULATION-STRUCTURE; HUMPBACK WHALES; MICROSATELLITE LOCI; GENETIC IDENTIFICATION; SOUTHERN-HEMISPHERE; BEAKED-WHALES; NORTH; SOFTWARE; AMPLIFICATION</t>
  </si>
  <si>
    <t>The Antarctic blue whale (Balaenoptera musculus intermedia) was hunted to near extinction between 1904 and 1972, declining from an estimated initial abundance of more than 250,000 to fewer than 400. Here, we describe mtDNA control region diversity and geographic differentiation in the surviving population of the Antarctic blue whale, using 218 biopsy samples collected under the auspices of the International Whaling Commission (IWC) during research cruises from 1990-2009. Microsatellite genotypes and mtDNA sequences identified 166 individuals among the 218 samples and documented movement of a small number of individuals, including a female that traveled at least 6,650 km or 131 degrees longitude over four years. mtDNA sequences from the 166 individuals were aligned with published sequences from 17 additional individuals, resolving 52 unique haplotypes from a consensus length of 410 bp. From this minimum census, a rarefaction analysis predicted that only 72 haplotypes (95% CL, 64, 86) have survived in the contemporary population of Antarctic blue whales. However, haplotype diversity was relatively high (0.968 +/- 0.004), perhaps as a result of the longevity of blue whales and the relatively recent timing of the bottleneck. Despite the potential for circumpolar dispersal, we found significant differentiation in mtDNA diversity (F-ST = 0.032, p&lt;0.005) and microsatellite alleles (F-ST = 0.005, p&lt;0.05) among the six Antarctic Areas historically used by the IWC for management of blue whales.</t>
  </si>
  <si>
    <t>[Sremba, Angela L.; Baker, C. Scott] Oregon State Univ, Hatfield Marine Sci Ctr, Dept Fisheries &amp; Wildlife, Newport, OR 97365 USA; [Sremba, Angela L.; Baker, C. Scott] Oregon State Univ, Hatfield Marine Sci Ctr, Marine Mammal Inst, Newport, OR 97365 USA; [Hancock-Hanser, Brittany; LeDuc, Rick L.] Natl Ocean &amp; Atmospher Adm, Protected Resources Div, SW Fisheries Sci Ctr, Natl Marine Fisheries Serv, La Jolla, CA USA; [Branch, Trevor A.] Univ Washington, Sch Aquat &amp; Fishery Sci, Seattle, WA 98195 USA</t>
  </si>
  <si>
    <t>Oregon State University; Oregon State University; National Oceanic Atmospheric Admin (NOAA) - USA; University of Washington; University of Washington Seattle</t>
  </si>
  <si>
    <t>Sremba, AL (corresponding author), Oregon State Univ, Hatfield Marine Sci Ctr, Dept Fisheries &amp; Wildlife, Newport, OR 97365 USA.</t>
  </si>
  <si>
    <t>Srembaa@onid.orst.edu</t>
  </si>
  <si>
    <t>Oregon State University Hatfield Marine Science Center; Marine Mammal Institute</t>
  </si>
  <si>
    <t>Funding for this study was provided by the Oregon State University Hatfield Marine Science Center Mamie Markham Research Award and the Marine Mammal Institute. The funders had no role in study design, data collection and analysis, decision to publish, or preparation of the manuscript.</t>
  </si>
  <si>
    <t>MAR 7</t>
  </si>
  <si>
    <t>e32579</t>
  </si>
  <si>
    <t>10.1371/journal.pone.0032579</t>
  </si>
  <si>
    <t>929KK</t>
  </si>
  <si>
    <t>WOS:000303060800030</t>
  </si>
  <si>
    <t>Tottrup, AP; Klaassen, RHG; Strandberg, R; Thorup, K; Kristensen, MW; Jorgensen, PS; Fox, J; Afanasyev, V; Rahbek, C; Alerstam, T</t>
  </si>
  <si>
    <t>Tottrup, Anders P.; Klaassen, Raymond H. G.; Strandberg, Roine; Thorup, Kasper; Kristensen, Mikkel Willemoes; Jorgensen, Peter Sogaard; Fox, James; Afanasyev, Vsevolod; Rahbek, Carsten; Alerstam, Thomas</t>
  </si>
  <si>
    <t>The annual cycle of a trans-equatorial Eurasian-African passerine migrant: different spatio-temporal strategies for autumn and spring migration</t>
  </si>
  <si>
    <t>PROCEEDINGS OF THE ROYAL SOCIETY B-BIOLOGICAL SCIENCES</t>
  </si>
  <si>
    <t>avian migration; geolocator; passerine; migration speed; phenology; migration routes</t>
  </si>
  <si>
    <t>POPULATION DECLINES; SONGBIRD MIGRATION; EASTERN AFRICA; BIRD MIGRATION; CLIMATE-CHANGE; ARRIVAL; SAHARA; SEGREGATION; PATTERNS; STOPOVER</t>
  </si>
  <si>
    <t>The small size of the billions of migrating songbirds commuting between temperate breeding sites and the tropics has long prevented the study of the largest part of their annual cycle outside the breeding grounds. Using light-level loggers (geolocators), we recorded the entire annual migratory cycle of the red-backed shrike Lanius collurio, a trans-equatorial Eurasian-African passerine migrant. We tested differences between autumn and spring migration for nine individuals. Duration of migration between breeding and winter sites was significantly longer in autumn (average 96 days) when compared with spring (63 days). This difference was explained by much longer staging periods during autumn (71 days) than spring (9 days). Between staging periods, the birds travelled faster during autumn (356 km d(-1)) than during spring (233 km d(-1)). All birds made a protracted stop (53 days) in Sahelian sub-Sahara on southbound migration. The birds performed a distinct loop migration (22 000 km) where spring distance, including a detour across the Arabian Peninsula, exceeded the autumn distance by 22 per cent. Geographical scatter between routes was particularly narrow in spring, with navigational convergence towards the crossing point from Africa to the Arabian Peninsula. Temporal variation between individuals was relatively constant, while different individuals tended to be consistently early or late at different departure/arrival occasions during the annual cycle. These results demonstrate the existence of fundamentally different spatio-temporal migration strategies used by the birds during autumn and spring migration, and that songbirds may rely on distinct staging areas for completion of their annual cycle, suggesting more sophisticated endogenous control mechanisms than merely clockand-compass guidance among terrestrial solitary migrants. After a century with metal-ringing, year-round tracking of long-distance migratory songbirds promises further insights into bird migration.</t>
  </si>
  <si>
    <t>[Tottrup, Anders P.; Jorgensen, Peter Sogaard; Rahbek, Carsten] Univ Copenhagen, Dept Biol, Ctr Macroecol Evolut &amp; Climate, DK-2100 Copenhagen, Denmark; [Thorup, Kasper; Kristensen, Mikkel Willemoes] Univ Copenhagen, Nat Hist Museum Denmark, Ctr Macroecol Evolut &amp; Climate, DK-2100 Copenhagen, Denmark; [Klaassen, Raymond H. G.; Strandberg, Roine; Alerstam, Thomas] Lund Univ, Dept Biol, S-22362 Lund, Sweden; [Fox, James; Afanasyev, Vsevolod] British Antarctic Survey, Cambridge CB3 0ET, England; [Fox, James] Migrate Technol Ltd, Cambridge CB1 0QY, England</t>
  </si>
  <si>
    <t>University of Copenhagen; University of Copenhagen; Lund University; UK Research &amp; Innovation (UKRI); Natural Environment Research Council (NERC); NERC British Antarctic Survey</t>
  </si>
  <si>
    <t>Tottrup, AP (corresponding author), Univ Copenhagen, Dept Biol, Ctr Macroecol Evolut &amp; Climate, Univ Pk 15, DK-2100 Copenhagen, Denmark.</t>
  </si>
  <si>
    <t>aptottrup@bio.ku.dk</t>
  </si>
  <si>
    <t>Rahbek, Carsten/D-9372-2013; Klaassen, Raymond/K-3027-2013; Willemoes, Mikkel/J-9391-2012; Rahbek, Carsten/L-1129-2013; Tottrup, Anders/N-3836-2013; Thorup, Kasper/A-4835-2013</t>
  </si>
  <si>
    <t>Fox, James W./0000-0002-3107-696X; Willemoes, Mikkel/0000-0001-9363-6304; Rahbek, Carsten/0000-0003-4585-0300; Tottrup, Anders/0000-0001-8776-9629; Jorgensen, Peter Sogaard/0000-0002-2621-378X; Thorup, Kasper/0000-0002-0320-0601</t>
  </si>
  <si>
    <t>Danish National Research Foundation; Swedish Research Council; Centre for Animal Movement Research at Lund University [349-2007-8690]; NERC [bas010013] Funding Source: UKRI; Natural Environment Research Council [bas010013] Funding Source: researchfish</t>
  </si>
  <si>
    <t>Danish National Research Foundation(Danmarks Grundforskningsfond); Swedish Research Council(Swedish Research Council); Centre for Animal Movement Research at Lund University; NERC(UK Research &amp; Innovation (UKRI)Natural Environment Research Council (NERC)); Natural Environment Research Council(UK Research &amp; Innovation (UKRI)Natural Environment Research Council (NERC))</t>
  </si>
  <si>
    <t>The Copenhagen Bird Ringing Centre with permission from the Danish Nature Agency (J.nr. SN 302-009) approved the study in Denmark. In Sweden, the study was approved by the ethical committees in Malmo/Lund (M112-09). We thank Per Ekberg Pedersen, Troels Leuenhagen Petersen, Wietske Lambert and the staff of the Ottenby Bird Observatory for field assistance. We are grateful to the Danish Nature Agency and Vittskovle gods for permission to work at their sites. Two anonymous referees provided valuable comments on an earlier version of this manuscript, for which we are very grateful. A.P.T., K.T., M.W.K., P.S.J. and C.R. acknowledge the Danish National Research Foundation for supporting the Center for Macroecology, Evolution and Climate. R.H.G.K., R.S. and TA. received financial support from the Swedish Research Council and the Centre for Animal Movement Research at Lund University (CAnMove, Linnaeus grant no. 349-2007-8690).</t>
  </si>
  <si>
    <t>0962-8452</t>
  </si>
  <si>
    <t>1471-2954</t>
  </si>
  <si>
    <t>P ROY SOC B-BIOL SCI</t>
  </si>
  <si>
    <t>Proc. R. Soc. B-Biol. Sci.</t>
  </si>
  <si>
    <t>10.1098/rspb.2011.1323</t>
  </si>
  <si>
    <t>887ET</t>
  </si>
  <si>
    <t>WOS:000299910400023</t>
  </si>
  <si>
    <t>Ermilov, SG; Stary, J; Block, W</t>
  </si>
  <si>
    <t>Ermilov, Sergey G.; Stary, Josef; Block, William</t>
  </si>
  <si>
    <t>Morphology of juvenile instars of Ameronothridae (Acari: Oribatida)</t>
  </si>
  <si>
    <t>Oribatida; morphology; juvenile instars; ontogeny; Ameronothridae; diagnosis; key</t>
  </si>
  <si>
    <t>CRYPTOSTIGMATA; MITES</t>
  </si>
  <si>
    <t>Juvenile instars of four species of the oribatid mite family Ameronothridae-Alaskozetes antarcticus intermedius, Ameronothrus lineatus, Halozetes crozetensis and Pseudantarcticola georgiae-are described and illustrated in detail. Known juvenile instars of the family are compared, new diagnoses are given when possible, and identification keys to genera of known nymphs and larvae are presented.</t>
  </si>
  <si>
    <t>[Ermilov, Sergey G.] Fed Serv Vet &amp; Phytosanit Inspect, Nizhniy Novgorod Referral Ctr, Phytosanit Dept, Nizhnii Novgorod 603107, Russia; [Stary, Josef] Acad Sci Czech Republ, Bol Ctr, Vvi, Inst Soil Biol, CZ-37005 Ceske Budejovice, Czech Republic; [Block, William] British Antarctic Survey, NERC, Cambridge CB3 0ET, England</t>
  </si>
  <si>
    <t>Czech Academy of Sciences; Biology Centre of the Czech Academy of Sciences; UK Research &amp; Innovation (UKRI); Natural Environment Research Council (NERC); NERC British Antarctic Survey</t>
  </si>
  <si>
    <t>Ermilov, SG (corresponding author), Fed Serv Vet &amp; Phytosanit Inspect, Nizhniy Novgorod Referral Ctr, Phytosanit Dept, Gagarin 97, Nizhnii Novgorod 603107, Russia.</t>
  </si>
  <si>
    <t>ErmilovAcari@yandex.ru; jstary@upb.cas.cz</t>
  </si>
  <si>
    <t>Starý, Josef/G-2721-2014</t>
  </si>
  <si>
    <t>904EH</t>
  </si>
  <si>
    <t>WOS:000301176400001</t>
  </si>
  <si>
    <t>Smith, CR; Grange, LJ; Honig, DL; Naudts, L; Huber, B; Guidi, L; Domack, E</t>
  </si>
  <si>
    <t>Smith, Craig R.; Grange, Laura J.; Honig, David L.; Naudts, Lieven; Huber, Bruce; Guidi, Lionel; Domack, Eugene</t>
  </si>
  <si>
    <t>A large population of king crabs in Palmer Deep on the west Antarctic Peninsula shelf and potential invasive impacts</t>
  </si>
  <si>
    <t>lithodids; invasion; Antarctic; climate warming; bioturbation; biodiversity loss</t>
  </si>
  <si>
    <t>CLIMATE-CHANGE; CRUSTACEA DECAPODA; LITHODID CRABS; CIRCULATION; ECOSYSTEM; SLOPE; SEA</t>
  </si>
  <si>
    <t>Lithodid crabs (and other skeleton-crushing predators) may have been excluded from cold Antarctic continental shelf waters for more than 14 Myr. The west Antarctic Peninsula shelf is warming rapidly and has been hypothesized to be soon invaded by lithodids. A remotely operated vehicle survey in Palmer Deep, a basin 120 km onto the Antarctic shelf, revealed a large, reproductive population of lithodids, providing the first evidence that king crabs have crossed the Antarctic shelf. DNA sequencing and morphology indicate the lithodid is Neolithodes yaldwyni Ahyong &amp; Dawson, previously reported only from Ross Sea waters. We estimate a N yaldwyni population density of 10 600 km(-2) and a population size of 1.55 x 106 in Palmer Deep, a density similar to lithodid populations of commercial interest around Alaska and South Georgia. The lithodid occurred at depths of more than 850 m and temperatures of more than 1.4 degrees C in Palmer Deep, and was not found in extensive surveys of the colder shelf at depths of 430-725 m. Where N yaldwyni occurred, crab traces were abundant, megafaunal diversity reduced and echinoderms absent, suggesting that the crabs have major ecological impacts. Antarctic Peninsula shelf waters are warming at approximately 0.01 degrees C yr(-1); if N yaldwyni is currently limited by cold temperatures, it could spread up onto the shelf (400-600 m depths) within 1-2 decades. The Palmer Deep N yaldwyni population provides an important model for the potential invasive impacts of crushing predators on vulnerable Antarctic shelf ecosystems.</t>
  </si>
  <si>
    <t>[Smith, Craig R.; Grange, Laura J.; Guidi, Lionel] Univ Hawaii Manoa, Dept Oceanog, Honolulu, HI 96822 USA; [Honig, David L.] Duke Univ, Nicholas Sch Environm, Marine Lab, Beaufort, NC 28516 USA; [Naudts, Lieven] Univ Ghent, Renard Ctr Marine Geol, B-9000 Ghent, Belgium; [Huber, Bruce] Columbia Univ, Lamont Doherty Earth Observ, Div Ocean &amp; Climate Phys, Palisades, NY 10964 USA; [Domack, Eugene] Hamilton Coll, Dept Geosci, New York, NY 13323 USA</t>
  </si>
  <si>
    <t>University of Hawaii System; University of Hawaii Manoa; Duke University; Ghent University; Columbia University; Hamilton College</t>
  </si>
  <si>
    <t>Smith, CR (corresponding author), Univ Hawaii Manoa, Dept Oceanog, 1000 Pope Rd, Honolulu, HI 96822 USA.</t>
  </si>
  <si>
    <t>craigsmi@hawaii.edu</t>
  </si>
  <si>
    <t>Guidi, Lionel/B-3977-2012; Grange, Laura/E-8495-2014</t>
  </si>
  <si>
    <t>Guidi, Lionel/0000-0002-6669-5744; Grange, Laura/0000-0001-9222-6848; Huber, Bruce/0000-0001-6413-1614</t>
  </si>
  <si>
    <t>NSF-OPP [0732711, 0636806, 0732467, 0732450, 074735]; Ghent University; BELSPO; SOEST [8479]; University of Hawaii at Manoa from Lamont-Doherty Earth Observatory [7492]; Directorate For Geosciences; Office of Polar Programs (OPP) [0636806, 0732711] Funding Source: National Science Foundation; Division Of Polar Programs; Directorate For Geosciences [0732450] Funding Source: National Science Foundation; Office of Polar Programs (OPP); Directorate For Geosciences [0732467] Funding Source: National Science Foundation</t>
  </si>
  <si>
    <t>NSF-OPP(National Science Foundation (NSF)NSF - Directorate for Geosciences (GEO)); Ghent University(Ghent University); BELSPO(Belgian Federal Science Policy Office); SOEST; University of Hawaii at Manoa from Lamont-Doherty Earth Observatory; Directorate For Geosciences; Office of Polar Programs (OPP)(National Science Foundation (NSF)NSF - Directorate for Geosciences (GEO)); Division Of Polar Programs; Directorate For Geosciences(National Science Foundation (NSF)NSF - Directorate for Geosciences (GEO)); Office of Polar Programs (OPP); Directorate For Geosciences(National Science Foundation (NSF)NSF - Directorate for Geosciences (GEO))</t>
  </si>
  <si>
    <t>We are very grateful to the extraordinary support at sea provided by RPSC, the captain and crew of the RVIB N. B. Palmer, and our colleagues in the LARISSA Project during cruise NBP10-01. Data collection occurred as parts of the LARISSA and FOODBANCS2 Projects, and was generously supported by NSF-OPP grant numbers 0732711 and 0636806 to C.R.S, 0732467 to E.D., 0732450 to C. L. Van Dover and 074735 to B.H. The ROV was funded by Impulsfinanciering of the Special Research Fund of Ghent University, and participation of the ROV team (Dries Boone, Katrien Heirman and Lieven Naudts) was co-financed by the BELSPO project HOLANT. We thank the referees A. Clarke, H. Ducklow and J. Pearse for substantially improving the manuscript. This is publication number 8479 from SOEST, University of Hawaii at Manoa and number 7492 from Lamont-Doherty Earth Observatory.</t>
  </si>
  <si>
    <t>10.1098/rspb.2011.1496</t>
  </si>
  <si>
    <t>WOS:000299910400024</t>
  </si>
  <si>
    <t>Ksepka, DT; Thomas, DB</t>
  </si>
  <si>
    <t>Ksepka, Daniel T.; Thomas, Daniel B.</t>
  </si>
  <si>
    <t>Multiple cenozoic invasions of Africa by penguins (Aves, Sphenisciformes)</t>
  </si>
  <si>
    <t>biogeography; South Atlantic Gyre; fossil; Pliocene; phylogeny</t>
  </si>
  <si>
    <t>MIOCENE; RECORD; SPHENISCUS; PHYLOGENY</t>
  </si>
  <si>
    <t>Africa hosts a single breeding species of penguin today, yet the fossil record indicates that a diverse array of now-extinct taxa once inhabited southern African coastlines. Here, we show that the African penguin fauna had a complex history involving multiple dispersals and extinctions. Phylogenetic analyses and biogeographic reconstructions incorporating new fossil material indicate that, contrary to previous hypotheses, the four Early Pliocene African penguin species do not represent an endemic radiation or direct ancestors of the living Spheniscus demersus (blackfooted penguin). A minimum of three dispersals to Africa, probably assisted by the eastward-flowing Antarctic Circumpolar and South Atlantic currents, occurred during the Late Cenozoic. As regional sea-level fall eliminated islands and reduced offshore breeding areas during the Pliocene, all but one penguin lineage ended in extinction, resulting in today's depleted fauna.</t>
  </si>
  <si>
    <t>[Ksepka, Daniel T.] N Carolina State Univ, Dept Marine Earth &amp; Atmospher Sci, Raleigh, NC 27695 USA; [Ksepka, Daniel T.] N Carolina Museum Nat Sci, Dept Paleontol, Raleigh, NC 27601 USA; [Thomas, Daniel B.] Univ Cape Town, Dept Zool, ZA-7701 Cape Town, South Africa</t>
  </si>
  <si>
    <t>North Carolina State University; University of Cape Town</t>
  </si>
  <si>
    <t>Ksepka, DT (corresponding author), N Carolina State Univ, Dept Marine Earth &amp; Atmospher Sci, Box 8208, Raleigh, NC 27695 USA.</t>
  </si>
  <si>
    <t>daniel_ksepka@ncsu.edu</t>
  </si>
  <si>
    <t>Ksepka, Daniel/A-2007-2009</t>
  </si>
  <si>
    <t>NSF DEB [0949899]; University Research Council of the University of Cape Town; Division Of Environmental Biology; Direct For Biological Sciences [0949899] Funding Source: National Science Foundation</t>
  </si>
  <si>
    <t>NSF DEB(National Science Foundation (NSF)NSF - Directorate for Biological Sciences (BIO)); University Research Council of the University of Cape Town; Division Of Environmental Biology; Direct For Biological Sciences(National Science Foundation (NSF)NSF - Directorate for Biological Sciences (BIO))</t>
  </si>
  <si>
    <t>We thank Graham Avery and Kerwin van Willingh of the Iziko South African Museum, and Pippa Haarhoff of the West Coast Fossil Park, for access to collections, Barbara Harmon and Kristin Lamm for creating the artwork in figure 1, and two anonymous reviewers for feedback. This research was supported by NSF DEB grant 0949899 (D.T.K.) and the University Research Council of the University of Cape Town Postdoctoral Fellowship (D.B.T.).</t>
  </si>
  <si>
    <t>10.1098/rspb.2011.1592</t>
  </si>
  <si>
    <t>WOS:000299910400025</t>
  </si>
  <si>
    <t>Augustinus, P; Cochran, U; Kattel, G; D'Costa, D; Shane, P</t>
  </si>
  <si>
    <t>Augustinus, Paul; Cochran, Ursula; Kattel, Giri; D'Costa, Donna; Shane, Phil</t>
  </si>
  <si>
    <t>Late Quaternary paleolimnology of Onepoto maar, Auckland, New Zealand: Implications for the drivers of regional paleoclimate</t>
  </si>
  <si>
    <t>QUATERNARY INTERNATIONAL</t>
  </si>
  <si>
    <t>SEDIMENTARY ORGANIC-MATTER; ANTARCTIC COLD REVERSAL; LAST GLACIAL MAXIMUM; NORTHERN NEW-ZEALAND; CLIMATE-CHANGE; YOUNGER DRYAS; LAKE PUPUKE; HOLOCENE VEGETATION; SOUTHERN ALPS; NZ-INTIMATE</t>
  </si>
  <si>
    <t>A high-resolution record of lacustrine environments spanning ca. 30-9 cal ka BP was obtained from One-poto maar, northern North Island, New Zealand. The multi-proxy record of environmental change is constrained by tephrochronology and AMS C-14 ages and provides evidence for episodes of rapid environmental change during the Last Glacial Coldest Period (LGCP: 28.5-18 cal ka BP) and Late Glacial Interglacial Transition (LGIT) from northern New Zealand. The Onepoto pollen record indicates that the LGCP was cold, dry and windy in the Auckland region with vegetation dominated by herbs and grasses in a beech forest mosaic. At the same time the diatom record indicates oligotrophic conditions with low lakes levels and turbulence whilst cladocerans indicate low water temperatures. The inference of cold, dry and windy conditions during the LGCP is supported by geochemical evidence for increased sediment influx, charcoal and CO2 limiting conditions for terrestrial macrophytes. Rapid climate amelioration and forest expansion after ca.18 cal ka BP corresponds with reduced sediment influx, diatom and cladoceran-inferred higher lake levels indicating increasing moisture availability and temperature. Diatom flora indicates that an oligotrophic, circumneutral lake was becoming established during the LGIT but conditions were still variable. Between ca.13.8 and 12.5 cal ka BP two brief drier and possibly cooler episodes are apparent (ca.13.8-13.2 and 13-12.5 cal ka BP) followed by a warm phase combined with generally stable high lake levels between ca. 12.5 and 10.5 cal ka BP. Subsequently the lake water chemistry became more alkaline and eutrophic, possibly because sea level had risen high enough by this time to influence ground water chemistry. (C) 2011 Elsevier Ltd and INQUA. All rights reserved.</t>
  </si>
  <si>
    <t>[Augustinus, Paul; Kattel, Giri; D'Costa, Donna; Shane, Phil] Univ Auckland, Sch Environm, Auckland 1, New Zealand; [Cochran, Ursula] GNS Sci, Lower Hutt, New Zealand</t>
  </si>
  <si>
    <t>University of Auckland; GNS Science - New Zealand</t>
  </si>
  <si>
    <t>Augustinus, P (corresponding author), Univ Auckland, Sch Environm, PB 92019,23 Symonds St, Auckland 1, New Zealand.</t>
  </si>
  <si>
    <t>p.augustinus@auckland.ac.nz</t>
  </si>
  <si>
    <t>Kattel, Giri/AAV-3298-2020; Shane, Phil/HKV-7633-2023; Augustinus, Paul/B-5125-2011</t>
  </si>
  <si>
    <t>Kattel, Giri/0000-0002-8348-6477; Shane, Phil/0000-0002-7824-1184; Augustinus, Paul/0000-0002-1391-2151; Cochran, Ursula/0000-0001-8002-4958</t>
  </si>
  <si>
    <t>University of Auckland Research Committee [3604411, 3602487]; Australian Institute of Nuclear Science and Engineering [05/004]; The Royal Society of New Zealand [UOA0517]</t>
  </si>
  <si>
    <t>University of Auckland Research Committee; Australian Institute of Nuclear Science and Engineering; The Royal Society of New Zealand(Royal Society of New Zealand)</t>
  </si>
  <si>
    <t>We would like to thank the University of Auckland Research Committee (grants 3604411 and 3602487), Australian Institute of Nuclear Science and Engineering (grant 05/004) and The Royal Society of New Zealand Marsden Fund (grant UOA0517) for financial support for this project.</t>
  </si>
  <si>
    <t>1040-6182</t>
  </si>
  <si>
    <t>1873-4553</t>
  </si>
  <si>
    <t>QUATERN INT</t>
  </si>
  <si>
    <t>Quat. Int.</t>
  </si>
  <si>
    <t>MAR 6</t>
  </si>
  <si>
    <t>10.1016/j.quaint.2011.02.028</t>
  </si>
  <si>
    <t>910KA</t>
  </si>
  <si>
    <t>WOS:000301634400004</t>
  </si>
  <si>
    <t>Tibby, J</t>
  </si>
  <si>
    <t>Tibby, John</t>
  </si>
  <si>
    <t>The Younger Dryas: Relevant in the Australian region?</t>
  </si>
  <si>
    <t>LAST GLACIAL MAXIMUM; NEW-ZEALAND; EASTERN AUSTRALIA; CLIMATE VARIABILITY; BIPOLAR SEESAW; POLLEN RECORD; LAKE EURAMOO; WET TROPICS; ICE-CORE; TERMINATION</t>
  </si>
  <si>
    <t>An assessment of Australian climate during the Younger Dryas Chronozone (YDC) is presented. This review focuses on securely dated records from sites of continuous deposition, placing greatest emphasis on temperature reconstructions, with records of effective precipitation (i.e. the combined effect of precipitation minus evapotranspiration) also considered. While there is a paucity of Australian records covering the last glacial interglacial transition, particularly those which directly infer temperature, sufficient data exist to examine YDC climate from southern and eastern Australia. Temperature reconstructions from Tasmania, based on both chironomid and pollen data, show no evidence for Younger Dryas cooling. By contrast, there is evidence for cooling associated with the Antarctic Cold Reversal, from Tullabardine Dam pollen data and the sediment organic content from Eagle and Platypus Tarns in Tasmania. Records from a number of eastern Australian mainland sites provide no evidence of effective precipitation shifts concurrent with the Younger Dryas Chronozone. Similarly, reconstructions of discharge from the Murray-Darling Basin, which covers a large proportion (14%) of the Australian continent, and dust transport from a larger portion of the continent also show no evidence of climate shifts concomitant with the Younger Dryas. Of research published in the past decade, only one study, located in the Great Australian Bight, claims evidence of a YDC cooling (Andres et al., 2003). By contrast, this review suggests that there is no conclusive evidence for cooling, or indeed any distinctive climate patterning, during the Younger Dryas Chronozone in Australia. (C) 2012 Elsevier Ltd and INQUA. All rights reserved.</t>
  </si>
  <si>
    <t>Univ Adelaide, Adelaide, SA 5005, Australia</t>
  </si>
  <si>
    <t>University of Adelaide</t>
  </si>
  <si>
    <t>Tibby, J (corresponding author), Univ Adelaide, Adelaide, SA 5005, Australia.</t>
  </si>
  <si>
    <t>john.tibby@adelaide.edu.au</t>
  </si>
  <si>
    <t>Tibby, John/0000-0002-5897-2932</t>
  </si>
  <si>
    <t>10.1016/j.quaint.2012.01.003</t>
  </si>
  <si>
    <t>WOS:000301634400006</t>
  </si>
  <si>
    <t>Levy, JS; Fountain, AG; Welch, KA; Lyons, WB</t>
  </si>
  <si>
    <t>Levy, Joseph S.; Fountain, Andrew G.; Welch, Kathy A.; Lyons, W. Berry</t>
  </si>
  <si>
    <t>Hypersaline wet patches in Taylor Valley, Antarctica</t>
  </si>
  <si>
    <t>MCMURDO DRY VALLEYS; BEACON VALLEY; GLACIER ICE; TEMPERATURE; PERMAFROST; DESERT; WATER; SUBLIMATION; REGION; LAKES</t>
  </si>
  <si>
    <t>Spatially isolated patches of soil located in Taylor Valley, McMurdo Dry Valleys, Antarctica, are sites of elevated salt content and soil moisture. During Antarctic spring, in the absence of snow melt, visibly wet (reduced albedo) patches of soil are present at the surface. The soil pore fluids are hypersaline and have average water activity of 0.74 (the water activity of a solution determines the equilibrium vapor pressure of that solution), and are an order of magnitude more saline than average soils in the Dry Valleys. These salty soils are 3-5 times more water rich than average soils. Geochemical and meteorological analyses show that these wet patches are sites of direct vapor emplacement into soil pore fluids that may ultimately be sourced by the deliquescence of soil salts. These wet patches represent a non-precipitation, non-groundwater source for water into Antarctic permafrost. Citation: Levy, J. S., A. G. Fountain, K. A. Welch, and W. B. Lyons (2012), Hypersaline wet patches in Taylor Valley, Antarctica, Geophys. Res. Lett., 39, L05402, doi:10.1029/2012GL050898.</t>
  </si>
  <si>
    <t>[Levy, Joseph S.] Oregon State Univ, Coll Earth Ocean &amp; Atmospher Sci, Corvallis, OR 97331 USA; [Fountain, Andrew G.] Portland State Univ, Dept Geol, Portland, OR USA; [Welch, Kathy A.; Lyons, W. Berry] Ohio State Univ, Sch Earth Sci, Columbus, OH 43210 USA; [Welch, Kathy A.; Lyons, W. Berry] Ohio State Univ, Byrd Polar Res Ctr, Columbus, OH 43210 USA</t>
  </si>
  <si>
    <t>Oregon State University; Portland State University; University System of Ohio; Ohio State University; University System of Ohio; Ohio State University</t>
  </si>
  <si>
    <t>Levy, JS (corresponding author), Oregon State Univ, Coll Earth Ocean &amp; Atmospher Sci, Corvallis, OR 97331 USA.</t>
  </si>
  <si>
    <t>National Science Foundation [ANT-0851965]; MCM-LTER [ANT-1115245]; Office of Polar Programs (OPP); Directorate For Geosciences [1343649] Funding Source: National Science Foundation</t>
  </si>
  <si>
    <t>National Science Foundation(National Science Foundation (NSF)); MCM-LTER; Office of Polar Programs (OPP); Directorate For Geosciences(National Science Foundation (NSF)NSF - Directorate for Geosciences (GEO))</t>
  </si>
  <si>
    <t>This work is supported by the Antarctic Organisms and Ecosystems Program in the Antarctic Sciences Division of the National Science Foundation (award ANT-0851965 to JSL) and by the MCM-LTER (award ANT-1115245) for analytical support. This project has benefited greatly from discussion with MCM-LTER team members (www.mcmlter.org), and from the thoughtful reviews of Alfonso Davila and an anonymous reviewer.</t>
  </si>
  <si>
    <t>L05402</t>
  </si>
  <si>
    <t>10.1029/2012GL050898</t>
  </si>
  <si>
    <t>908PU</t>
  </si>
  <si>
    <t>WOS:000301503300004</t>
  </si>
  <si>
    <t>Lenaerts, JTM; van den Broeke, MR; Déry, SJ; van Meijgaard, E; van de Berg, WJ; Palm, SP; Rodrigo, JS</t>
  </si>
  <si>
    <t>Lenaerts, J. T. M.; van den Broeke, M. R.; Dery, S. J.; van Meijgaard, E.; van de Berg, W. J.; Palm, Stephen P.; Rodrigo, J. Sanz</t>
  </si>
  <si>
    <t>Modeling drifting snow in Antarctica with a regional climate model: 1. Methods and model evaluation</t>
  </si>
  <si>
    <t>SURFACE MASS-BALANCE; ICE-SHEET SURFACE; DRONNING MAUD LAND; BLOWING SNOW; SNOWDRIFT SUBLIMATION; TEMPORAL VARIABILITY; EAST ANTARCTICA; ENERGY BALANCE; MIZUHO STATION; WIND</t>
  </si>
  <si>
    <t>To simulate the impact of drifting snow on the lower atmosphere, surface characteristics and surface mass balance (SMB) of the Antarctic ice sheet regional atmospheric climate model (RACMO2.1/ANT) with horizontal resolution of 27 km is coupled to a drifting snow routine and forced by ERA-Interim fields at its lateral boundaries (1989-2009). This paper evaluates the near-surface and drifting snow climate of RACMO2.1/ANT. Modeled near-surface wind speed (squared correlation coefficient R-2 = 0.64) and temperature (R-2 = 0.93) agree well with observations. Wind speed is underestimated in topographically complex areas, where observed wind speeds are locally very high (&gt;20 m s(-1)). Temperature is underestimated in winter in coastal areas due to an underestimation of downward longwave radiation. Near-surface temperature and wind speed are not significantly affected by the inclusion of drifting snow in the model. In contrast, relative humidity with respect to ice increases in regions with strong drifting snow and becomes more consistent with the observations. Drifting snow frequency is the only observable parameter to directly validate drifting snow results; therefore, we derived an empirical relation for fresh snow density, as a function of wind speed and temperature, which determines the threshold wind speed for drifting snow. Modeled drifting snow frequencies agree well with in situ measurements and novel estimates from remote sensing. Finally, we show that including drifting snow is essential to obtaining a realistic extent and spatial distribution of ablation (SMB &lt; 0) areas.</t>
  </si>
  <si>
    <t>[Lenaerts, J. T. M.; van den Broeke, M. R.; van de Berg, W. J.] Univ Utrecht, Inst Marine &amp; Atmospher Res Utrecht, NL-3584 CC Utrecht, Netherlands; [Dery, S. J.] Univ No British Columbia, No Hydrometeorol Grp, Prince George, BC 000 000, Canada; [Palm, Stephen P.] NASA, Sci Syst &amp; Applicat Inc, Goddard Space Flight Ctr, Greenbelt, MD 20771 USA; [van Meijgaard, E.] Royal Netherlands Meteorol Inst, NL-3730 AE De Bilt, Netherlands; [Rodrigo, J. Sanz] Von Karman Inst Fluid Dynam, B-1640 Rhode St Genese, Belgium</t>
  </si>
  <si>
    <t>Utrecht University; University of Northern British Columbia; Science Systems and Applications Inc; National Aeronautics &amp; Space Administration (NASA); NASA Goddard Space Flight Center; Royal Netherlands Meteorological Institute</t>
  </si>
  <si>
    <t>Lenaerts, JTM (corresponding author), Univ Utrecht, Inst Marine &amp; Atmospher Res Utrecht, Princetonpl 5, NL-3584 CC Utrecht, Netherlands.</t>
  </si>
  <si>
    <t>jtmlenaerts@gmail.com</t>
  </si>
  <si>
    <t>Lenaerts, Jan/D-9423-2012; van de Berg, Willem Jan/H-4385-2011; Van den Broeke, Michiel R./F-7867-2011; Sanz Rodrigo, Javier/P-9150-2017</t>
  </si>
  <si>
    <t>Lenaerts, Jan/0000-0003-4309-4011; van de Berg, Willem Jan/0000-0002-8232-2040; Van den Broeke, Michiel R./0000-0003-4662-7565; Sanz Rodrigo, Javier/0000-0003-0291-6429</t>
  </si>
  <si>
    <t>We thank two anonymous reviewers for their valuable comments. This work was supported by funding from the ice2sea program from the European Union 7th Framework Programme, grant 226375. This is Ice2sea contribution number 059.</t>
  </si>
  <si>
    <t>D05108</t>
  </si>
  <si>
    <t>10.1029/2011JD016145</t>
  </si>
  <si>
    <t>908NV</t>
  </si>
  <si>
    <t>WOS:000301498000002</t>
  </si>
  <si>
    <t>Hoffman, JI; Clarke, A; Clark, MS; Fretwell, P; Peck, LS</t>
  </si>
  <si>
    <t>Hoffman, Joseph I.; Clarke, Andy; Clark, Melody S.; Fretwell, Peter; Peck, Lloyd S.</t>
  </si>
  <si>
    <t>Unexpected Fine-Scale Population Structure in a Broadcast-Spawning Antarctic Marine Mollusc</t>
  </si>
  <si>
    <t>LIMPET NACELLA-CONCINNA; GENETIC-STRUCTURE; GENOTYPING ERRORS; ADELAIDE ISLAND; LIFE-HISTORY; AFLP; CONNECTIVITY; DISPERSAL; DIFFERENTIATION; PHYLOGEOGRAPHY</t>
  </si>
  <si>
    <t>Several recent empirical studies have challenged the prevailing dogma that broadcast-spawning species exhibit little or no population genetic structure by documenting genetic discontinuities associated with large-scale oceanographic features. However, relatively few studies have explored patterns of genetic differentiation over fine spatial scales. Consequently, we used a hierarchical sampling design to investigate the basis of a weak but significant genetic difference previously reported between Antarctic limpets (Nacella concinna) sampled from Adelaide and Galindez Islands near the base of the Antarctic Peninsula. Three sites within Ryder Bay, Adelaide Island (Rothera Point, Leonie and Anchorage Islands) were each sub-sampled three times, yielding a total of 405 samples that were genotyped at 155 informative Amplified Fragment Length Polymorphisms (AFLPs). Contrary to our initial expectations, limpets from Anchorage Island were found to be subtly, but significantly distinct from those sampled from the other sites. This suggests that local processes may play an important role in generating fine-scale population structure even in species with excellent dispersal capabilities, and highlights the importance of sampling at multiple spatial scales in population genetic surveys.</t>
  </si>
  <si>
    <t>[Hoffman, Joseph I.] Univ Bielefeld, Dept Anim Behav, D-33615 Bielefeld, Germany; [Clarke, Andy; Clark, Melody S.; Fretwell, Peter; Peck, Lloyd S.] British Antarctic Survey, Nat Environm Res Council, Cambridge CB3 0ET, England</t>
  </si>
  <si>
    <t>University of Bielefeld; UK Research &amp; Innovation (UKRI); Natural Environment Research Council (NERC); NERC British Antarctic Survey</t>
  </si>
  <si>
    <t>Hoffman, JI (corresponding author), Univ Bielefeld, Dept Anim Behav, D-33615 Bielefeld, Germany.</t>
  </si>
  <si>
    <t>joseph.hoffman@uni-bielefeld.de</t>
  </si>
  <si>
    <t>Clark, Melody/D-7371-2014; Hoffman, Joseph/K-7725-2012</t>
  </si>
  <si>
    <t>Clark, Melody/0000-0002-3442-3824; Hoffman, Joseph/0000-0001-5895-8949</t>
  </si>
  <si>
    <t>Natural Environment Research Council (NERC) British Antarctic Survey (BAS) Strategic Alliance; Deutsche Forschungsgemeinschaft; Bielefeld University; NERC [dml011000, bas0100025] Funding Source: UKRI; Natural Environment Research Council [bas0100025, dml011000] Funding Source: researchfish</t>
  </si>
  <si>
    <t>Natural Environment Research Council (NERC) British Antarctic Survey (BAS) Strategic Alliance; Deutsche Forschungsgemeinschaft(German Research Foundation (DFG)); Bielefeld University; NERC(UK Research &amp; Innovation (UKRI)Natural Environment Research Council (NERC)); Natural Environment Research Council(UK Research &amp; Innovation (UKRI)Natural Environment Research Council (NERC))</t>
  </si>
  <si>
    <t>This work was funded by a Natural Environment Research Council (NERC) British Antarctic Survey (BAS) Strategic Alliance Fellowship to J. I. Hoffman. The authors also acknowledge support for the publication fee from the Deutsche Forschungsgemeinschaft and the Open Access Publication Funds of Bielefeld University. The funders had no role in study design, data collection and analysis, decision to publish, or preparation of the manuscript.</t>
  </si>
  <si>
    <t>MAR 5</t>
  </si>
  <si>
    <t>e32415</t>
  </si>
  <si>
    <t>10.1371/journal.pone.0032415</t>
  </si>
  <si>
    <t>928WA</t>
  </si>
  <si>
    <t>Green Submitted, Green Published, gold, Green Accepted</t>
  </si>
  <si>
    <t>WOS:000303017700052</t>
  </si>
  <si>
    <t>Graham, AGC; Smith, JA</t>
  </si>
  <si>
    <t>Graham, Alastair G. C.; Smith, James A.</t>
  </si>
  <si>
    <t>Palaeoglaciology of the Alexander Island ice cap, western Antarctic Peninsula, reconstructed from marine geophysical and core data</t>
  </si>
  <si>
    <t>Antarctic Peninsula; Last Glacial Maximum; Palaeoglaciology; Glacial geomorphology; Deglaciation; Glacial refugia</t>
  </si>
  <si>
    <t>LAST GLACIAL MAXIMUM; PLEISTOCENE-HOLOCENE RETREAT; AMUNDSEN SEA EMBAYMENT; ROSS-SEA; CONTINENTAL-SHELF; BELLINGSHAUSEN SEA; MARGUERITE BAY; SEDIMENTARY PROCESSES; GEOMORPHIC FEATURES; SUBGLACIAL TILL</t>
  </si>
  <si>
    <t>The glacial history of the continental shelf northwest of Alexander Island is not well known, due mainly to a lack of targeted marine data on Antarctica's palaeo-ice sheets in their inter-ice-stream areas. Recently it has been argued that the region was ice-free at the Last Glacial Maximum (LGM) and thus a potential site for glacial refugia. In this paper, multibeam swath bathymetry, sub-bottom profiles and sediment cores are used to map the Alexander Island sector of the Antarctic Peninsula margin, in order to reconstruct the shelf's palaeoglaciology. Sea-floor bedforms provide evidence that an independent ice cap persisted on Alexander Island through the LGM and deglaciation. We show that this ice cap drained via two major, previously-undescribed tidewater outlets (Rothschild and Charcot Glaciers) sourced from an ice dome centred over the west of the island and near-shore areas. The glaciers grounded along deep, fjord-like cross-shelf troughs to within at least similar to 10-20 km of the shelf edge, and probably reached the shelf break. Only one small outer-shelf zone appears to have remained free of ice throughout an otherwise extensive LGM. During retreat, grounding-line geomorphology indicates periodic stabilisation of Charcot Glacier on the mid-shelf after 13,500 cal yrs BP, while Rothschild Glacier retreated across its mid-shelf by 14,450 cal yrs BP. The timing of these events is in phase with retreat in nearby Marguerite Trough, and we take this as evidence of a common history and forcing with the Antarctic Peninsula Ice Sheet. The fine details of ice flow documented by our new reconstruction highlight the importance of capturing complex ice flow patterns in models (e.g. in inter-stream areas), for understanding how region-specific parts of Antarctica may change in the future. Moreover, the reconstruction shows that glacial refugia, if present, cannot have been extensive on the Alexander Island shelf at the LGM as indicated by previous biological studies; instead, we argue that any ice-free refugia were probably restricted to isolated outer-shelf pockets, that opened, closed, or were maintained through diachronous ice-sheet advance and retreat. (C) 2012 Elsevier Ltd. All rights reserved.</t>
  </si>
  <si>
    <t>[Graham, Alastair G. C.; Smith, James A.] British Antarctic Survey, Cambridge CB3 0ET, England</t>
  </si>
  <si>
    <t>Graham, AGC (corresponding author), British Antarctic Survey, Madingley Rd, Cambridge CB3 0ET, England.</t>
  </si>
  <si>
    <t>alah@bas.ac.uk</t>
  </si>
  <si>
    <t>Smith, James A/N-1836-2013</t>
  </si>
  <si>
    <t>Graham, Alastair/0000-0002-2880-2908</t>
  </si>
  <si>
    <t>BAS Ice Sheets and GRADES; NERC [NRCF010001, bosc01001, bas0100027] Funding Source: UKRI; Natural Environment Research Council [bosc01001, bas0100027, NRCF010001] Funding Source: researchfish</t>
  </si>
  <si>
    <t>BAS Ice Sheets and GRADES; NERC(UK Research &amp; Innovation (UKRI)Natural Environment Research Council (NERC)); Natural Environment Research Council(UK Research &amp; Innovation (UKRI)Natural Environment Research Council (NERC))</t>
  </si>
  <si>
    <t>This work was supported by the BAS Ice Sheets and GRADES programmes. We thank the captain, officers, crew, technical support staff and other scientists who participated in the JR179 research cruise. Tara Deen helped to process the EM120 multibeam data and Hilary Blagborough assisted with laboratory work. We are grateful to Werner Ehrmann who carried out the clay mineral analyses on sediment cores, Jeremy Sothcott (BOSCORF, NOC Southampton) for multi-sensor core logging, Zammo and Ian Tomlinson at NDT Services for x-raying, and Steve Moreton (NERC Radiocarbon Facility - Environment, East Kilbride) for AMS 14C dating of our samples. RV Nathaniel B. Palmer multibeam echo sounding data were obtained from the MGDS (Lamont multibeam synthesis). Robert Larter and Claus-Dieter Hillenbrand are thanked for support, suggestions, and help. Reviewers John Anderson and Bethan Davies provided valuable comments which greatly improved the final paper.</t>
  </si>
  <si>
    <t>10.1016/j.quascirev.2012.01.008</t>
  </si>
  <si>
    <t>910FO</t>
  </si>
  <si>
    <t>WOS:000301622800005</t>
  </si>
  <si>
    <t>Admiralty Bay, Antarctica 2 Fire at Brazil's Antarctic Station</t>
  </si>
  <si>
    <t>MAR 2</t>
  </si>
  <si>
    <t>900ZL</t>
  </si>
  <si>
    <t>WOS:000300931100003</t>
  </si>
  <si>
    <t>Stöhr, S; O'Hara, TD; Thuy, B</t>
  </si>
  <si>
    <t>Stohr, Sabine; O'Hara, Timothy D.; Ben Thuy</t>
  </si>
  <si>
    <t>Global Diversity of Brittle Stars (Echinodermata: Ophiuroidea)</t>
  </si>
  <si>
    <t>AMPHIPHOLIS-SQUAMATA ECHINODERMATA; PHYLOGENETIC-RELATIONSHIPS; ATLANTIC; BEHAVIOR; MITOCHONDRIAL; BIOGEOGRAPHY; COMPLEX; GENERA; GENUS; DIET</t>
  </si>
  <si>
    <t>This review presents a comprehensive overview of the current status regarding the global diversity of the echinoderm class Ophiuroidea, focussing on taxonomy and distribution patterns, with brief introduction to their anatomy, biology, phylogeny, and palaeontological history. A glossary of terms is provided. Species names and taxonomic decisions have been extracted from the literature and compiled in The World Ophiuroidea Database, part of the World Register of Marine Species (WoRMS). Ophiuroidea, with 2064 known species, are the largest class of Echinodermata. A table presents 16 families with numbers of genera and species. The largest are Amphiuridae (467), Ophiuridae (344 species) and Ophiacanthidae (319 species). A biogeographic analysis for all world oceans and all accepted species was performed, based on published distribution records. Approximately similar numbers of species were recorded from the shelf (n = 1313) and bathyal depth strata (1297). The Indo-Pacific region had the highest species richness overall (825 species) and at all depths. Adjacent regions were also relatively species rich, including the North Pacific (398), South Pacific (355) and Indian (316) due to the presence of many Indo-Pacific species that partially extended into these regions. A secondary region of enhanced species richness was found in the West Atlantic (335). Regions of relatively low species richness include the Arctic (73 species), East Atlantic (118), South America (124) and Antarctic (126).</t>
  </si>
  <si>
    <t>[Stohr, Sabine] Swedish Museum Nat Hist, Dept Invertebrate Zool, S-10405 Stockholm, Sweden; [O'Hara, Timothy D.] Museum Victoria, Melbourne, Vic, Australia; [Ben Thuy] Univ Gottingen, Geosci Ctr, Dept Geobiol, Gottingen, Germany</t>
  </si>
  <si>
    <t>Swedish Museum of Natural History; Museum Victoria; University of Gottingen</t>
  </si>
  <si>
    <t>Stöhr, S (corresponding author), Swedish Museum Nat Hist, Dept Invertebrate Zool, S-10405 Stockholm, Sweden.</t>
  </si>
  <si>
    <t>sabine.stohr@nrm.se</t>
  </si>
  <si>
    <t>Stöhr, Sabine/B-8629-2011</t>
  </si>
  <si>
    <t>Stöhr, Sabine/0000-0002-2586-7239; Thuy, Ben/0000-0001-8231-9565</t>
  </si>
  <si>
    <t>e31940</t>
  </si>
  <si>
    <t>10.1371/journal.pone.0031940</t>
  </si>
  <si>
    <t>928TC</t>
  </si>
  <si>
    <t>WOS:000303006500010</t>
  </si>
  <si>
    <t>Beason, JP; Gunn, C; Potter, KM; Sparks, RA; Fox, JW</t>
  </si>
  <si>
    <t>Beason, Jason P.; Gunn, Carolyn; Potter, Kim M.; Sparks, Robert A.; Fox, James W.</t>
  </si>
  <si>
    <t>THE NORTHERN BLACK SWIFT: MIGRATION PATH AND WINTERING AREA REVEALED</t>
  </si>
  <si>
    <t>WILSON JOURNAL OF ORNITHOLOGY</t>
  </si>
  <si>
    <t>APUS</t>
  </si>
  <si>
    <t>Winter ranges have been identified for most neotropical migrant bird species, those that spend the winter months in Central and South America and summer months in North America. Published accounts and specimen collections of the Northern Black Swift (Cypseloides niger borealis) during spring and fall migration are extremely limited and winter records are nonexistent. We placed light-level geolocators on four Black Swifts in August 2009, and retrieved three a year later. Data from the geolocators revealed initiation of fall migration (10 to 19 Sep 2009), arrival dates at wintering areas (28 Sep to 12 Oct 2009), departure dates from wintering areas (9 to 20 May 2010), and return dates to breeding sites (23 May to 18 Jun 2010) for Northern Black Swifts breeding in interior North America (Colorado, USA). Northern Black Swifts traveled 6,901 km from the Box Canyon breeding site and 7,025 km from Fulton Resurgence Cave to the center of the wintering area. The swifts traveled at an average speed of 341 km/day during the 2009 fall migration and an average speed of 393 km/day during the 2010 spring migration. This is the first evidence that western Brazil is the wintering area for a subset of the Northern Black Swift, extending the known winter distribution of this species to South America. Received 30 August 2011. Accepted 11 November 2011.</t>
  </si>
  <si>
    <t>[Beason, Jason P.; Sparks, Robert A.] Rocky Mt Bird Observ, Brighton, CO 80601 USA; [Potter, Kim M.] White River Natl Forest, Rifle, CO 81650 USA; [Fox, James W.] British Antarctic Survey, Cambridge CB3 0ET, England</t>
  </si>
  <si>
    <t>Beason, JP (corresponding author), Rocky Mt Bird Observ, POB 1232, Brighton, CO 80601 USA.</t>
  </si>
  <si>
    <t>jason.beason@rmbo.org</t>
  </si>
  <si>
    <t>Fox, James W./0000-0002-3107-696X</t>
  </si>
  <si>
    <t>WILSON ORNITHOLOGICAL SOC</t>
  </si>
  <si>
    <t>WACO</t>
  </si>
  <si>
    <t>5400 BOSQUE BLVD, STE 680, WACO, TX 76710 USA</t>
  </si>
  <si>
    <t>1559-4491</t>
  </si>
  <si>
    <t>1938-5447</t>
  </si>
  <si>
    <t>WILSON J ORNITHOL</t>
  </si>
  <si>
    <t>Wilson J. Ornithol.</t>
  </si>
  <si>
    <t>MAR</t>
  </si>
  <si>
    <t>005YN</t>
  </si>
  <si>
    <t>WOS:000308786100001</t>
  </si>
  <si>
    <t>Cowan, EA; Christoffersen, P; Powell, RD</t>
  </si>
  <si>
    <t>Cowan, Ellen A.; Christoffersen, Poul; Powell, Ross D.</t>
  </si>
  <si>
    <t>SEDIMENTOLOGICAL SIGNATURE OF A DEFORMABLE BED PRESERVED BENEATH AN ICE STREAM IN A LATE PLEISTOCENE GLACIAL SEQUENCE, ROSS SEA, ANTARCTICA</t>
  </si>
  <si>
    <t>JOURNAL OF SEDIMENTARY RESEARCH</t>
  </si>
  <si>
    <t>SUBGLACIAL TILL; MICROSCOPIC EVIDENCE; HOLOCENE RETREAT; SHEET SYSTEM; WEST; SEDIMENTS; FLOW; MICROSTRUCTURES; DEPOSITION; GEOLOGY</t>
  </si>
  <si>
    <t>Subglacial processes are described using a nested set of samples from AND-1B drill core collected from beneath the Ross Ice Shelf as part of the ANtarctic geologic DRILLing program (ANDRILL). An interval from the late Pleistocene was chosen for study because it is preserved in the sedimentary record, yet the depositional processes are applicable to the widely studied glacial conditions at the Last Glacial Maximum. A complete glacial interglacial sequence, between two glacial surfaces of erosion (GSEs) at 41.9 and 47.7 meters below sea floor, was studied by centimeter-scale core logging based on X-radiographs of the archive core halves in addition to core description, bulk samples and 45 mm X 65 mm thin sections of diamictites for micromorphology analysis. Above the lower GSE, 4.6 m of subglacial till occurs including a sequence of thin muddy conglomerate with diverse pebble lithologies, massive clast-rich muddy diamictite, and stratified diamictite with clast-rich and clast-free beds. The sand-size fraction of these deposits is dominated by aggregate grains, termed till pellets following terminology used for Ross Sea deposits. We present the first detailed description and two different conceptual models of till-pellet formation beneath an ice stream: one is related to mechanical processes, and the other is related to thermodynamics. Till pellets are rounded, spherical to prolate in form, and are associated with turbate structures and aligned grains in thin sections. The core of the pellet is either a lithic grain or stiff till with additional clay plastered on the outside, forming rounded grains from originally angular ones. Galaxy structures, skelsepic fabric, and pressure shadows around grains are indicative of rotational deformation within the till. Till pellets form in situ within a highly porous deformable bed under an ice stream either by mechanical shearing or by alternating thermal conditions in the till. In the first model, a slow glacial advance under dry subglacial conditions fractures the till, increasing the porosity as shear induces dilation. Basal melting and high pore-water pressure develop as the ice stream thickens, decreasing the intergranular effective stress and inducing rotation of the angular till aggregates. An alternative model calls for basal freezing with preferential ice growth in larger pore spaces causing rotation of fine-grained till aggregates due to concentration of shear stresses in a thin zone beneath the glacier sole. Survival of till pellets is enhanced in subglacial diamictite as the thin zone of deformation moves upward toward the base of the ice stream. A thin granular bed enriched in till pellets is melted out in the grounding zone, and this deposit marks the transition from subglacial till to stratified silty claystone representing sub-ice shelf deposits.</t>
  </si>
  <si>
    <t>[Cowan, Ellen A.] Appalachian State Univ, Dept Geol, Boone, NC 28608 USA; [Christoffersen, Poul] Univ Cambridge, Scott Polar Res Inst, Cambridge CB2 1ER, England; [Powell, Ross D.] No Illinois Univ, Dept Geog &amp; Environm Sci, De Kalb, IL 60115 USA; [Powell, Ross D.] No Illinois Univ, Analyt Ctr Climate &amp; Environm Change, De Kalb, IL 60115 USA</t>
  </si>
  <si>
    <t>University of North Carolina; Appalachian State University; University of Cambridge; Northern Illinois University; Northern Illinois University</t>
  </si>
  <si>
    <t>Cowan, EA (corresponding author), Appalachian State Univ, Dept Geol, Box 32067, Boone, NC 28608 USA.</t>
  </si>
  <si>
    <t>cowanea@appstate.edu</t>
  </si>
  <si>
    <t>Christoffersen, Poul/W-3708-2019</t>
  </si>
  <si>
    <t>Christoffersen, Poul/0000-0003-2643-8724</t>
  </si>
  <si>
    <t>U.S. National Science Foundation; New Zealand Foundation for Research; Royal Society of New Zealand; Italian Antarctic Research Program; German Science Foundation; Alfred-Wegener Institute for Polar and Marine Research</t>
  </si>
  <si>
    <t>U.S. National Science Foundation(National Science Foundation (NSF)); New Zealand Foundation for Research(New Zealand Foundation for Research, Science and Technology); Royal Society of New Zealand(Royal Society of New Zealand); Italian Antarctic Research Program; German Science Foundation(German Research Foundation (DFG)); Alfred-Wegener Institute for Polar and Marine Research</t>
  </si>
  <si>
    <t>The ANDRILL project is a multinational collaboration among the Antarctic programs of Germany, Italy, New Zealand, and the United States. Scientific studies are jointly supported by the U.S. National Science Foundation, the New Zealand Foundation for Research, the Royal Society of New Zealand Marsden Fund, the Italian Antarctic Research Program, the German Science Foundation, and the Alfred-Wegener Institute for Polar and Marine Research. We wish to acknowledge the contributions of the on-ice MIS core description team, as well as Ryan Farmer, who contributed to the initial description of till pellets from grain mounts with able technical help from Anthony Love at Appalachian State University. We also thank J.B. Anderson and an anonymous reviewer for helpful comments on this manuscript.</t>
  </si>
  <si>
    <t>SEPM-SOC SEDIMENTARY GEOLOGY</t>
  </si>
  <si>
    <t>TULSA</t>
  </si>
  <si>
    <t>6128 EAST 38TH ST, STE 308, TULSA, OK 74135-5814 USA</t>
  </si>
  <si>
    <t>1527-1404</t>
  </si>
  <si>
    <t>1938-3681</t>
  </si>
  <si>
    <t>J SEDIMENT RES</t>
  </si>
  <si>
    <t>J. Sediment. Res.</t>
  </si>
  <si>
    <t>MAR-APR</t>
  </si>
  <si>
    <t>10.2110/jsr.2012.25</t>
  </si>
  <si>
    <t>945OZ</t>
  </si>
  <si>
    <t>WOS:000304287200011</t>
  </si>
  <si>
    <t>Allen, C; Shi, L; Hale, R; Leuschen, C; Paden, J; Pazer, B; Arnold, E; Blake, W; Rodriguez-Morales, F; Ledford, J; Seguin, S</t>
  </si>
  <si>
    <t>Allen, C.; Shi, L.; Hale, R.; Leuschen, C.; Paden, J.; Pazer, B.; Arnold, E.; Blake, W.; Rodriguez-Morales, F.; Ledford, J.; Seguin, S.</t>
  </si>
  <si>
    <t>Antarctic Ice Depthsounding Radar Instrumentation for the NASA DC-8</t>
  </si>
  <si>
    <t>IEEE AEROSPACE AND ELECTRONIC SYSTEMS MAGAZINE</t>
  </si>
  <si>
    <t>[Allen, C.; Shi, L.; Hale, R.; Leuschen, C.; Paden, J.; Pazer, B.; Arnold, E.; Blake, W.; Rodriguez-Morales, F.; Ledford, J.; Seguin, S.] Univ Kansas, CReSIS, Lawrence, KS 66045 USA</t>
  </si>
  <si>
    <t>University of Kansas</t>
  </si>
  <si>
    <t>Allen, C (corresponding author), Univ Kansas, CReSIS, Attn C Allen,2335 Irving Hill Rd, Lawrence, KS 66045 USA.</t>
  </si>
  <si>
    <t>Blake, William/AAP-4558-2021; Arnold, Emily/AFF-8696-2022</t>
  </si>
  <si>
    <t>Rodriguez-Morales, Fernando/0000-0001-8004-6145</t>
  </si>
  <si>
    <t>NASA [NNX09AR77G]; NSF [ANT-0424589]; NASA [108790, NNX09AR77G] Funding Source: Federal RePORTER</t>
  </si>
  <si>
    <t>NASA(National Aeronautics &amp; Space Administration (NASA)); NSF(National Science Foundation (NSF)); NASA(National Aeronautics &amp; Space Administration (NASA))</t>
  </si>
  <si>
    <t>The work described herein was supported under NASA Grant NNX09AR77G, and managed within the Center for Remote Sensing of Ice Sheets (NSF Grant ANT-0424589). This work would not have been possible without the leadership and technical contributions of CReSIS director, Prasad Gogineni.</t>
  </si>
  <si>
    <t>IEEE-INST ELECTRICAL ELECTRONICS ENGINEERS INC</t>
  </si>
  <si>
    <t>PISCATAWAY</t>
  </si>
  <si>
    <t>445 HOES LANE, PISCATAWAY, NJ 08855-4141 USA</t>
  </si>
  <si>
    <t>0885-8985</t>
  </si>
  <si>
    <t>IEEE AERO EL SYS MAG</t>
  </si>
  <si>
    <t>IEEE Aerosp. Electron. Syst. Mag.</t>
  </si>
  <si>
    <t>10.1109/MAES.2012.6196253</t>
  </si>
  <si>
    <t>Engineering, Aerospace; Engineering, Electrical &amp; Electronic</t>
  </si>
  <si>
    <t>Engineering</t>
  </si>
  <si>
    <t>942ZD</t>
  </si>
  <si>
    <t>WOS:000304089300001</t>
  </si>
  <si>
    <t>von Salvini-Plawen, L; Schwabe, E</t>
  </si>
  <si>
    <t>v Salvini-Plawen, Luitfried; Schwabe, Enrico</t>
  </si>
  <si>
    <t>A new deep-sea Solenogastre (Mollusca) from the Antarctic</t>
  </si>
  <si>
    <t>MARINE BIODIVERSITY</t>
  </si>
  <si>
    <t>Solenogastres; Neomeniomorpha; Cavibelonia; Amphimeniidae; Alexandromenia heteroglandulata; New species; Biodiversity</t>
  </si>
  <si>
    <t>CAVIBELONIA</t>
  </si>
  <si>
    <t>One specimen of Mollusca-Solenogastres belonging to the family Amphimeniidae is described, representing a new species for science. The 9-cm-long animal was collected during the Polarstern Cruise (2007-2008) from off Queen Maud Land (Antarctica) at about 2,100 m depth. Alexandromenia heteroglandulata spec. nov. is characterised, among other features, by two different types of spawning duct glands, as well as by at least four types of glands associated with the foregut. The specimen also possesses a highly unusual configuration of the frontal pericardium; it forms a voluminous sack (filled with eggs) that intrudes into the posterior midgut.</t>
  </si>
  <si>
    <t>[v Salvini-Plawen, Luitfried] Univ Vienna, Zentrum Organism Syst Biol ZOSB Zool, A-1090 Vienna, Austria; [Schwabe, Enrico] Zool Staatssammlung, Abt Mollusca, D-81247 Munich, Germany</t>
  </si>
  <si>
    <t>University of Vienna</t>
  </si>
  <si>
    <t>von Salvini-Plawen, L (corresponding author), Univ Vienna, Zentrum Organism Syst Biol ZOSB Zool, Althanstr 14, A-1090 Vienna, Austria.</t>
  </si>
  <si>
    <t>Luitfried.Salvini-Plawen@univie.ac.at; enrico.schwabe@zsm.mwn.de</t>
  </si>
  <si>
    <t>1867-1616</t>
  </si>
  <si>
    <t>1867-1624</t>
  </si>
  <si>
    <t>MAR BIODIVERS</t>
  </si>
  <si>
    <t>Mar. Biodivers.</t>
  </si>
  <si>
    <t>10.1007/s12526-011-0089-9</t>
  </si>
  <si>
    <t>Biodiversity Conservation; Marine &amp; Freshwater Biology</t>
  </si>
  <si>
    <t>Biodiversity &amp; Conservation; Marine &amp; Freshwater Biology</t>
  </si>
  <si>
    <t>940EK</t>
  </si>
  <si>
    <t>WOS:000303872600003</t>
  </si>
  <si>
    <t>Cousseau, MB; Barbini, SA; Figueroa, DE</t>
  </si>
  <si>
    <t>Cousseau, Maria B.; Barbini, Santiago A.; Figueroa, Daniel E.</t>
  </si>
  <si>
    <t>The presence of southern fishes in the Argentinian continental shelf and adjacent areas</t>
  </si>
  <si>
    <t>Fish distribution; Southern Ocean; Southwestern Atlantic</t>
  </si>
  <si>
    <t>A list of Southern Ocean fishes captured in the Argentinian continental shelf and adjacent areas is presented. The list comprises a total of 41 species. They represent 15% of the ichthyofauna registered in the Southern Ocean. The geographic position of the samples was considered in order to show the northward displacement of some Antarctic species toward southwestern Atlantic waters.</t>
  </si>
  <si>
    <t>[Cousseau, Maria B.; Barbini, Santiago A.; Figueroa, Daniel E.] Univ Nacl Mar del Plata, Dept Ciencias Marinas, Lab Ictiol, Mar Del Plata, Buenos Aires, Argentina; [Barbini, Santiago A.] Comis Invest Cient Gobierno Prov Buenos Aires CIC, La Plata, Buenos Aires, Argentina</t>
  </si>
  <si>
    <t>National University of Mar del Plata; Comision de Investigaciones Cientificas</t>
  </si>
  <si>
    <t>Cousseau, MB (corresponding author), Univ Nacl Mar del Plata, Dept Ciencias Marinas, Lab Ictiol, Funes 3350,B7602AYL, Mar Del Plata, Buenos Aires, Argentina.</t>
  </si>
  <si>
    <t>mbcousse@mdp.edu.ar</t>
  </si>
  <si>
    <t>CIC</t>
  </si>
  <si>
    <t>The authors thank numerous collectors, the scientific crew on board the research vessels and to the INIDEP scientific staff. Thanks also to L.O. Lucifora for valuable comments and English grammar corrections and two anonymous reviewers for comments that greatly improved the manuscript. S. A. Barbini was supported by scholarship from CIC.</t>
  </si>
  <si>
    <t>10.1007/s12526-011-0088-x</t>
  </si>
  <si>
    <t>WOS:000303872600008</t>
  </si>
  <si>
    <t>Uenzelmann-Neben, G; Gohl, K</t>
  </si>
  <si>
    <t>Uenzelmann-Neben, Gabriele; Gohl, Karsten</t>
  </si>
  <si>
    <t>Amundsen Sea sediment drifts: Archives of modifications in oceanographic and climatic conditions</t>
  </si>
  <si>
    <t>Amundsen Sea; Antarctica; Sediment drifts; Seismic reflection data; Bottom water</t>
  </si>
  <si>
    <t>ANTARCTIC ICE-SHEET; PINE ISLAND BAY; DEBRIS FLOW DEPOSITS; LAST GLACIAL MAXIMUM; ROSS SEA; BELLINGSHAUSEN SEA; CONTINENTAL-SHELF; WEST; MARGIN; PENINSULA</t>
  </si>
  <si>
    <t>Drift deposits document stages of particular dynamic bottom-currents and associated sedimentary transport activities. The analysis of seismic reflection data from the Amundsen Sea, southem Pacific Ocean, reveals sediment drift formation already in Eocene/Oligocene times. This observation indicates bottom current activity and hence a cold climate for the late Palaeogene in an area, which today lies under the influence of Antarctic Bottom Water (AABW) originating in the Ross Sea. The generation of sediment drifts is accompanied by the occurrence of mass transport deposits leading to the identification of a phase of strong ice sheet expansion (15-4 Ma), which due to a change in ice regime from wet- to dry-based was followed by less material input during the last similar to 4 Ma. (C) 2012 Elsevier B.V. All rights reserved.</t>
  </si>
  <si>
    <t>[Uenzelmann-Neben, Gabriele; Gohl, Karsten] Alfred Wegener Inst Polar &amp; Marine Res, D-27568 Bremerhaven, Germany</t>
  </si>
  <si>
    <t>Uenzelmann-Neben, G (corresponding author), Alfred Wegener Inst Polar &amp; Marine Res, Alten Hafen 26, D-27568 Bremerhaven, Germany.</t>
  </si>
  <si>
    <t>Gabriele.Uenzelmann-Neben@awi.de</t>
  </si>
  <si>
    <t>Uenzelmann-Neben, Gabriele/AAI-8618-2020</t>
  </si>
  <si>
    <t>Uenzelmann-Neben, Gabriele/0000-0002-0115-5923; Gohl, Karsten/0000-0002-9558-2116</t>
  </si>
  <si>
    <t>RV Polarstern cruises [ANT-XI/3, ANT-XXIII/4]</t>
  </si>
  <si>
    <t>RV Polarstern cruises</t>
  </si>
  <si>
    <t>We are grateful to the captains, crews and scientists for their support during the RV Polarstern cruises ANT-XI/3 (1994) and ANT-XXIII/4 (2006) during which the data used in this paper were collected. We further thank the helpful comments of three reviewers and Dr. D. Piper. This is AWI publication No. 25584.</t>
  </si>
  <si>
    <t>MAR 1</t>
  </si>
  <si>
    <t>10.1016/j.margeo.2011.12.007</t>
  </si>
  <si>
    <t>939FA</t>
  </si>
  <si>
    <t>WOS:000303791800005</t>
  </si>
  <si>
    <t>Radchenko, OA; Chereshnev, IA; Petrovskaya, AV</t>
  </si>
  <si>
    <t>Radchenko, O. A.; Chereshnev, I. A.; Petrovskaya, A. V.</t>
  </si>
  <si>
    <t>Position of the Genera Lycenchelys Gill and Lycodapus Gilbert in the Family Zoarcidae (Perciformes: Zoarcoidei) Inferred from Molecular Genetic Analysis</t>
  </si>
  <si>
    <t>RUSSIAN JOURNAL OF GENETICS</t>
  </si>
  <si>
    <t>GENUS; TELEOSTEI; EELPOUT; PISCES; SEA</t>
  </si>
  <si>
    <t>Sequence variation of the mitochondrial COI, cytochrome b, and 16S RNA genes, as well as nuclear RNF213 gene was examined in the genera Lycenchelys and Lycodapus with the purpose of determination of their positions in the system of the family Zoarcidae. It was demonstrated that the genus Lycodapus was considerably closer to the generic group of Lycogramminae (Lycogrammoides, Bothrocara, Allolepis, Bothrocarhichthys) than the genus Lycenchelys. However, on the phylogenetic trees both of these genera were located in the clade of the subfamily Lycodinae. Genetic heterogeneity of the genus Lycenchelys, represented by two species groups differing in distribution patterns (northeastern Pacific and Antarctic) and showing more profound differences than the genera of subfamily Lycodinae, was demonstrated. DOI: 10.1134/S1022795412030118</t>
  </si>
  <si>
    <t>[Radchenko, O. A.; Chereshnev, I. A.; Petrovskaya, A. V.] Russian Acad Sci, Inst Biol Problems N, Far Eastern Branch, Magadan 685000, Russia</t>
  </si>
  <si>
    <t>Institute of Biological Problems of the North; Russian Academy of Sciences</t>
  </si>
  <si>
    <t>Radchenko, OA (corresponding author), Russian Acad Sci, Inst Biol Problems N, Far Eastern Branch, Magadan 685000, Russia.</t>
  </si>
  <si>
    <t>radchenko@ibpn.ru</t>
  </si>
  <si>
    <t>Radchenko, Olga/D-3467-2018; Radchenko, Olga/AAH-3170-2019</t>
  </si>
  <si>
    <t>Radchenko, Olga/0000-0002-0154-1218</t>
  </si>
  <si>
    <t>Russian Foundation for Basic Research [11-04-00004]</t>
  </si>
  <si>
    <t>Russian Foundation for Basic Research(Russian Foundation for Basic Research (RFBR)Spanish Government)</t>
  </si>
  <si>
    <t>This study was supported by the Russian Foundation for Basic Research (grant no. 11-04-00004).</t>
  </si>
  <si>
    <t>PLEIADES HOUSE, 7 W 54 ST, NEW YORK, NY, UNITED STATES</t>
  </si>
  <si>
    <t>1022-7954</t>
  </si>
  <si>
    <t>1608-3369</t>
  </si>
  <si>
    <t>RUSS J GENET+</t>
  </si>
  <si>
    <t>Russ. J. Genet.</t>
  </si>
  <si>
    <t>10.1134/S1022795412030118</t>
  </si>
  <si>
    <t>Genetics &amp; Heredity</t>
  </si>
  <si>
    <t>934ST</t>
  </si>
  <si>
    <t>WOS:000303467700008</t>
  </si>
  <si>
    <t>Singh, SM; Singh, SK; Yadav, LS; Singh, PN; Ravindra, R</t>
  </si>
  <si>
    <t>Singh, Shiv M.; Singh, Sanjay K.; Yadav, Lal S.; Singh, Paras N.; Ravindra, Rasik</t>
  </si>
  <si>
    <t>Filamentous Soil Fungi from Ny-Alesund, Spitsbergen, and Screening for Extracellular Enzymes</t>
  </si>
  <si>
    <t>ARCTIC</t>
  </si>
  <si>
    <t>mycology; diversity; bioprospecting; Svalbard; beta 1; 4-endoglucanase; Arctic</t>
  </si>
  <si>
    <t>SP NOV.; DIVERSITY; SVALBARD; COMMUNITIES; ADAPTATION; GLACIER</t>
  </si>
  <si>
    <t>Soil filamentous fungi from Ny-Alesund, Spitsbergen, were studied. A total of 30 fungal isolates were identified by morpho-taxonomy, and the identity of some morpho-taxonomically complex isolates was authenticated by ITS1-5.8S and ITS2 rDNA domain sequence similarity. The isolates belonged to 19 species under 14 genera (Acremonium, Arthrinium, Aspergillus, Cladosporium, Corynespora, Emericella, Geomyces, Mortierella, Mucor, Myrothecium, Penicillium, Phialophora, Preussia, Xylaria). To the best of our knowledge, Acremonium roseolum, Aspergillus aculeatus, Emericella nidulans, and Preussia sp. are the first northernmost records from Arctic soils. The viable fungal count in different soil samples varied from 0.5 x 10(4) to 2.0 x 10(5) g(-1). Species richness in different soil samples was also calculated. Mortierella was one of the most dominant genera in Arctic soils. A temperature tolerance study was carried out for all the isolates, and representative species were screened for their extracellular enzyme activity (amylase, cellulase, phosphatase, and pectinase) at 4 degrees C and 20 degrees C. Among the 30 isolates, seven showed cellulolytic activity, two were phosphate solubilizers, three had amylolytic activity, and only one showed pectinolytic activity on solid media. CMCase (beta 1, 4-endoglucanase) activity was quantified in seven isolates that exhibited positive activity during preliminary screening. The records of enzyme activity for amylases, pectinases, and cellulases are the first from the fungi of Spitsbergen. The present study indicates the dominance in Ny-Alesund of cellulolytic strains, which may serve as potent decomposers in Arctic tundra. These isolates may be used to facilitate the mineralization of cellulolytic wastes generated by human activities in colder hilly areas across the world, including the Himalayas in India.</t>
  </si>
  <si>
    <t>[Singh, Shiv M.; Ravindra, Rasik] Natl Ctr Antarctic &amp; Ocean Res, Goa 403804, India; [Singh, Sanjay K.; Yadav, Lal S.; Singh, Paras N.] Agharkar Res Inst, Pune 411004, Maharashtra, India</t>
  </si>
  <si>
    <t>Ministry of Earth Sciences (MoES) - India; National Centre for Polar and Ocean Research (NCPOR); Department of Science &amp; Technology (India); Agharkar Research Institute (ARI)</t>
  </si>
  <si>
    <t>Singh, SK (corresponding author), Natl Ctr Antarctic &amp; Ocean Res, Goa 403804, India.</t>
  </si>
  <si>
    <t>smsingh@ncaor.org</t>
  </si>
  <si>
    <t>SINGH, SANJAY K/HIR-6999-2022; Singh, Sanjay Prithviraj/IQV-1492-2023</t>
  </si>
  <si>
    <t>Singh, Sanjay Prithviraj/0000-0001-5043-8762</t>
  </si>
  <si>
    <t>DST New Delhi</t>
  </si>
  <si>
    <t>DST New Delhi(Department of Science &amp; Technology (India))</t>
  </si>
  <si>
    <t>We are highly indebted to Dr. Shailesh Nayak, Secretary Ministry of Earth Sciences, for encouragement and facilities. We are thankful to Dr. Puja Gawas and Mr. M. Tsuji for preparation of the map. We thank the Norwegian Polar Institute for providing the original map. S.K. Singh, L.S. Yadav, and P.N. Singh thank Dr. D.R. Ranade, Officiating Director of the Agharkar Research Institute for facilities, and to the DST New Delhi for financial support. Thanks are also due to Dr. Karen McCullough, Editor, and the anonymous reviewers for their valuable suggestions to improve the quality of the manuscript.</t>
  </si>
  <si>
    <t>ARCTIC INST N AMER</t>
  </si>
  <si>
    <t>CALGARY</t>
  </si>
  <si>
    <t>UNIV OF CALGARY 2500 UNIVERSITY DRIVE NW 11TH FLOOR LIBRARY TOWER, CALGARY, ALBERTA T2N 1N4, CANADA</t>
  </si>
  <si>
    <t>0004-0843</t>
  </si>
  <si>
    <t>1923-1245</t>
  </si>
  <si>
    <t>Arctic</t>
  </si>
  <si>
    <t>932DN</t>
  </si>
  <si>
    <t>WOS:000303270700004</t>
  </si>
  <si>
    <t>Emmerson, LM; Facelli, JM; Chesson, P; Possingham, HP; Day, JR</t>
  </si>
  <si>
    <t>Emmerson, Louise M.; Facelli, Jose M.; Chesson, Peter; Possingham, Hugh P.; Day, Jemery R.</t>
  </si>
  <si>
    <t>Changes in seed dispersal processes and the potential for between-patch connectivity for an arid land daisy</t>
  </si>
  <si>
    <t>ECOLOGY</t>
  </si>
  <si>
    <t>aboveground seed bank; Asteraceae; Erodiophyllum elderi; Koonamore daisy; Koonamore Station, South Australia; patchy distribution; population dynamics; secondary dispersal; xeric vegetation</t>
  </si>
  <si>
    <t>GERMINATION; ECOLOGY; DESERT; PLANTS; STRATEGIES; LANDSCAPES; HISTORY</t>
  </si>
  <si>
    <t>Dispersal is a major and critical process in population biology that has been particularly challenging to study. Animals can have major roles in seed dispersal even in species that do not appear specifically adapted to animal-aided dispersal. This can occur by two processes: direct movement of diaspores by animals and modification of landscape characteristics by animals in ways that greatly influence dispersal. We exploited the production of large, persistent dispersal structures (seed heads, henceforth) by Erodiophyllum elderi (Asteraceae), a daisy from arid Australia, to further understand secondary dispersal. Seed head dispersal on and off animal tracks in eight E. elderi patches was monitored for 9.5 months by periodically recording the location of marked seed heads. Sites were located inside a reserve that excludes sheep but not kangaroos, and in a nearby area with both kangaroos and sheep. The distance moved and likelihood of seed head movement was higher in areas with sheep, and especially along animal tracks. There was clear evidence that seed heads were channeled down animal tracks during large rainfall events. Seed head dispersal away from patches occurred to a limited extent via their physical contact with sheep and potentially via wind dispersal. Thus, the advantages of this study system allowed us to demonstrate the two postulated effects of herbivores on dispersal via direct movement of seed heads, and two distinct indirect effects through landscape modification by herbivores from the creation of animal tracks and the denudation of vegetation.</t>
  </si>
  <si>
    <t>[Emmerson, Louise M.; Possingham, Hugh P.; Day, Jemery R.] Univ Adelaide, Dept Appl Math, Adelaide, SA 5005, Australia; [Emmerson, Louise M.; Facelli, Jose M.; Chesson, Peter] Australian Natl Univ, Res Sch Biol Sci, Canberra, ACT 7000, Australia</t>
  </si>
  <si>
    <t>University of Adelaide; Australian National University</t>
  </si>
  <si>
    <t>Emmerson, LM (corresponding author), Australian Antarctic Div, Channel Highway, Kingston, Tas 7050, Australia.</t>
  </si>
  <si>
    <t>Louise.Emmerson@aad.gov.au</t>
  </si>
  <si>
    <t>Chesson, Peter/GRO-6970-2022; POSSINGHAM, HUGH/R-8310-2019; Possingham, Hugh/B-1337-2008; Chesson, Peter/GLN-5790-2022</t>
  </si>
  <si>
    <t>POSSINGHAM, HUGH/0000-0001-7755-996X; Possingham, Hugh/0000-0001-7755-996X; Facelli, Jose/0000-0002-0408-0082</t>
  </si>
  <si>
    <t>Faculty of Science from University of Adelaide; Australian National University</t>
  </si>
  <si>
    <t>Faculty of Science from University of Adelaide; Australian National University(Australian National University)</t>
  </si>
  <si>
    <t>Our warmest appreciation to those who searched for seed heads, especially D. Bigham, D. Ladd, and S. Emmerson, and C. Lange for painting seed heads; and N. Kelly and S. Wotherspoon for statistical advice. R. Sinclair provided encouragement, expertise on the ecology of the Koonamore Vegetation Reserve, and access to the long-term records. L. McLachlan allowed access to Koonamore Station. L. Emmerson was supported by a Faculty of Science Scholarship from the University of Adelaide and a Collaborative Research Scholarship from the Australian National University. This contribution to the T. G. B. Osborn Vegetation Reserve project used the facilities, vegetation reserve, and neighboring areas. The reviewers provided useful suggestions for the manuscript.</t>
  </si>
  <si>
    <t>0012-9658</t>
  </si>
  <si>
    <t>1939-9170</t>
  </si>
  <si>
    <t>10.1890/11-0651.1</t>
  </si>
  <si>
    <t>928CJ</t>
  </si>
  <si>
    <t>WOS:000302957300012</t>
  </si>
  <si>
    <t>Zvyagintsev, AM; Ivanova, NS; Gubarchuk, IV; Kruchenitskii, GM; Kuznetsov, GI</t>
  </si>
  <si>
    <t>Zvyagintsev, A. M.; Ivanova, N. S.; Gubarchuk, I. V.; Kruchenitskii, G. M.; Kuznetsov, G. I.</t>
  </si>
  <si>
    <t>Ozone content over the Russian federation in 2011</t>
  </si>
  <si>
    <t>RUSSIAN METEOROLOGY AND HYDROLOGY</t>
  </si>
  <si>
    <t>The review is compiled on the basis of the results of the operation of the total ozone (TO) monitoring in the CIS and Baltic countries functioning in the operational regime at the Central Aerological Observatory (CAO). The monitoring system uses the data from the national network with M-124 filter ozonometers under methodological supervision of the Main Geophysical Observatory. The quality of the functioning of the entire system is under operational control based on the observations obtained from the OMI satellite equipment (NASA, the United States). The basic TO observation data are generalized for each month of the fourth quarter of 2011, for the quarter, and for the year as a whole. The features of the development of the spring Arctic and Antarctic ozone anomalies in 2011 are described. The results of regular observations of surface ozone content in the Moscow region are also generalized.</t>
  </si>
  <si>
    <t>[Zvyagintsev, A. M.; Ivanova, N. S.; Gubarchuk, I. V.; Kruchenitskii, G. M.] Cent Aerol Observ, Dolgoprudnyi 141700, Moscow Oblast, Russia; [Kuznetsov, G. I.] Moscow MV Lomonosov State Univ, Moscow 119991, Russia</t>
  </si>
  <si>
    <t>Lomonosov Moscow State University</t>
  </si>
  <si>
    <t>Zvyagintsev, AM (corresponding author), Cent Aerol Observ, Ul Pervomaiskaya 3, Dolgoprudnyi 141700, Moscow Oblast, Russia.</t>
  </si>
  <si>
    <t>1068-3739</t>
  </si>
  <si>
    <t>1934-8096</t>
  </si>
  <si>
    <t>RUSS METEOROL HYDRO+</t>
  </si>
  <si>
    <t>Russ. Meteorol. Hydrol.</t>
  </si>
  <si>
    <t>10.3103/S1068373912030090</t>
  </si>
  <si>
    <t>927MP</t>
  </si>
  <si>
    <t>WOS:000302912100009</t>
  </si>
  <si>
    <t>Veevers, JJ</t>
  </si>
  <si>
    <t>Veevers, J. J.</t>
  </si>
  <si>
    <t>Reconstructions before rifting and drifting reveal the geological connections between Antarctica and its conjugates in Gondwanaland</t>
  </si>
  <si>
    <t>EARTH-SCIENCE REVIEWS</t>
  </si>
  <si>
    <t>Antarctica; Conjugates; Gondwanaland; Reconstruction; Pre-drift; Pre-rift</t>
  </si>
  <si>
    <t>DRONNING-MAUD-LAND; EASTERN GHATS BELT; MARIE-BYRD-LAND; U-PB ZIRCON; NORTHERN VICTORIA LAND; PRINCE-CHARLES MOUNTAINS; HIGH-GRADE METAMORPHISM; LARGE IGNEOUS PROVINCE; FLOOD-BASALT VOLCANISM; KERALA KHONDALITE BELT</t>
  </si>
  <si>
    <t>The initial (200-175 Ma) breakup of Pangea was marked by the emplacement of the Large Igneous Provinces (LIPS) of Karoo-Ferrar-SE Australia (KFS) in the back-arc of Panthalassan subduction and by the Central Atlantic Magmatic Province (CAMP) between Africa and the Americas. Seafloor spreading 190-180 Ma (Stage 1) about the CAMP split Pangea into northern (Laurasia) and southern (Gondwanaland) parts. Subsequent stages at 167 Ma (2), 147 Ma (3), 130 Ma (4), 118 Ma (5), and 83 Ma (6) split conjugate Africa, South America, India, Australia, and Zealandia from Antarctica. Here I review the reconstruction of Antarctica in Gondwanaland. First, seafloor spreading is unwound to re-unite the continent-ocean boundaries (COBs), then the extended (rifted) crust about the suture is restored to its original thickness. A comprehensive review of the U-Pb zircon geochronology of the reconstructed margins of Antarctica and its conjugates shows that certain coeval structures are aligned across the suture. Cross structures of high-order spatial continuity and age correlation are the Lambert-Mahanadi Rift, Pranhita-Godavari-Robert Glacier trend, Gawler-Adelie Craton, and western part of the Gondwanide Fold Belt Cross structures of high-order age correlation but low structural continuity or alignment are, from Africa to Antarctica, the East African-Antarctic Orogen, the Natal and Maud Belts, the Umkondo Group-Ritscherflya Supergroup and LIP, and the Kalahari-Grunehogna Craton; from Antarctica to Zealandia, the Ross-Western and Amundsen-Eastern Provinces; and from Africa through Antarctica to Australia the KFS LIP. (C) 2011 Elsevier B.V. All rights reserved.</t>
  </si>
  <si>
    <t>Macquarie Univ, Dept Earth &amp; Planetary Sci, GEMOC ARC Natl Key Ctr, Sydney, NSW 2109, Australia</t>
  </si>
  <si>
    <t>Macquarie University</t>
  </si>
  <si>
    <t>Veevers, JJ (corresponding author), Macquarie Univ, Dept Earth &amp; Planetary Sci, GEMOC ARC Natl Key Ctr, Sydney, NSW 2109, Australia.</t>
  </si>
  <si>
    <t>john.veevers@mq.edu.au</t>
  </si>
  <si>
    <t>GAU, geochemist/H-1985-2016</t>
  </si>
  <si>
    <t>0012-8252</t>
  </si>
  <si>
    <t>1872-6828</t>
  </si>
  <si>
    <t>EARTH-SCI REV</t>
  </si>
  <si>
    <t>Earth-Sci. Rev.</t>
  </si>
  <si>
    <t>10.1016/j.earscirev.2011.11.009</t>
  </si>
  <si>
    <t>921ZF</t>
  </si>
  <si>
    <t>WOS:000302515900001</t>
  </si>
  <si>
    <t>Banks, J; Ross, DJ; Keough, MJ</t>
  </si>
  <si>
    <t>Banks, Joanne; Ross, D. Jeff; Keough, Michael J.</t>
  </si>
  <si>
    <t>Short-term (24 h) effects of mild and severe hypoxia (20% and 5% dissolved oxygen) on metal partitioning in highly contaminated estuarine sediments</t>
  </si>
  <si>
    <t>ESTUARINE COASTAL AND SHELF SCIENCE</t>
  </si>
  <si>
    <t>metal pollution; hypoxia; DGT; estuarine sediment</t>
  </si>
  <si>
    <t>TRACE-METALS; DIFFUSIVE GRADIENTS; THIN-FILMS; BIOGEOCHEMICAL CONTROL; TRANSPLANTED MUSSELS; ORGANIC ENRICHMENT; PORE WATERS; DGT; AVAILABILITY; COPPER</t>
  </si>
  <si>
    <t>The effects of a short-term (24 h) reduction in bottom-water dissolved oxygen concentration (DO) on metal (Cd, Cu, Fe, Mn, Pb and Zn) partitioning within metal-contaminated sediments in replicated, undisturbed sediment/water chambers show that even very brief periods of hypoxia may significantly increase the dissolved fraction of these heavy metals within contaminated sediments, increasing their potential for ecological harm. This study used treatments consisting of three DO levels (75%, 20% and 5% saturation) representing ambient conditions, mild hypoxia and severe hypoxia. Although contaminant loads were very high in these sediments, pore-water concentrations were relatively low. Total sediment and dilute acid (1 M HCI) extracted metals were unaffected by low DO treatments but a diffusive gradient in thin-films samplers (DGTs), detected a two-fold increase in pore-water Cd and a five-fold increase in pore-water Cu in surface sediments (0-3 cm depth) under low oxygen conditions. (C) 2011 Elsevier Ltd. All rights reserved.</t>
  </si>
  <si>
    <t>[Banks, Joanne; Keough, Michael J.] Univ Melbourne, Dept Zool, Melbourne, Vic 3010, Australia; [Ross, D. Jeff] Univ Tasmania, Inst Marine &amp; Antarctic Studies, Taroona, Tas 7053, Australia</t>
  </si>
  <si>
    <t>University of Melbourne; Melbourne Bioinformatics; University of Tasmania</t>
  </si>
  <si>
    <t>Banks, J (corresponding author), Univ Melbourne, Dept Zool, Melbourne, Vic 3010, Australia.</t>
  </si>
  <si>
    <t>jlbanks72@gmail.com; jeff.Ross@utas.edu.au; mjkeough@unimelb.edu.au</t>
  </si>
  <si>
    <t>; Ross, Donald/F-7607-2012</t>
  </si>
  <si>
    <t>Keough, Michael/0000-0002-3382-3068; Ross, Donald/0000-0002-8659-3833</t>
  </si>
  <si>
    <t>Australian Government's Coastal Catchments Initiative; ARC [LP0770222]; Norske-Skog Boyer; Derwent Estuary Program</t>
  </si>
  <si>
    <t>Australian Government's Coastal Catchments Initiative(Australian Government); ARC(Australian Research Council); Norske-Skog Boyer; Derwent Estuary Program</t>
  </si>
  <si>
    <t>This work was made possible due to funding support from the Australian Government's Coastal Catchments Initiative and an ARC Linkage grant (LP0770222) to D.J.R. and M.J.K. Norske-Skog Boyer and the Derwent Estuary Program provided financial and in-kind assistance. We would like to thank Ed Butler, Lois Koehnken and Ruth Eriksen for their invaluable manuscript comments. Thanks to John Keane for providing first-rate field and laboratory assistance. We would also like to acknowledge the excellent analytical skills of Ashley Townsend of Central Science Laboratories (CSL), University of Tasmania and John O'Reilly of Analytical Services Tasmania (AST).</t>
  </si>
  <si>
    <t>0272-7714</t>
  </si>
  <si>
    <t>1096-0015</t>
  </si>
  <si>
    <t>ESTUAR COAST SHELF S</t>
  </si>
  <si>
    <t>Estuar. Coast. Shelf Sci.</t>
  </si>
  <si>
    <t>10.1016/j.ecss.2011.12.025</t>
  </si>
  <si>
    <t>920ZR</t>
  </si>
  <si>
    <t>WOS:000302448300012</t>
  </si>
  <si>
    <t>Ingleton, T; McMinn, A</t>
  </si>
  <si>
    <t>Ingleton, Timothy; McMinn, Andrew</t>
  </si>
  <si>
    <t>Thermal plume effects: A multi-disciplinary approach for assessing effects of thermal pollution on estuaries using benthic diatoms and satellite imagery</t>
  </si>
  <si>
    <t>diatoms; phytobenthos; pollution; satellite sensing; temperature effects; Australia; New South Wales; Lake Macquarie; 32 degrees 57 ' S 151 degrees 42 ' E; 33 degrees 12 ' S 151 degrees 29 ' E</t>
  </si>
  <si>
    <t>COOLING-WATER DISCHARGE; NUCLEAR-POWER-PLANT; NEW-SOUTH-WALES; SPATIAL DYNAMICS; LAKE MACQUARIE; PHYTOPLANKTON; COMMUNITIES; TEMPERATURE; VARIABILITY; SEDIMENTS</t>
  </si>
  <si>
    <t>Rapid, reliable and cost-effective techniques for assessing and monitoring pollution are required because of increased development pressures associated with continued population growth. An innovative multidisciplinary approach was applied to a power station discharge in Lake Macquarie, Australia, using benthic diatoms, water quality, satellite imagery and temperature loggers. Triplicate sediment samples at five sites across a thermal gradient in one plume affected and two control bays were analysed for benthic diatoms. Multivariate analysis indicated that diatom assemblages and environmental gradients in the receiving water embayment were significantly different to control bays. The plume affected benthic assemblages to greater depths (similar to 4.7 m) than observed by previous studies and this is likely to have implications for estimates of estuarine productivity and nutrient cycling. Of the 244 diatom taxa identified, Navicula rhaphoneis appeared to best identify areas of the lake bed exposed to temperatures 3 -4 degrees C above ambient (Delta T). Tryblionella lanceola, Tryblionella littoralis, Grammatophora spp. and Psammodictyon panduriformis also contributed to gradients and might be used as plume indicator species. Temperature, ammonia, oxidised nitrogen and selenium significantly explained gradients in the species data (p = 0.02). Satellite imagery indicated that receiving bay temperature gradients (&lt;7 degrees C) were greatest in winter, whereas loggers showed Delta T was greatest in autumn then winter. These analyses highlighted that seasonality is an important factor when considering the effects of thermal plumes on receiving environment ecology. Analyses of imagery and logger data are effective techniques for managers to routinely assess plume intensity and extent. This study demonstrates that both benthic diatoms and satellite imagery are valuable tools for the monitoring and assessment of thermal pollution in coastal environments. Crown Copyright (C) 2012 Published by Elsevier Ltd. All rights reserved.</t>
  </si>
  <si>
    <t>[Ingleton, Timothy] New S Wales Off Environm &amp; Heritage, Dept Premier &amp; Cabinet, Sydney S 1232, Australia; [Ingleton, Timothy; McMinn, Andrew] Univ Tasmania, Inst Marine &amp; Antarctic Studies, Hobart, Tas 7001, Australia</t>
  </si>
  <si>
    <t>Office of Environment &amp; Heritage - New South Wales; University of Tasmania</t>
  </si>
  <si>
    <t>Ingleton, T (corresponding author), New S Wales Off Environm &amp; Heritage, Dept Premier &amp; Cabinet, POB A290, Sydney S 1232, Australia.</t>
  </si>
  <si>
    <t>timingleton@environment.nsw.gov.au; andrew.mcminn@utas.edu.au</t>
  </si>
  <si>
    <t>McMinn, Andrew/A-9910-2008</t>
  </si>
  <si>
    <t>10.1016/j.ecss.2011.12.024</t>
  </si>
  <si>
    <t>WOS:000302448300013</t>
  </si>
  <si>
    <t>Fenenko, A</t>
  </si>
  <si>
    <t>Fenenko, Aleksei</t>
  </si>
  <si>
    <t>Russia and the Competition for the Redivision of Polar Spaces</t>
  </si>
  <si>
    <t>RUSSIAN POLITICS AND LAW</t>
  </si>
  <si>
    <t>The author surveys the history of international relations and Russian/Soviet foreign policy in the Arctic and Antarctic regions and assesses future prospects. He argues that the potential for conflict in both regions is likely to increase.</t>
  </si>
  <si>
    <t>Russian Acad Sci, Inst Problems Int Secur, Moscow 117901, Russia</t>
  </si>
  <si>
    <t>Fenenko, A (corresponding author), Russian Acad Sci, Inst Problems Int Secur, Moscow 117901, Russia.</t>
  </si>
  <si>
    <t>M E SHARPE INC</t>
  </si>
  <si>
    <t>ARMONK</t>
  </si>
  <si>
    <t>80 BUSINESS PARK DR, ARMONK, NY 10504 USA</t>
  </si>
  <si>
    <t>1061-1940</t>
  </si>
  <si>
    <t>RUSS POLIT LAW</t>
  </si>
  <si>
    <t>Russ. Polit. Law</t>
  </si>
  <si>
    <t>10.2753/RUP1061-1940500201</t>
  </si>
  <si>
    <t>Political Science</t>
  </si>
  <si>
    <t>Government &amp; Law</t>
  </si>
  <si>
    <t>922OX</t>
  </si>
  <si>
    <t>WOS:000302558500002</t>
  </si>
  <si>
    <t>Luedtke, B; Howkins, A</t>
  </si>
  <si>
    <t>Luedtke, Brandon; Howkins, Adrian</t>
  </si>
  <si>
    <t>Polarized climates: the distinctive histories of climate change and politics in the Arctic and Antarctica since the beginning of the Cold War</t>
  </si>
  <si>
    <t>WILEY INTERDISCIPLINARY REVIEWS-CLIMATE CHANGE</t>
  </si>
  <si>
    <t>SEA-ICE; GLACIERS; TEMPERATURE; SENSITIVITY; OCEAN</t>
  </si>
  <si>
    <t>This paper suggests that the Polar Regions are excellent places for thinking about historical interactions between climate change, science, and politics from the beginning of the Cold War up to the present. Since the second half of the 1940s, science has played a central role in contesting claims to political authority in both the Arctic and the Antarctic. Research conducted in the Polar Regions has made a major contribution to the science of climate change on a global scale, and research agendas have been closely connected in the two regions. Viewed from a comparative perspective, however, the historical experiences of global warming in the Arctic and Antarctica have been quite different. Climate research has suggested that warming is generally happening faster over much of the Arctic than the Antarctic. In addition, the recent histories of the two regions show that climate change in the Arctic is destabilizing politics there, whereas in Antarctica climate change is helping to reinforce the existing political structures framed by the Antarctic Treaty System (ATS). A comparative approach to the history of climate change in the Polar Regions helps to demonstrate that science, politics, and environmental change have each played important roles without making any single factor deterministic. WIREs Clim Change 2012, 3:145159. doi: 10.1002/wcc.161</t>
  </si>
  <si>
    <t>[Howkins, Adrian] Colorado State Univ, Dept Hist, Ft Collins, CO 80523 USA; [Luedtke, Brandon] Univ Kansas, Dept Hist, Lawrence, KS 66045 USA</t>
  </si>
  <si>
    <t>Colorado State University; University of Kansas</t>
  </si>
  <si>
    <t>Howkins, A (corresponding author), Colorado State Univ, Dept Hist, Ft Collins, CO 80523 USA.</t>
  </si>
  <si>
    <t>howkins@mail.colostate.edu</t>
  </si>
  <si>
    <t>1757-7780</t>
  </si>
  <si>
    <t>1757-7799</t>
  </si>
  <si>
    <t>WIRES CLIM CHANGE</t>
  </si>
  <si>
    <t>Wiley Interdiscip. Rev.-Clim. Chang.</t>
  </si>
  <si>
    <t>10.1002/wcc.161</t>
  </si>
  <si>
    <t>Environmental Studies; Meteorology &amp; Atmospheric Sciences</t>
  </si>
  <si>
    <t>Science Citation Index Expanded (SCI-EXPANDED); Social Science Citation Index (SSCI); Arts &amp; Humanities Citation Index (A&amp;HCI)</t>
  </si>
  <si>
    <t>910MZ</t>
  </si>
  <si>
    <t>WOS:000301644400003</t>
  </si>
  <si>
    <t>Qu, X; Hall, A; Boé, J</t>
  </si>
  <si>
    <t>Qu, Xin; Hall, Alex; Boe, Julien</t>
  </si>
  <si>
    <t>Why does the Antarctic Peninsula Warm in climate simulations?</t>
  </si>
  <si>
    <t>Antarctic Peninsula; Warming; Latent heat transport</t>
  </si>
  <si>
    <t>HEMISPHERE ANNULAR MODE; TEMPERATURES; SURFACE; PRECIPITATION; AMPLIFICATION; VARIABILITY; CIRCULATION; BLOCKING; FRONTS; TRENDS</t>
  </si>
  <si>
    <t>The Antarctic Peninsula has warmed significantly since the 1950s. This pronounced and isolated warming trend is collectively captured by 29 twentieth-century climate hindcasts participating in the version 3 Coupled Model Intercomparison Project. To understand the factors driving warming trends in the hindcasts, we examine trends in Peninsula region's atmospheric heat budget in every simulation. We find that atmospheric latent heat release increases in nearly all hindcasts. These increases are generally anthropogenic in origin, and account for about 60% of the ensemble-mean warming trend in the Peninsula. They are driven primarily by well-understood features of the anthropogenic intensification of global hydrological cycle. As sea surface temperature increases, moisture contained in atmospheric flows increases. When such flows are forced to ascend the Peninsula's topography, enhanced local latent heat release results. The mechanism driving the warming of the Antarctic Peninsula is therefore clear in the models. Evidence for a similar mechanism operating in the real world is seen in the increasing snow accumulation rates inferred from ice cores drilled in the Peninsula. However, the relative importance of this mechanism and other processes previously identified as potentially causing the observed warming, such as the recent sea ice retreat in the Bellingshausen Sea, is difficult to assess. Thus the relevance of the simulated warming mechanism to the observed warming is unclear, in spite of its robustness in the models.</t>
  </si>
  <si>
    <t>[Qu, Xin; Hall, Alex; Boe, Julien] Univ Calif Los Angeles, Dept Atmospher &amp; Ocean Sci, Los Angeles, CA 90095 USA</t>
  </si>
  <si>
    <t>University of California System; University of California Los Angeles</t>
  </si>
  <si>
    <t>Qu, X (corresponding author), CNRS CERFACS, URA 1875, Toulouse, France.</t>
  </si>
  <si>
    <t>xinqu@atmos.ucla.edu</t>
  </si>
  <si>
    <t>Hall, Alex/D-8175-2014</t>
  </si>
  <si>
    <t>Boe, Julien/0000-0003-2965-4721</t>
  </si>
  <si>
    <t>Office of Science, U.S. Department of Energy; [NSF-0735056]</t>
  </si>
  <si>
    <t>Office of Science, U.S. Department of Energy(United States Department of Energy (DOE));</t>
  </si>
  <si>
    <t>This work was supported by NSF-0735056. We acknowledge the modeling groups, the Program for Climate Model Diagnosis and Intercomparison (PCMDI) and the WCRP's Working Group on Coupled Modelling (WGCM) for their roles in making available the WCRP CMIP3 multi-model dataset. Support of this dataset is provided by the Office of Science, U.S. Department of Energy. We thank Drs. Andrew Monaghan and William Chapman for their help with the observational data sets, and two anonymous reviewers for their constructive criticisms of our previous manuscript.</t>
  </si>
  <si>
    <t>10.1007/s00382-011-1092-3</t>
  </si>
  <si>
    <t>918JP</t>
  </si>
  <si>
    <t>WOS:000302245900005</t>
  </si>
  <si>
    <t>Neto, ND; Evangelista, H; Tanizaki-Fonseca, K; Meirelles, MSP; Garcia, CE</t>
  </si>
  <si>
    <t>de Magalhaes Neto, Newton; Evangelista, Heitor; Tanizaki-Fonseca, Kenny; Penello Meirelles, Margareth Simoes; Garcia, Carlos Eiras</t>
  </si>
  <si>
    <t>A multivariate analysis of Antarctic sea ice since 1979</t>
  </si>
  <si>
    <t>Antarctica; Sea ice; Climate change; Ocean-atmosphere interactions</t>
  </si>
  <si>
    <t>CLIMATE-CHANGE; CIRCUMPOLAR WAVE; SOUTHERN-OCEAN; BOTTOM WATER; VARIABILITY; SOLAR; CIRCULATION; TEMPERATURE; SURFACE; OZONE</t>
  </si>
  <si>
    <t>Recent satellite observations have shown an increase in the total extent of Antarctic sea ice, during periods when the atmosphere and oceans tend to be warmer surrounding a significant part of the continent. Despite an increase in total sea ice, regional analyses depict negative trends in the Bellingshausen-Amundsen Sea and positive trends in the Ross Sea. Although several climate parameters are believed to drive the formation of Antarctic sea ice and the local atmosphere, a descriptive mechanism that could trigger such differences in trends are still unknown. In this study we employed a multivariate analysis in order to identify the response of the Antarctic sea ice with respect to commonly utilized climate forcings/parameters, as follows: (1) The global air surface temperature, (2) The global sea surface temperature, (3) The atmospheric CO2 concentration, (4) The South Annular Mode, (5) The Nino 3, (6) The Nino 3 + 4, 7) The Nino 4, (8) The Southern Oscillation Index, (9) The Multivariate ENSO Index, (10) the Total Solar Irradiance, (11) The maximum O-3 depletion area, and (12) The minimum O-3 concentration over Antarctica. Our results indicate that western Antarctic sea ice is simultaneously impacted by several parameters; and that the minimum, mean, and maximum sea ice extent may respond to a separate set of climatic/geochemical parameters.</t>
  </si>
  <si>
    <t>[de Magalhaes Neto, Newton; Evangelista, Heitor; Tanizaki-Fonseca, Kenny] Univ Estado Rio de Janeiro Uerj, LARAMG Lab Radioecol &amp; Mudancas Globais, BR-20550013 Rio De Janeiro, Brazil; [Tanizaki-Fonseca, Kenny] Univ Fed Fluminense UFF, Inst Geociencias, Depto Anal Geoambiental, BR-24210340 Niteroi, RJ, Brazil; [Garcia, Carlos Eiras] Univ Fed do Rio Grande FURG, Lab Oceanog Fis, BR-96201900 Rio Grande, RS, Brazil</t>
  </si>
  <si>
    <t>Universidade do Estado do Rio de Janeiro; Universidade Federal Fluminense; Universidade Federal do Rio Grande</t>
  </si>
  <si>
    <t>Neto, ND (corresponding author), Univ Estado Rio de Janeiro Uerj, LARAMG Lab Radioecol &amp; Mudancas Globais, Pav Haroldo L Cunha Subsolo Rua Sao Francisc Xavi, BR-20550013 Rio De Janeiro, Brazil.</t>
  </si>
  <si>
    <t>newtonmagalhaesbio@hotmail.com; evangelista.uerj@gmail.com; kenny.fonseca@gmail.com; dfsgar@furg.br</t>
  </si>
  <si>
    <t>Criosfera, Inct/J-8639-2013; Garcia, Carlos A. E./K-7382-2012; Simões, Margareth/B-7646-2014; Evangelista, Heitor/C-7561-2013</t>
  </si>
  <si>
    <t>Simões, Margareth/0000-0002-5533-584X; de Magalhaes Neto, Newton/0000-0003-0294-9319</t>
  </si>
  <si>
    <t>CNPq (the Brazilian National Council for the Scientific and Technological Development) [556971/2009-4, 573720/2008-8]; FAPERJ</t>
  </si>
  <si>
    <t>CNPq (the Brazilian National Council for the Scientific and Technological Development)(Conselho Nacional de Desenvolvimento Cientifico e Tecnologico (CNPQ)Fundacao de Apoio a Pesquisa do Distrito Federal (FAPDF)); FAPERJ(Fundacao Carlos Chagas Filho de Amparo a Pesquisa do Estado do Rio De Janeiro (FAPERJ))</t>
  </si>
  <si>
    <t>We thank CNPq (the Brazilian National Council for the Scientific and Technological Development) for funding this work (project: 556971/2009-4 and 573720/2008-8), and FAPERJ for scholoarship support.</t>
  </si>
  <si>
    <t>10.1007/s00382-011-1162-6</t>
  </si>
  <si>
    <t>WOS:000302245900017</t>
  </si>
  <si>
    <t>Lee, H; Shum, CK; Howat, IM; Monaghan, A; Ahn, Y; Duan, JB; Guo, JY; Kuo, CY; Wang, L</t>
  </si>
  <si>
    <t>Lee, Hyongki; Shum, C. K.; Howat, Ian M.; Monaghan, Andrew; Ahn, Yushin; Duan, Jianbin; Guo, Jun-Yi; Kuo, Chung-Yen; Wang, Lei</t>
  </si>
  <si>
    <t>Continuously accelerating ice loss over Amundsen Sea catchment, West Antarctica, revealed by integrating altimetry and GRACE data</t>
  </si>
  <si>
    <t>Amundsen Sea sector; ice mass loss; Envisat; GRACE; firn density</t>
  </si>
  <si>
    <t>LEVEL RISE; ELEVATION CHANGE; LATE PLEISTOCENE; MASS CHANGES; SHEET; GREENLAND; GLACIER; SURFACE; VARIABILITY; RETREAT</t>
  </si>
  <si>
    <t>Satellite altimetry and Gravity Recovery and Climate Experiment (GRACE) measurements have provided contemporary, but substantially different Antarctic ice sheet mass balance estimates. Altimetry provides no information about firn density while GRACE data is significantly impacted by poorly constrained glacial isostatic adjustment signals. Here, we combine Envisat radar altimetry and GRACE data over the Amundsen Sea (AS) sector, West Antarctica, to estimate the basin-wide averaged snow and firn column density over a seasonal time scale. Removing the firn variability signal from Envisat-observed ice-sheet elevation changes reveals more rapid dynamic thinning of underlying ice. We report that the net AS sector mass change rates are estimated to be -47 +/- 8 Gt yr(-1) between 2002 and 2006, and -80 +/- 4 Gt yr(-1) between2007 and 2009, equivalent to a sea level rise of 0.13 and 0.22 mm yr(-1), respectively. The acceleration is due to a combination of decreased snowfall accumulation (+ 13 Gt yr(-1) in 2002-2006, and 6 Gt yr(-1) in 2007-2009) and enhanced ice dynamic thinning (-60 +/- 10 Gt yr(-1) in 2002-2006, and -74 +/- 11 Gt yr(-1) in 2007-2009) after 2007. Because there is no significant snowfall trend over the past 21 yr (1989-2009) and an increase in ice flow speed (2003-2010), the accelerated mass loss is likely to continue. (C) 2011 Elsevier B.V. All rights reserved.</t>
  </si>
  <si>
    <t>[Lee, Hyongki] Univ Houston, Dept Civil &amp; Environm Engn, Houston, TX 77204 USA; [Shum, C. K.; Howat, Ian M.; Duan, Jianbin; Guo, Jun-Yi; Wang, Lei] Ohio State Univ, Sch Earth Sci, Columbus, OH 43210 USA; [Shum, C. K.; Howat, Ian M.] Ohio State Univ, Byrd Polar Res Ctr, Columbus, OH 43210 USA; [Monaghan, Andrew] Natl Ctr Atmospher Res, Boulder, CO 80307 USA; [Ahn, Yushin] Michigan Technol Univ, Sch Technol, Houghton, MI 49931 USA; [Kuo, Chung-Yen] Natl Cheng Kung Univ, Dept Geomat, Tainan 70101, Taiwan</t>
  </si>
  <si>
    <t>University of Houston System; University of Houston; University System of Ohio; Ohio State University; University System of Ohio; Ohio State University; National Center Atmospheric Research (NCAR) - USA; Michigan Technological University; National Cheng Kung University</t>
  </si>
  <si>
    <t>Lee, H (corresponding author), Univ Houston, Dept Civil &amp; Environm Engn, N107 Engn Bldg 1, Houston, TX 77204 USA.</t>
  </si>
  <si>
    <t>hlee@uh.edu</t>
  </si>
  <si>
    <t>Lee, Hyongki/AAD-5210-2021; Wang, Lei/L-5187-2013; Howat, Ian/A-3474-2008</t>
  </si>
  <si>
    <t>Lee, Hyongki/0000-0001-6478-7533; Howat, Ian/0000-0002-8072-6260; Monaghan, Andrew/0000-0002-8170-2359; Ahn, Yushin/0000-0002-5305-6396; Shum, C K/0000-0001-9378-4067</t>
  </si>
  <si>
    <t>NASA [NNX10AG31G, NNX11AR47G]; University of Houston; Ohio State University; Chinese Academy of Sciences/SAFEA; Directorate For Geosciences; Division Of Earth Sciences [1013333] Funding Source: National Science Foundation; NASA [NNX10AG31G, 137244, 133972, NNX11AR47G] Funding Source: Federal RePORTER</t>
  </si>
  <si>
    <t>NASA(National Aeronautics &amp; Space Administration (NASA)); University of Houston; Ohio State University(Ohio State University); Chinese Academy of Sciences/SAFEA(Chinese Academy of Sciences); Directorate For Geosciences; Division Of Earth Sciences(National Science Foundation (NSF)NSF - Directorate for Geosciences (GEO)); NASA(National Aeronautics &amp; Space Administration (NASA))</t>
  </si>
  <si>
    <t>This research is partially supported by grants from NASA's Polar Program (Grant No. NNX10AG31G and NNX11AR47G), University of Houston, Ohio State University's Climate, Water, and Carbon (CWC) Program, and Chinese Academy of Sciences/SAFEA International Partnership Program for Creative Research Teams. We thank Michiel Helsen at Utrecht University and Duncan Wingham at University College London for helpful discussions on firn compaction and density estimation. We also thank Jonathan Bamber for providing Antarctic DEM and two anonymous reviewers for their constructive comments. Some of the figures in this paper are generated using the Generic Mapping Tool (GMT).</t>
  </si>
  <si>
    <t>10.1016/j.epsl.2011.12.040</t>
  </si>
  <si>
    <t>913WX</t>
  </si>
  <si>
    <t>WOS:000301909200008</t>
  </si>
  <si>
    <t>Hiruki-Raring, LM; Hoef, JMV; Boveng, PL; Bengtson, JL</t>
  </si>
  <si>
    <t>Hiruki-Raring, Lisa M.; Hoef, Jay M. Ver; Boveng, Peter L.; Bengtson, John L.</t>
  </si>
  <si>
    <t>A Bayesian hierarchical model of Antarctic fur seal foraging and pup growth related to sea ice and prey abundance</t>
  </si>
  <si>
    <t>Antarctic fur seal; Arctocephalus gazella; Bayesian hierarchical model; diving; ecosystem; ecosystem model; Euphausia superba; foraging; krill; pup growth; sea ice</t>
  </si>
  <si>
    <t>KRILL EUPHAUSIA-SUPERBA; SOUTH SHETLAND ISLANDS; ARCTOCEPHALUS-GAZELLA; CLIMATE-CHANGE; CHINSTRAP PENGUINS; ELEPHANT ISLAND; SCOTIA SEA; PROVISIONING STRATEGIES; POPULATION-DYNAMICS; MARINE ECOSYSTEM</t>
  </si>
  <si>
    <t>We created a Bayesian hierarchical model (BHM) to investigate ecosystem relationships between the physical ecosystem (sea ice extent), a prey measure (krill density), predator behaviors (diving and foraging effort of female Antarctic fur seals, Arctocephalus gazella, with pups) and predator characteristics (mass of maternal fur seals and pups). We collected data on Antarctic fur seals from 1987/1988 to 1994/1995 at Seal Island, Antarctica. The BHM allowed us to link together predators and prey into a model that uses all the data efficiently and accounts for major sources of uncertainty. Based on the literature, we made hypotheses about the relationships in the model, which we compared with the model outcome after fitting the BHM. For each BHM parameter, we calculated the mean of the posterior density and the 95% credible interval. Our model confirmed others' findings that increased sea ice was related to increased krill density. Higher krill density led to reduced dive intensity of maternal fur seals, as measured by dive depth and duration, and to less time spent foraging by maternal fur seals. Heavier maternal fur seals and lower maternal foraging effort resulted in heavier pups at 22 d. No relationship was found between krill density and maternal mass, or between maternal mass and foraging effort on pup growth rates between 22 and 85 days of age. Maternal mass may have reflected environmental conditions prior to the pup provisioning season, rather than summer prey densities. Maternal mass and foraging effort were not related to pup growth rates between 22 and 85 d, possibly indicating that food was not limiting, food sources other than krill were being used, or differences occurred before pups. reached age 22 d.</t>
  </si>
  <si>
    <t>[Hiruki-Raring, Lisa M.; Hoef, Jay M. Ver; Boveng, Peter L.; Bengtson, John L.] NOAA, Natl Marine Mammal Lab, Alaska Fisheries Sci Ctr, Natl Marine Fisheries Serv, Seattle, WA 98115 USA</t>
  </si>
  <si>
    <t>Hiruki-Raring, LM (corresponding author), NOAA, Natl Marine Mammal Lab, Alaska Fisheries Sci Ctr, Natl Marine Fisheries Serv, 7600 Sand Point Way NE, Seattle, WA 98115 USA.</t>
  </si>
  <si>
    <t>Lisa.Hiruki-Raring@noaa.gov</t>
  </si>
  <si>
    <t>Ver Hoef, Jay/C-8577-2017</t>
  </si>
  <si>
    <t>Ver Hoef, Jay/0000-0003-4302-6895</t>
  </si>
  <si>
    <t>National Oceanic and Atmospheric Administration's National Marine Fisheries Service</t>
  </si>
  <si>
    <t>We are grateful to the many people who assisted in Seal Island research and logistics, especially those who were most involved with capturing and instrumenting adult female fur seals and weighing pups: M. Cameron, D. Croll, M. Goebel, R. Holt, H. Huber, J. Jansen, R. Merrick, W. Meyer, S. Osmek, M. Schwartz, and B. Walker. Thanks to the many people who processed Seal Island diet samples: M. Goebel, T. Harkonen, J. Jansen, R. Merrick, and J. E. Sease. Comments by J. Jansen, M. Simpkins, J. Sterling, N. Friday, and three anonymous reviewers improved the paper. This research was supported by the National Oceanic and Atmospheric Administration's National Marine Fisheries Service, as part of the Antarctic Marine Living Resources Program. Reference to trade names does not imply endorsement by the National Marine Fisheries Service, NOAA.</t>
  </si>
  <si>
    <t>10.1890/11-0102.1</t>
  </si>
  <si>
    <t>921ZP</t>
  </si>
  <si>
    <t>WOS:000302516900023</t>
  </si>
  <si>
    <t>Tanabe, Y; Kudoh, S</t>
  </si>
  <si>
    <t>Tanabe, Yukiko; Kudoh, Sakae</t>
  </si>
  <si>
    <t>Possible ecological implications of floating microbial assemblages lifted from the lakebed on an Antarctic lake</t>
  </si>
  <si>
    <t>ECOLOGICAL RESEARCH</t>
  </si>
  <si>
    <t>Lake; Oligotrophic; Photosynthesis; Material cycling; Production; Ecosystem; Antarctica; Arctic; Polar</t>
  </si>
  <si>
    <t>PHYTOPLANKTON; CYANOBACTERIA; COMMUNITIES; ECOSYSTEMS; RADIATION; MATS</t>
  </si>
  <si>
    <t>Microbial assemblages can be found drifting/floating in lake water and being washed ashore in continental Antarctica. Two field studies in early and late January 2008 measured the light utilization properties and photosynthetic responses of these assemblages, which were then compared with those of pelagic and benthic microbial communities to evaluate the ecological implications of this phenomenon. The nutrient concentrations were low in the lake water, indicating oligotrophic conditions. Based on microscopic and pigment analysis, both the floating and benthic communities were mainly composed of Oedogonium sp. (Chlorophyceae), followed by cyanobacteria, diatoms, and dinoflagellates. Floating assemblages had a firmer and denser structure, and possessed more rich carotenoids than the benthic community. Measurements of photosynthesis conducted in early January indicated that the activities of the floating assemblages were considerably low. In late January almost all floating assemblages on the lakeshore turned white because of freezing and drying by the ambient temperature decrease, and had no photosynthetic signals. These results suggest that the floating assemblages could spontaneously lift off from the lakebed because of the bubbles created by photosynthesis and then repeatedly roll, flip, sink, or float depending on buoyancy. In addition, this phenomenon seemed to greatly change the cycling of matter by transporting the lake's photosynthetic products to the surrounding ecosystems, then give the benthic subsurface communities in dark regions a chance to reactivate such as gap regeneration in the case of climax forest, and also allow the floating assemblages to restart photosynthesis at the top of the lakebed by resinking.</t>
  </si>
  <si>
    <t>[Tanabe, Yukiko; Kudoh, Sakae] Natl Inst Polar Res, Tachikawa, Tokyo 1908518, Japan; [Tanabe, Yukiko] Univ Tokyo, Grad Sch Frontier Sci, Kashiwa, Chiba 2778563, Japan; [Kudoh, Sakae] Grad Univ Adv Studies SOKENDAI, Dept Polar Sci, Tachikawa, Tokyo 1908518, Japan</t>
  </si>
  <si>
    <t>Research Organization of Information &amp; Systems (ROIS); National Institute of Polar Research (NIPR) - Japan; University of Tokyo; Graduate University for Advanced Studies - Japan</t>
  </si>
  <si>
    <t>Tanabe, Y (corresponding author), Natl Inst Polar Res, 10-3 Midori Cho, Tachikawa, Tokyo 1908518, Japan.</t>
  </si>
  <si>
    <t>ukko@nipr.ac.jp</t>
  </si>
  <si>
    <t>Japanese Antarctic Research Expedition</t>
  </si>
  <si>
    <t>The authors acknowledge all the members of the 49th Japanese Antarctic Research Expedition, especially its summer party leader, Dr. S. Imura, for their support. The authors also thank Ms. A. Sugimoto for assistance with nutrient analysis.</t>
  </si>
  <si>
    <t>0912-3814</t>
  </si>
  <si>
    <t>1440-1703</t>
  </si>
  <si>
    <t>ECOL RES</t>
  </si>
  <si>
    <t>Ecol. Res.</t>
  </si>
  <si>
    <t>10.1007/s11284-011-0907-3</t>
  </si>
  <si>
    <t>917CK</t>
  </si>
  <si>
    <t>WOS:000302149700012</t>
  </si>
  <si>
    <t>Clarke, LJ; Robinson, SA; Hua, Q; Ayre, DJ; Fink, D</t>
  </si>
  <si>
    <t>Clarke, Laurence J.; Robinson, Sharon A.; Hua, Quan; Ayre, David J.; Fink, David</t>
  </si>
  <si>
    <t>Radiocarbon bomb spike reveals biological effects of Antarctic climate change (vol 1, pg 301, 2012)</t>
  </si>
  <si>
    <t>GLOBAL CHANGE BIOLOGY</t>
  </si>
  <si>
    <t>[Clarke, Laurence J.; Robinson, Sharon A.; Ayre, David J.] Univ Wollongong, Inst Conservat Biol &amp; Environm Management, Wollongong, NSW 2522, Australia; [Clarke, Laurence J.] Univ Adelaide, Sch Earth &amp; Environm Sci, Adelaide, SA 5001, Australia; [Hua, Quan; Fink, David] ANSTO, Kirrawee Dc, NSW 2232, Australia</t>
  </si>
  <si>
    <t>University of Wollongong; University of Adelaide; Australian Nuclear Science &amp; Technology Organisation</t>
  </si>
  <si>
    <t>Clarke, LJ (corresponding author), Univ Wollongong, Inst Conservat Biol &amp; Environm Management, Wollongong, NSW 2522, Australia.</t>
  </si>
  <si>
    <t>Ayre, David J/A-8761-2008; fink, David/A-9518-2012; Robinson, Sharon/B-2683-2008</t>
  </si>
  <si>
    <t>fink, David/0000-0001-7156-4602; Robinson, Sharon/0000-0002-7130-9617</t>
  </si>
  <si>
    <t>1354-1013</t>
  </si>
  <si>
    <t>1365-2486</t>
  </si>
  <si>
    <t>GLOBAL CHANGE BIOL</t>
  </si>
  <si>
    <t>Glob. Change Biol.</t>
  </si>
  <si>
    <t>10.1111/j.1365-2486.2012.02646.x</t>
  </si>
  <si>
    <t>897RD</t>
  </si>
  <si>
    <t>WOS:000300671600033</t>
  </si>
  <si>
    <t>Burton, AS; Elsila, JE; Callahan, MP; Martin, MG; Glavin, DP; Johnson, NM; Dworkin, JP</t>
  </si>
  <si>
    <t>Burton, Aaron S.; Elsila, Jamie E.; Callahan, Michael P.; Martin, Mildred G.; Glavin, Daniel P.; Johnson, Natasha M.; Dworkin, Jason P.</t>
  </si>
  <si>
    <t>A propensity for n-ω-amino acids in thermally altered Antarctic meteorites</t>
  </si>
  <si>
    <t>EARLY SOLAR-SYSTEM; CARBON-ISOTOPE COMPOSITION; PARENT BODY PROCESSES; ORGANIC-COMPOUNDS; MURCHISON METEORITE; CHONDRITIC MATERIAL; UREILITES; DECARBOXYLATION; FRACTIONATION; DECOMPOSITION</t>
  </si>
  <si>
    <t>Asteroids and their fragments have impacted the Earth for the last 4.5 Gyr. Carbonaceous meteorites are known to contain a wealth of indigenous organic molecules, including amino acids, which suggests that these meteorites could have been an important source of prebiotic organic material during the origins of life on Earth and possibly elsewhere. We report the detection of extraterrestrial amino acids in thermally altered type 3 CV and CO carbonaceous chondrites and ureilites recovered from Antarctica. The amino acid concentrations of the thirteen Antarctic meteorites ranged from 300 to 3200 parts-per-billion (ppb), generally much less abundant than in amino acid-rich CI, CM, and CR carbonaceous chondrites that experienced much lower temperature aqueous alteration on their parent bodies. In contrast to low-temperature aqueously altered meteorites that show complete structural diversity in amino acids formed predominantly by Streckercyanohydrin synthesis, the thermally altered meteorites studied here are dominated by small, straight-chain, amine terminal (n-?-amino) amino acids that are not consistent with Strecker formation. The carbon isotopic ratios of two extraterrestrial n-?-amino acids measured in one of the CV chondrites (d13C approximately -25 parts per thousand) are consistent with 13C-depletions observed previously in hydrocarbons produced by Fischer-Tropsch type reactions. The predominance of n-?-amino acid isomers in thermally altered meteorites hints at cosmochemical mechanisms for the preferential formation and preservation of a small subset of the possible amino acids.</t>
  </si>
  <si>
    <t>[Burton, Aaron S.; Elsila, Jamie E.; Callahan, Michael P.; Martin, Mildred G.; Glavin, Daniel P.; Johnson, Natasha M.; Dworkin, Jason P.] NASA, Goddard Space Flight Ctr, Greenbelt, MD 20771 USA; [Burton, Aaron S.; Elsila, Jamie E.; Callahan, Michael P.; Martin, Mildred G.; Glavin, Daniel P.; Johnson, Natasha M.; Dworkin, Jason P.] Goddard Ctr Astrobiol, Greenbelt, MD 20771 USA; [Burton, Aaron S.] Oak Ridge Associated Univ, NASA, Postdoctoral Program Adm, Oak Ridge, TN 37831 USA; [Martin, Mildred G.] Catholic Univ Amer, Washington, DC 20064 USA</t>
  </si>
  <si>
    <t>National Aeronautics &amp; Space Administration (NASA); NASA Goddard Space Flight Center; National Aeronautics &amp; Space Administration (NASA); United States Department of Energy (DOE); Oak Ridge National Laboratory; Catholic University of America</t>
  </si>
  <si>
    <t>Burton, AS (corresponding author), NASA, Goddard Space Flight Ctr, Greenbelt, MD 20771 USA.</t>
  </si>
  <si>
    <t>aaron.s.burton@nasa.gov</t>
  </si>
  <si>
    <t>Dworkin, Jason P./C-9417-2012; Elsila, Jamie E/C-9952-2012; Johnson, Natasha/E-3093-2012; Elsila, Jamie/AAM-2654-2020; Callahan, Michael P/D-3630-2012; Glavin, Daniel P/D-6194-2012; Burton, Aaron/H-2212-2011</t>
  </si>
  <si>
    <t>Dworkin, Jason P./0000-0002-3961-8997; Glavin, Daniel P/0000-0001-7779-7765; Burton, Aaron/0000-0002-1194-4336; Elsila, Jamie/0000-0002-0008-2590; Burton, Aaron/0000-0002-7137-1605</t>
  </si>
  <si>
    <t>NASA; NASA Astrobiology Institute; Goddard Center for Astrobiology</t>
  </si>
  <si>
    <t>NASA(National Aeronautics &amp; Space Administration (NASA)); NASA Astrobiology Institute; Goddard Center for Astrobiology</t>
  </si>
  <si>
    <t>A. S. B. acknowledges support from the NASA Postdoctoral Program, administered by Oak Ridge Associated Universities through a contract with NASA. The authors acknowledge funding support from the NASA Astrobiology Institute and the Goddard Center for Astrobiology and the NASA Cosmochemistry Program. We thank K. Righter (NASA Johnson Space Center) for providing the Antarctic meteorites and for helpful discussions; the 2006 ANSMET team for providing the Antarctic ice sample; G. Matrajt for providing the sample of Allende; and an anonynmous reviewer and Z. Martins for helpful comments and criticisms of the manuscript.</t>
  </si>
  <si>
    <t>10.1111/j.1945-5100.2012.01341.x</t>
  </si>
  <si>
    <t>916CC</t>
  </si>
  <si>
    <t>WOS:000302073300005</t>
  </si>
  <si>
    <t>Sears, DWG</t>
  </si>
  <si>
    <t>Sears, Derek W. G.</t>
  </si>
  <si>
    <t>Oral histories in meteoritics and planetary scienceuXVI: Donald D. Bogard</t>
  </si>
  <si>
    <t>LUNAR; XENON; GASES; AGES</t>
  </si>
  <si>
    <t>Donald D. Bogard (Don, Fig. 1) became interested in meteorites after seeing the Fayetteville meteorite in an undergraduate astronomy class at the University of Arkansas. During his graduate studies with Paul Kuroda at Arkansas, Don helped discover the Xe decay products of 244Pu. After a postdoctoral period at Caltech, where he learned much from Jerry Wasserburg, Peter Eberhardt, Don Burnett, and Sam Epstein, Don became one of a number of young Ph.D. scientists hired by NASAs Manned Spacecraft Center to set up the Lunar Receiving Laboratory (LRL) and to perform a preliminary examination of Apollo samples. In collaboration with Oliver Schaeffer (SUNY), Joseph Zahringer (Max Planck, Heidelberg), and Raymond Davis (Brookhaven National Laboratory), he built a gas analysis laboratory at JSC, and the noble gas portion of this laboratory remained operational until he retired in 2010. At NASA, Don worked on the lunar regolith, performed pioneering work on cosmic ray produced noble gas isotopes and Ar-Ar dating, the latter for important insights into the thermal and shock history of meteorites and lunar samples. During this work, he discovered that the trapped gases in SNC meteorites were very similar to those of the Martian atmosphere and thus established their Martian origin. Among Dons many administrative accomplishments are helping to establish the Antarctic meteorite and cosmic dust processing programs at JSC and serving as a NASA-HQ discipline scientist, where he advanced peer review and helped create new programs. Don is a recipient of NASAs Scientific Achievement and Exceptional Service Medals and the Meteoritical Societys Leonard Medal.</t>
  </si>
  <si>
    <t>NASA, Space Sci &amp; Astrobiol Div, Ames Res Ctr, Mountain View, CA 94035 USA</t>
  </si>
  <si>
    <t>National Aeronautics &amp; Space Administration (NASA); NASA Ames Research Center</t>
  </si>
  <si>
    <t>Sears, DWG (corresponding author), NASA, Space Sci &amp; Astrobiol Div, Ames Res Ctr, Mountain View, CA 94035 USA.</t>
  </si>
  <si>
    <t>derek.sears@nasa.gov</t>
  </si>
  <si>
    <t>NASA</t>
  </si>
  <si>
    <t>This interview was recorded on March 7, 2011, and edited by the author and D. B. I am grateful to NASA for financial support. I am also grateful to Tim Jull, Grenville Turner, and Hazel Sears for reviews and Hazel Sears for proofing.</t>
  </si>
  <si>
    <t>10.1111/j.1945-5100.2012.01333.x</t>
  </si>
  <si>
    <t>WOS:000302073300009</t>
  </si>
  <si>
    <t>Hasson, A; Koch-Larrouy, A; Morrow, R; Juza, M; Penduff, T</t>
  </si>
  <si>
    <t>Hasson, Audrey; Koch-Larrouy, Ariane; Morrow, Rosemary; Juza, Melanie; Penduff, Thierry</t>
  </si>
  <si>
    <t>The origin and fate of mode water in the southern Pacific Ocean</t>
  </si>
  <si>
    <t>OCEAN DYNAMICS</t>
  </si>
  <si>
    <t>Subantarctic mode water; Antarctic intermediate water; Southern Ocean; South Pacific Ocean; Water mass transformations; Water mass pathways; Lagrangian</t>
  </si>
  <si>
    <t>ANTARCTIC INTERMEDIATE WATER; CIRCULATION MODEL; CONVEYOR BELT; VARIABILITY; ATLANTIC; ADVECTION; TRANSPORT; SCHEMES; RENEWAL; IMPACT</t>
  </si>
  <si>
    <t>Understanding the origin and fate of mode and intermediate waters (MW) in the subtropical Pacific Ocean is critical for climate, as MW store and export a large volume of CO2, heat, nutrients and salinity to lower latitudes at depths isolated from the atmosphere. A realistic 4D simulation has been used to track and quantify the MW routes and their property characteristics at the last region of subduction. It also allows us to quantify the water transformation after subduction. The simulation has been compared to available observations using a collocation method that interpolated model data onto observations in time and space. The comprehensive comparisons gave us confidence in the model's capacity to reproduce MW characteristics. A quantitative Lagrangian analysis was performed on the model output to depict the origin, the fate and the route of MW circulating in the southern Pacific Ocean, selected in the density range of 26.8-27.4 kg m(-3). We found 18 Sv of MW were transported northward in patches through the 42 degrees S section, mostly between 200 and 800 m depth. Of this transport, 8 Sv enters the Pacific Ocean in the upper layer south of Tasmania and subducts in the Pacific. The remainder is not ventilated in the Pacific sector: 4 Sv is advected from the Indian Ocean south of Tasmania at intermediate depth and finally 6 Sv is part of an intermediate depth recirculation within the Pacific Ocean. Particles take up to 30 years to travel northward through our domain before crossing the 42 degrees S section. Southward transport branches also exist: 3 Sv flows southward following the eastern New Zealand coast and then exits through Drake Passage. An additional 4 Sv passes southward in the Tasman Sea, following the eastern Tasmanian coast and enters the Indian Ocean south of Tasmania, as part of the Tasman Leakage. Four different formation sites have been identified, where the MW are last ventilated. These formation sites have different water masses with specific salinity ranges. A study on the evolution of the physical characteristics of each of these water masses has been performed. All MW characteristics become more homogeneous at 42 degrees S than they were when they left the mixed layer. This study confirms the homogenisation of mode waters at intermediate depth in the Pacific Ocean as previously revealed in the Indian Ocean using the same methodology. Transformations are shown to be mostly isopycnal in the Tasman Sea and diapycnal farther east.</t>
  </si>
  <si>
    <t>[Hasson, Audrey; Koch-Larrouy, Ariane; Morrow, Rosemary] Lab Etud Geophys &amp; Oceanog Spatiales, F-31401 Toulouse 09, France; [Juza, Melanie; Penduff, Thierry] Lab Ecoulements Geophys &amp; Ind, F-38041 Grenoble 09, France; [Penduff, Thierry] Florida State Univ, Earth Ocean &amp; Atmospher Sci Dept, Tallahassee, FL 32306 USA</t>
  </si>
  <si>
    <t>Universite de Toulouse; Universite Toulouse III - Paul Sabatier; Centre National de la Recherche Scientifique (CNRS); Institut de Recherche pour le Developpement (IRD); Laboratoire d'Etudes en Geophysique et oceanographie spatiales; Communaute Universite Grenoble Alpes; Institut National Polytechnique de Grenoble; Universite Grenoble Alpes (UGA); Centre National de la Recherche Scientifique (CNRS); State University System of Florida; Florida State University</t>
  </si>
  <si>
    <t>Hasson, A (corresponding author), Lab Etud Geophys &amp; Oceanog Spatiales, 18 Ave Edouard Belin, F-31401 Toulouse 09, France.</t>
  </si>
  <si>
    <t>Audrey.Hasson@legos.obs-mip.fr</t>
  </si>
  <si>
    <t>koch-larrouy, ariane/M-4915-2017; Penduff, Thierry/AAH-6554-2021</t>
  </si>
  <si>
    <t>Penduff, Thierry/0000-0002-0407-8564; KOCH-LARROUY, Ariane/0000-0002-9850-0518; Hasson, Audrey/0000-0002-8867-6392</t>
  </si>
  <si>
    <t>CNES via the French TOSCA</t>
  </si>
  <si>
    <t>This work was done as part of Hasson's Master's degree at Universite Paul Sabatier (Toulouse II), Ecole Nationale de la Meteorologie and LEGOS. The project was supported by the CNES via the French TOSCA programme. The model dataset was provided by the DRAKKAR Group. The authors would like to thank the two anonymous reviewers whose constructive comments brought more clarity to our interpretations.</t>
  </si>
  <si>
    <t>1616-7341</t>
  </si>
  <si>
    <t>1616-7228</t>
  </si>
  <si>
    <t>OCEAN DYNAM</t>
  </si>
  <si>
    <t>Ocean Dyn.</t>
  </si>
  <si>
    <t>10.1007/s10236-011-0507-3</t>
  </si>
  <si>
    <t>916LE</t>
  </si>
  <si>
    <t>WOS:000302104400001</t>
  </si>
  <si>
    <t>Guly, Henry R.</t>
  </si>
  <si>
    <t>Snow Blindness and Other Eye Problems During the Heroic Age of Antarctic Exploration</t>
  </si>
  <si>
    <t>WILDERNESS &amp; ENVIRONMENTAL MEDICINE</t>
  </si>
  <si>
    <t>snow blindness; expedition medicine; Antarctic; history of medicine</t>
  </si>
  <si>
    <t>OPHTHALMIA NEONATORUM; ANESTHETICS; CORNEA</t>
  </si>
  <si>
    <t>During the heroic age of Antarctic exploration, snow blindness was a common problem, but not all the descriptions of it lit the modern view of the disease, and some of the explorers complained of long-term problems. This article describes the snow blindness and other eye problems that occurred during this era. It also describes how snow blindness was prevented and treated.</t>
  </si>
  <si>
    <t>Derriford Hosp, Emergency Med &amp; British Antarctic Survey Med Unit, Plymouth PL6 8DH, Devon, England</t>
  </si>
  <si>
    <t>Derriford Hospital; UK Research &amp; Innovation (UKRI); Natural Environment Research Council (NERC); NERC British Antarctic Survey</t>
  </si>
  <si>
    <t>Guly, HR (corresponding author), Derriford Hosp, Emergency Med &amp; British Antarctic Survey Med Unit, Plymouth PL6 8DH, Devon, England.</t>
  </si>
  <si>
    <t>This research was funded by the Wellcome Trust, which gave me a Short Term Research Award in the History of Medicine for Clinicians and Scientists for a study on medicine during the Heroic Age of Antarctic exploration. I would also like to thank Dr Catherine Guly for ophthalmological advice.</t>
  </si>
  <si>
    <t>1080-6032</t>
  </si>
  <si>
    <t>WILD ENVIRON MED</t>
  </si>
  <si>
    <t>Wildern. Environ. Med.</t>
  </si>
  <si>
    <t>SPR</t>
  </si>
  <si>
    <t>Public, Environmental &amp; Occupational Health; Sport Sciences</t>
  </si>
  <si>
    <t>917SR</t>
  </si>
  <si>
    <t>WOS:000302199400018</t>
  </si>
  <si>
    <t>McGrath, T; Nolan, G; McGovern, E</t>
  </si>
  <si>
    <t>McGrath, Triona; Nolan, Glenn; McGovern, Evin</t>
  </si>
  <si>
    <t>Chemical characteristics of water masses in the Rockall Trough</t>
  </si>
  <si>
    <t>Water masses; Nutrients; Oxygen; Salinity; Rockall Trough; North Atlantic</t>
  </si>
  <si>
    <t>NORTH-ATLANTIC; LABRADOR SEA; MEDITERRANEAN OUTFLOW; HYDROGRAPHY; OCEAN; CIRCULATION; VENTILATION; BOUNDARY; INFLOW; ORIGIN</t>
  </si>
  <si>
    <t>Direct observations of physical and chemical data in the Rockall Trough during February of 2008, 2009 and 2010 are presented. Results are compared to a similar WOCE transect, AR24, completed in November/December 1996. Temperature and salinity data have been used to identify the water masses present in the Trough, and have been combined with nutrient (nitrate, nitrite, phosphate, silicate) and oxygen data to produce a table outlining the chemical characteristics of each of the water masses. Eastern North Atlantic Water (ENAW) moving north through the Trough gains nutrients from a branch of the North Atlantic Current (NAC). Mediterranean Water (MW) was identified as a warm saline core, with characteristically low oxygen and low preformed nutrients along the Irish continental shelf break near 53 degrees N. Found at a similar density level at the southern entrance to the Trough, Sub Arctic Intermediate Water (SAIW) has relatively high oxygen and preformed nutrients, likely entrained from the subpolar gyre when it was formed. LSW was identified as a prominent water mass between 1500 and 2000 m deep, with characteristically high oxygen content. Lower silicate, and to a lesser extent preformed nitrate, in 2009 coincide with a freshening of Labrador Sea Water (LSW) relative to other years, and could indicate a stronger influence from the Labrador Current when it was formed. Finally, traces of Antarctic Bottom Water (AABW) were found as far north as 53 degrees N, indicated by a sharp increase in nutrient concentrations, particularly silicate in the deepest parts of the Trough. (C) 2011 Elsevier Ltd. All rights reserved.</t>
  </si>
  <si>
    <t>[McGrath, Triona; Nolan, Glenn; McGovern, Evin] Inst Marine, Galway, Ireland; [McGrath, Triona] Natl Univ Ireland, Dept Earth &amp; Ocean Sci, Galway, Ireland</t>
  </si>
  <si>
    <t>Marine Institute Ireland; Ollscoil na Gaillimhe-University of Galway</t>
  </si>
  <si>
    <t>McGrath, T (corresponding author), Inst Marine, Galway, Ireland.</t>
  </si>
  <si>
    <t>triona.mcgrath@marine.ie; glenn.nolan@marine.ie; evin.mcgovern@marine.ie</t>
  </si>
  <si>
    <t>McGovern, Evin/0000-0002-7565-0126</t>
  </si>
  <si>
    <t>Irish Government; Marine Institute; Marine Research Sub-Programme of the National Development Plan</t>
  </si>
  <si>
    <t>This study was in part funded by the Irish Government funded project Impacts of Increased Atmospheric CO2 on Ocean Chemistry and Ecosystems, carried out under the Sea Change strategy with the support of the Marine Institute and the Marine Research Sub-Programme of the National Development Plan 2007-2013. Surveys were funded by the Irish government's National Development Plan 2007-2013. We are grateful to the officers, crew and scientists on the cruises referred to in this paper. We thank Rachel Cave for her comments on the manuscript, Eileen Joyce for her training and help with the nutrient analysis and Kieran Lyons for his help in Matlab. We acknowledge the significant contribution of each of the reviewers to manuscript.</t>
  </si>
  <si>
    <t>10.1016/j.dsr.2011.11.007</t>
  </si>
  <si>
    <t>913OT</t>
  </si>
  <si>
    <t>WOS:000301888000006</t>
  </si>
  <si>
    <t>Ho, KC; Lee, TCH; Kwok, OT; Lee, FWF</t>
  </si>
  <si>
    <t>Ho, Kin-Chung; Lee, Thomas Chun-Hung; Kwok, Oi-Ting; Lee, Fred Wang-Fat</t>
  </si>
  <si>
    <t>Phylogenetic analysis on a strain of Alexandrium tamarense collected from Antarctic Ocean</t>
  </si>
  <si>
    <t>HARMFUL ALGAE</t>
  </si>
  <si>
    <t>Harmful algal blooms; Antarctic Ocean; Dinoflagellate; 28S rDNA; ITS</t>
  </si>
  <si>
    <t>INTERNAL TRANSCRIBED SPACER; TOXIN PRODUCTION; NORTH-AMERICAN; SEQUENCE COMPARISONS; GENUS ALEXANDRIUM; BALLAST WATER; RIBOSOMAL DNA; DINOPHYCEAE; TOXICITY; GROWTH</t>
  </si>
  <si>
    <t>A PST-toxin producing Alexandrium species was found and successfully isolated from the Antarctic Ocean (Southern Ocean) in 2001 (Ho et al., 2003). The species was identified as Alexandrium tamarense based on their morphological features and thecal plate analysis previously. Mono-culture of this Antarctic Alexandrium strain, designated as Kci, has been successfully kept in our laboratory. In order to gain more insight into the origin of this strain, phylogenetic relationship of this Alexandrium strain to other Alexandrium spp. within the A. tamarense complex was carried out using 28S and ITS rDNA sequences. These are the first such sequences reported for an Alexandrium spp. found in Antarctic Ocean. Based on the ribosomal DNA sequences and phylogenetic analysis, the Antarctic Alexandrium strain was fell within the ribotypes in Group IV of the group-numbering scheme as suggested by Lilly et al. (2007). Interestingly, the Antarctic Alexandrium strain Kci was closely affiliated to Alexandrium isolates from the China Sea. (C) 2011 Elsevier B.V. All rights reserved.</t>
  </si>
  <si>
    <t>[Ho, Kin-Chung; Lee, Thomas Chun-Hung; Kwok, Oi-Ting; Lee, Fred Wang-Fat] Open Univ, Sch Sci &amp; Technol, Hong Kong, Hong Kong, Peoples R China</t>
  </si>
  <si>
    <t>Hong Kong Metropolitan University</t>
  </si>
  <si>
    <t>Ho, KC (corresponding author), Open Univ, Sch Sci &amp; Technol, Hong Kong, Hong Kong, Peoples R China.</t>
  </si>
  <si>
    <t>kcho@ouhkedu.hk; wflee@ouhk.edu.hk</t>
  </si>
  <si>
    <t>KWOK Oi Ting, Bernadette/L-7895-2019</t>
  </si>
  <si>
    <t>Lee, Wang-Fat/0000-0001-9665-1163; Lee, Chun Hung/0009-0003-9547-6916</t>
  </si>
  <si>
    <t>Open University of Hong Kong [09/2.3]</t>
  </si>
  <si>
    <t>Open University of Hong Kong</t>
  </si>
  <si>
    <t>This project (project no. 09/2.3) was funded by a research grant from The Open University of Hong Kong. [SS]</t>
  </si>
  <si>
    <t>1568-9883</t>
  </si>
  <si>
    <t>1878-1470</t>
  </si>
  <si>
    <t>Harmful Algae</t>
  </si>
  <si>
    <t>10.1016/j.hal.2011.12.004</t>
  </si>
  <si>
    <t>915QI</t>
  </si>
  <si>
    <t>WOS:000302042100012</t>
  </si>
  <si>
    <t>Frank-Kamenetsky, A; Troshichev, O</t>
  </si>
  <si>
    <t>Frank-Kamenetsky, Alexander; Troshichev, Oleg</t>
  </si>
  <si>
    <t>A relationship between the auroral absorption and the magnetic activity in the polar cap</t>
  </si>
  <si>
    <t>Auroral absorption; PC index; Particle precipitation; D-layer of ionosphere</t>
  </si>
  <si>
    <t>MORPHOLOGY</t>
  </si>
  <si>
    <t>The auroral absorption is an absorption of the cosmic radio noise. It depends on the electron concentration in the ionospheric D layer, which is strongly affected by the precipitating flux of high-energy (E &gt; 30 keV) electrons. The data from Canadian chain of riometers were used to study the absorption as a function of magnetic local time (MLT) and geomagnetic latitude for different levels of geomagnetic activity, characterized by the Polar Cap (PC) index (Troshichev et al., 2006). The 1 min and hourly values of absorption were divided into two sets depending on the level of activity and examined as a function of MLT and geomagnetic latitude for quiet conditions (&lt; PC &gt; = 0.56 mV/m) and a higher activity (&lt; PC &gt; = 1.87 mV/m). It is shown that the auroral absorption reaches distinct maxima at latitudes of 66 degrees-68 degrees (equatorward zone) and 71 degrees-72 degrees (poleward zone), both of them being dependent on level of activity determined by the PC-index. The maximum correlation between the absorption and PC index is observed in the after-midnight MLT sector. The results show that the PC index is a good indicator of the solar wind energy entry into the magnetosphere and can be useful for monitoring the state of low ionosphere in the auroral zone. (C) 2011 Elsevier Ltd. All rights reserved.</t>
  </si>
  <si>
    <t>[Frank-Kamenetsky, Alexander; Troshichev, Oleg] Arctic &amp; Antarctic Res Inst, St Petersburg 199397, Russia</t>
  </si>
  <si>
    <t>Troshichev, O (corresponding author), Arctic &amp; Antarctic Res Inst, St Petersburg 199397, Russia.</t>
  </si>
  <si>
    <t>olegtro@aari.nw.ru</t>
  </si>
  <si>
    <t>10.1016/j.jastp.2011.11.007</t>
  </si>
  <si>
    <t>916MQ</t>
  </si>
  <si>
    <t>WOS:000302108300004</t>
  </si>
  <si>
    <t>Biological and Environmental Drivers of Energy Allocation in a Dependent Mammal, the Antarctic Fur Seal Pup</t>
  </si>
  <si>
    <t>MILK CONSUMPTION; ARCTOCEPHALUS-GAZELLA; CALLORHINUS-URSINUS; BODY-COMPOSITION; DIVING BEHAVIOR; WEDDELL SEALS; POUCH YOUNG; GREY SEALS; GROWTH; ENERGETICS</t>
  </si>
  <si>
    <t>Little is known about how variation in the pattern and magnitude of parental effort influences allocation decisions in offspring. We determined the energy budget of Antarctic fur seal pups and examined the relative importance of timing of provisioning, pup traits (mass, condition, sex), and weather (wind chill and solar radiation) on allocation of energy obtained in milk by measuring milk energy intake, field metabolic rate (FMR), and growth rate in 48 Antarctic fur seal pups over three developmental stages (perinatal, premolt, and molt). The relative amount of milk energy used for growth was 59.1% +/- 8.1% during the perinatal period but decreased to 23.4% +/- 15.5% and 26.0% +/- 13.9% during the premolt and molt. This decrease was associated with a greater amount of time spent fasting, along with an increase in pup activity while the mother was at sea foraging. Average daily milk intake, pup mass, and condition were all important in determining how much energy was available for growth, but the amount of energy obtained as milk was the single most important factor determining pup growth. While mean mass-specific FMR did not change with developmental stage (range = 1.74-1.77 mL O-2/g/h), the factors that accounted for variation in FMR did. Weather (wind chill and solar radiation) and pup traits (mass and condition) influenced mass-specific FMR, but these impacts varied across development. This study provides information about the factors influencing how offspring allocate energy toward growth and maintenance and improves our predictions about how a changing environment may affect energy allocation in pups.</t>
  </si>
  <si>
    <t>[McDonald, Birgitte I.; Costa, Daniel P.] Univ Calif Santa Cruz, Long Marine Lab, Dept Ecol &amp; Evolutionary Biol, Santa Cruz, CA 95060 USA; [Goebel, Michael E.] Natl Marine Fisheries Serv, Antarctic Ecosyst Res Div, Natl Ocean &amp; Atmospher Adm, SW Fisheries Sci Ctr, La Jolla, CA 92038 USA; [Crocker, Daniel E.] Sonoma State Univ, Dept Biol, Rohnert Pk, CA 94928 USA</t>
  </si>
  <si>
    <t>McDonald, BI (corresponding author), Univ Calif San Diego, Scripps Inst Oceanog, Ctr Marine Biotechnol &amp; Biomed, 9500 Gilman Dr,0204, La Jolla, CA 92093 USA.</t>
  </si>
  <si>
    <t>U.S. AMLR; NSF Office of Polar [0440687]; U.S. Environmental Protection Agency (EPA); NSF; Directorate For Geosciences [0440687] Funding Source: National Science Foundation; Office of Polar Programs (OPP) [0440687] Funding Source: National Science Foundation</t>
  </si>
  <si>
    <t>U.S. AMLR; NSF Office of Polar(National Science Foundation (NSF)); U.S. Environmental Protection Agency (EPA)(United States Environmental Protection Agency); NSF(National Science Foundation (NSF)); Directorate For Geosciences(National Science Foundation (NSF)NSF - Directorate for Geosciences (GEO)); Office of Polar Programs (OPP)(National Science Foundation (NSF)NSF - Directorate for Geosciences (GEO))</t>
  </si>
  <si>
    <t>We thank all those who assisted with the collection of the data, in particular C. Champagne, R. Haner, and S. Seganti. Logistical support was provided by the U.S. Antarctic Marine Living Resources (AMLR) Program, the National Science Foundation (NSF) U.S. Antarctic Program, and Raytheon Polar Services. This research was funded by the U.S. AMLR Program and NSF Office of Polar Programs grant 0440687 to D.P.C, D.E.C., and M.E.G. B.I.M. was supported by the U.S. Environmental Protection Agency (EPA) under the Science to Achieve Results Graduate Fellowship Program and an NSF graduate fellowship. EPA has not officially endorsed this publication, and the views expressed herein may not reflect the views of the EPA.</t>
  </si>
  <si>
    <t>10.1086/664948</t>
  </si>
  <si>
    <t>911QO</t>
  </si>
  <si>
    <t>WOS:000301734400003</t>
  </si>
  <si>
    <t>Hernando, MP; Carreto, JI; Carignan, M; Ferreyra, GA</t>
  </si>
  <si>
    <t>Hernando, Marcelo Pablo; Carreto, Jose Ignacio; Carignan, Mario; Ferreyra, Gustavo Adolfo</t>
  </si>
  <si>
    <t>Effect of vertical mixing on short-term mycosporine-like amino acid synthesis in the Antarctic diatom, Thalasiossira sp.</t>
  </si>
  <si>
    <t>SCIENTIA MARINA</t>
  </si>
  <si>
    <t>mycosporine-like amino acids; vertical mixing; Antarctic diatom; photoadaptive response; UV</t>
  </si>
  <si>
    <t>ULTRAVIOLET-RADIATION; UV-RADIATION; ABSORBING COMPOUNDS; PHOTOSYNTHESIS; PHYTOPLANKTON; GROWTH; LIGHT; PHOTOINDUCTION; PORPHYRA-334; INHIBITION</t>
  </si>
  <si>
    <t>One of the adaptations whereby phytoplankton can alleviate damage induced by ultraviolet radiation (280-400 nm) is the synthesis of mycosporine-like amino acids (MAAs). The synthesis of MAAs was studied after exposure of the Antarctic diatom Thalassiosira sp. isolated from Potter Cove (South Shetland Is., Antarctica) to 2 treatments with a solar simulator: surface (Sfix) and vertical mixing (Mix) irradiance conditions. Light exposure was simulated in daily cycles with maximum irradiance at noon. Only 2 MAAs, Porphyra-334 (82-85%) and Shinorine (15-18%), were identified. The concentration of the two compounds increased during experimental light exposure (50-55%) and declined in the dark (10-15%). During the light period the synthesis rate of MAAs per unit of chlorophyll a was higher in the Sfix treatment (mu=0.17 h(-1)) than in the Mix treatment (mu=0.05 h(-1)). In spite of the higher MAA levels, low cell numbers were observed in the Sfix treatment, suggesting that the algae synthesized photoprotective compounds at the expense of growth. Our results document overlapping effects of both daily light cycles and vertical mixing affecting the synthesis of MAAs. This, and the high thermal dissipation of the ultraviolet B radiation energy (280-320 nm) absorbed by these substances, suggest a rapid photoadaptive response of Thalasiossira sp. upon exposure to elevated irradiance in a stratified water column, as well as the complementary role of vertical mixing in photo-protection.</t>
  </si>
  <si>
    <t>[Hernando, Marcelo Pablo] Univ Moron, Fac Med, RA-1708 Buenos Aires, DF, Argentina; [Carreto, Jose Ignacio; Carignan, Mario] Inst Nacl Invest &amp; Desarrollo Pesquero, RA-7600 Mar Del Plata, Argentina; [Ferreyra, Gustavo Adolfo] Univ Quebec, Inst Sci Mer Rimouski, Rimouski, PQ G5L 3A1, Canada</t>
  </si>
  <si>
    <t>National Fisheries Research &amp; Development Institute (INIDEP); University of Quebec</t>
  </si>
  <si>
    <t>Hernando, MP (corresponding author), Univ Moron, Fac Med, Cabildo 134, RA-1708 Buenos Aires, DF, Argentina.</t>
  </si>
  <si>
    <t>mphernando09@hotmail.com</t>
  </si>
  <si>
    <t>Ferreyra, Gustavo Adolfo/0000-0003-1953-5067</t>
  </si>
  <si>
    <t>Consejo Nacional de Investigaciones Cientificas y Tecnicas (Argentina); Instituto Antartico Argentino</t>
  </si>
  <si>
    <t>Consejo Nacional de Investigaciones Cientificas y Tecnicas (Argentina)(Consejo Nacional de Investigaciones Cientificas y Tecnicas (CONICET)); Instituto Antartico Argentino</t>
  </si>
  <si>
    <t>We would especially like to thank Oscar Gonzalez and Leonardo Cantoni, who have supported the operations of this project. We also thank D. Abele and Ann Vanreusel for their comments and suggestions, which helped to improve this manuscript. Our thanks also to the personnel from the Alfred-Wegener-Institut, who shared equipment and results with us in the framework of the Argentinean-German Cooperation at Jubany-Dallmann in Potter Cove, Antarctica, and especially to Dr. Helmut Tug and Dirk Wlochowitz for providing instruments and staff for the SONSI project. Funding was supported by the Consejo Nacional de Investigaciones Cientificas y Tecnicas (Argentina) with a fellowship to Marcelo Hernando and by the Instituto Antartico Argentino.</t>
  </si>
  <si>
    <t>CONSEJO SUPERIOR INVESTIGACIONES CIENTIFICAS-CSIC</t>
  </si>
  <si>
    <t>MADRID</t>
  </si>
  <si>
    <t>VITRUVIO 8, 28006 MADRID, SPAIN</t>
  </si>
  <si>
    <t>0214-8358</t>
  </si>
  <si>
    <t>1886-8134</t>
  </si>
  <si>
    <t>SCI MAR</t>
  </si>
  <si>
    <t>Sci. Mar.</t>
  </si>
  <si>
    <t>10.3989/scimar.03203.16D</t>
  </si>
  <si>
    <t>912NL</t>
  </si>
  <si>
    <t>gold, Green Submitted</t>
  </si>
  <si>
    <t>WOS:000301806800006</t>
  </si>
  <si>
    <t>Rokityansky, II</t>
  </si>
  <si>
    <t>Rokityansky, I. I.</t>
  </si>
  <si>
    <t>NORTH-SOUTH ASYMMETRY OF PLANETS AS EFFECT OF KOZYREV'S CAUSAL ASYMMETRICAL MECHANICS</t>
  </si>
  <si>
    <t>ACTA GEODAETICA ET GEOPHYSICA HUNGARICA</t>
  </si>
  <si>
    <t>asymmetrical force; causal or asymmetrical mechanics; Kozyrev N A; North-South asymmetry; rotating bodies</t>
  </si>
  <si>
    <t>NULL RESULT; GYROSCOPE; EARTH</t>
  </si>
  <si>
    <t>Mars Orbiter Laser Altimeter (MOLA) team discovered the striking difference in elevation between northern and southern hemispheres: on Mars, the South Pole lying about six km higher than the North Pole, . . .the planet's center of mass (is) 3 km north of its geometric center (Physics Today, Oct 1999, p. 34). The same topography we have for solid Earth: low Arctic and high Antarctic with the same difference 5-7 km. No sound explanation of NS asymmetry was proposed: impact, planetary evolution, mantle convection . . . are rather artificial and vague. Meanwhile, NS asymmetry is inherent property of any freely rotating flexible celestial body as it follows from Kozyrev's Causal or asymmetrical mechanics. Relations of Causal mechanics are supported by experimental study of vertical component of causal force by weight change measurement of rotated gyroscope and the study of its horizontal component by pendulum deflection measurement. Kozyrev made measurements at latitudes. from 45 degrees to 84 degrees and proved that causal force is directed along Earth rotation axis: to the North for phi &lt; 73 degrees and to South for phi &gt; 73 degrees. The magnitude of causal force has order (1 - 5) x 10(-5) of gravity force.</t>
  </si>
  <si>
    <t>Inst Geophys, UA-03146 Kiev 146, Ukraine</t>
  </si>
  <si>
    <t>Rokityansky, II (corresponding author), Inst Geophys, POB 70, UA-03146 Kiev 146, Ukraine.</t>
  </si>
  <si>
    <t>rokityansky@gmail.com</t>
  </si>
  <si>
    <t>AKADEMIAI KIADO RT</t>
  </si>
  <si>
    <t>BUDAPEST</t>
  </si>
  <si>
    <t>PRIELLE K U 19, PO BOX 245,, H-1117 BUDAPEST, HUNGARY</t>
  </si>
  <si>
    <t>1217-8977</t>
  </si>
  <si>
    <t>ACTA GEOD GEOPHYS HU</t>
  </si>
  <si>
    <t>Acta Geod. Geophys. Hung.</t>
  </si>
  <si>
    <t>10.1556/AGeod.47.2012.1.9</t>
  </si>
  <si>
    <t>908OX</t>
  </si>
  <si>
    <t>WOS:000301500800009</t>
  </si>
  <si>
    <t>Ware, C; Bergstrom, DM; Müller, E; Alsos, IG</t>
  </si>
  <si>
    <t>Ware, Chris; Bergstrom, Dana M.; Muller, Eike; Alsos, Inger Greve</t>
  </si>
  <si>
    <t>Humans introduce viable seeds to the Arctic on footwear</t>
  </si>
  <si>
    <t>BIOLOGICAL INVASIONS</t>
  </si>
  <si>
    <t>Alien; Non-indigenous; Dispersal; Germination; Human-mediated dispersal; Propagule pressure</t>
  </si>
  <si>
    <t>PROPAGULE PRESSURE; PLANT DISPERSAL; GERMINATION; INVASION; SVALBARD; VECTORS; CLIMATE; IMPACT</t>
  </si>
  <si>
    <t>Expanding visitation to Polar regions combined with climate warming increases the potential for alien species introduction and establishment. We quantified vascular plant propagule pressure associated with different groups of travelers to the high-Arctic archipelago of Svalbard, and evaluated the potential of introduced seeds to germinate under the most favorable average Svalbard soil temperature (10A degrees C). We sampled the footwear of 259 travelers arriving by air to Svalbard during the summer of 2008, recording 1,019 seeds: a mean of 3.9 (+/- 0.8) seeds per traveler. Assuming the seed influx is representative for the whole year, we estimate a yearly seed load of around 270,000 by this vector alone. Seeds of 53 species were identified from 17 families, with Poaceae having both highest diversity and number of seeds. Eight of the families identified are among those most invasive worldwide, while the majority of the species identified were non-native to Svalbard. The number of seeds was highest on footwear that had been used in forested and alpine areas in the 3 months prior to traveling to Svalbard, and increased with the amount of soil affixed to footwear. In total, 26% of the collected seeds germinated under simulated Svalbard conditions. Our results demonstrate high propagule transport through aviation to highly visited cold-climate regions and isolated islands is occurring. Alien species establishment is expected to increase with climate change, particularly in high latitude regions, making the need for regional management considerations a priority.</t>
  </si>
  <si>
    <t>[Ware, Chris; Muller, Eike; Alsos, Inger Greve] Univ Ctr Svalbard UNIS, N-9171 Longyearbyen, Norway; [Bergstrom, Dana M.] Australian Antarctic Div, Dept Environm Water Heritage &amp; Arts, Kingston, Tas 7050, Australia; [Alsos, Inger Greve] Tromso Univ Museum, N-9037 Tromso, Norway</t>
  </si>
  <si>
    <t>University Centre Svalbard (UNIS); Australian Antarctic Division; UiT The Arctic University of Tromso</t>
  </si>
  <si>
    <t>Alsos, IG (corresponding author), Univ Ctr Svalbard UNIS, POB 156, N-9171 Longyearbyen, Norway.</t>
  </si>
  <si>
    <t>inger.g.alsos@uit.no</t>
  </si>
  <si>
    <t>Alsos, Inger Greve/A-9507-2016; Ware, Chris J/N-4465-2016; Bergstrom, Dana/AAC-2837-2022; Alsos, Inger Greve/O-8154-2019</t>
  </si>
  <si>
    <t>Bergstrom, Dana/0000-0001-8484-8954; Alsos, Inger Greve/0000-0002-8610-1085</t>
  </si>
  <si>
    <t>Svalbard Environmental Protection Fund</t>
  </si>
  <si>
    <t>We thank the many people who assisted in footwear sampling at the Svalbard airport, and the 259 participants who kindly gave up their shoes for cleaning after arrival. We would also like to thank the staff at the Svalbard Airport for allowing us to conduct the study on airport premises. Financial assistance for this project was received from the Svalbard Environmental Protection Fund. This project is closely aligned with the IPY Aliens in Antarctica Project. Finally, we wish to extend our thanks to three anonymous reviewers for their comments on the manuscript.</t>
  </si>
  <si>
    <t>1387-3547</t>
  </si>
  <si>
    <t>1573-1464</t>
  </si>
  <si>
    <t>BIOL INVASIONS</t>
  </si>
  <si>
    <t>Biol. Invasions</t>
  </si>
  <si>
    <t>10.1007/s10530-011-0098-4</t>
  </si>
  <si>
    <t>907UT</t>
  </si>
  <si>
    <t>WOS:000301445100008</t>
  </si>
  <si>
    <t>Wang, Q; Shi, YH; Hu, JX; Yao, ZW; Fang, XK; Dong, YA</t>
  </si>
  <si>
    <t>Wang Qiang; Shi YeHong; Hu JianXin; Yao ZiWei; Fang XueKun; Dong YiAn</t>
  </si>
  <si>
    <t>Determination of dioxin-like polychlorinated biphenyls in soil and moss from Fildes Peninsula, Antarctica</t>
  </si>
  <si>
    <t>Fildes Peninsula; dioxin-like PCBs; concentration; congener distribution</t>
  </si>
  <si>
    <t>PERSISTENT ORGANIC POLLUTANTS; DIBENZO-P-DIOXINS; KING-GEORGE ISLAND; ORGANOCHLORINE PESTICIDES; MARITIME ANTARCTICA; ROSS-ISLAND; PCBS; CONTAMINATION; SEDIMENTS; CHINA</t>
  </si>
  <si>
    <t>Dioxin-like polychlorinated biphenyls (PCBs) are a class of toxic and persistent chemicals that are often found in the environment. The determination of dioxin-like PCBs in Fildes Peninsula, Antarctica, is reported in this paper. Dioxin-like PCBs were widely distributed in Antarctic soil and moss with concentration of 2.23-27.2 pg/g in soil and 10.4-812 pg/g in moss. The highest concentrations were found in the Ardley Island area and the lowest concentrations on the west coast. The contribution of PCB-118 to the I (12)PCBs pound ranged from 36.0% to 69.6% in soil, and 17.2% to 43.4% in moss. The congener specific patterns in soil and moss were similar. Long-range atmospheric transport is thought to be the main source of PCBs detected on King George Island. The I (12)PCBs pound toxic equivalent (TEQ) in soil was 0.400x10(-3) to 516x10(-3) pg (TEQ)/g with a mean value of 147x10(-3) pg (TEQ)/g. PCB-126 had the largest contribution (81.1%) to the I (12)PCBs pound TEQ in soil. The I (12)PCBs pound TEQ in moss ranged from 2.90x10(-3) to 1.19 pg/g with a mean value of 0.482 pg/g. PCB-126 was also the largest contributor (91.4%) to the I (12)PCBs pound TEQ in moss. The mean TEQ in moss was about 40 times that in soil.</t>
  </si>
  <si>
    <t>[Wang Qiang; Shi YeHong; Hu JianXin; Fang XueKun; Dong YiAn] Peking Univ, Coll Environm Sci &amp; Engn, State Key Joint Lab Environm Simulat &amp; Pollut Con, Beijing 100871, Peoples R China; [Wang Qiang; Yao ZiWei] Natl Marine Environm Monitoring Ctr, Dalian 116023, Peoples R China</t>
  </si>
  <si>
    <t>Peking University; National Marine Environmental Monitoring Center</t>
  </si>
  <si>
    <t>Hu, JX (corresponding author), Peking Univ, Coll Environm Sci &amp; Engn, State Key Joint Lab Environm Simulat &amp; Pollut Con, Beijing 100871, Peoples R China.</t>
  </si>
  <si>
    <t>jianxin@pku.edu.cn</t>
  </si>
  <si>
    <t>Hu, Jianxin/N-3498-2013; FANG, XUEKUN/L-1630-2015</t>
  </si>
  <si>
    <t>/0000-0002-7055-0644</t>
  </si>
  <si>
    <t>Postdoctoral Science Foundation of China [201004800123]; China Polar Science Strategic Fund [20070214]; Foundation of State Key Joint Laboratory for Environmental Simulation &amp; Pollution Control</t>
  </si>
  <si>
    <t>Postdoctoral Science Foundation of China(China Postdoctoral Science Foundation); China Polar Science Strategic Fund; Foundation of State Key Joint Laboratory for Environmental Simulation &amp; Pollution Control</t>
  </si>
  <si>
    <t>This work was supported by the Postdoctoral Science Foundation of China (201004800123), the China Polar Science Strategic Fund (20070214), and the Foundation of State Key Joint Laboratory for Environmental Simulation &amp; Pollution Control.</t>
  </si>
  <si>
    <t>10.1007/s11434-011-4969-y</t>
  </si>
  <si>
    <t>907TP</t>
  </si>
  <si>
    <t>WOS:000301441800006</t>
  </si>
  <si>
    <t>Sañé, E; Isla, E; Gerdes, D; Montiel, A; Gili, JM</t>
  </si>
  <si>
    <t>Sane, E.; Isla, E.; Gerdes, D.; Montiel, A.; Gili, J. -M.</t>
  </si>
  <si>
    <t>Benthic macrofauna assemblages and biochemical properties of sediments in two Antarctic regions differently affected by climate change</t>
  </si>
  <si>
    <t>CONTINENTAL SHELF RESEARCH</t>
  </si>
  <si>
    <t>Biochemistry; Sediments; Macrofauna; Antarctica</t>
  </si>
  <si>
    <t>PARTICULATE ORGANIC-MATTER; SOUTHEASTERN WEDDELL SEA; LAST GLACIAL MAXIMUM; ROSS ICE SHELF; CONTINENTAL-SHELF; AMINO-ACID; PHYTOPLANKTON BLOOM; COMMUNITY STRUCTURE; ACCUMULATION RATES; STRAIT ANTARCTICA</t>
  </si>
  <si>
    <t>Lipid, protein and carbohydrate concentrations have been determined in sediment cores from the continental shelf in the South Eastern Weddell Sea (SEWS), where no ice shelves have been present at least for thousands of years, and the continental shelf off the Eastern Antarctic Peninsula (EAP), in the area where two ice shelf collapses occurred in 1995 and 2002. On one hand, SEWS presents an important flux of fresh organic matter to the seabed during summer, whereas on the other hand, the presence of ice shelves in EAP hampered photosynthesis restricting the input of organic matter to advected refractory material. In the present study, biochemical variables and benthic macrofauna abundance, biomass and diversity confirmed differences between the two regions. Lipid concentrations were higher in SEWS than in EAP, whereas carbohydrate concentrations were higher in the latter region. These differences were attributed to the higher concentration of labile and refractory material, respectively. Biomass, abundance and diversity of the macrofauna were higher in SEWS than in EAP, where benthic communities started receiving a fresh organic matter input only after the recent ice shelf collapses. As regards macrofauna composition, both regions presented macrobenthic communities associated to early stages of recolonization. (C) 2012 Elsevier Ltd. All rights reserved.</t>
  </si>
  <si>
    <t>[Sane, E.; Isla, E.; Gili, J. -M.] Inst Ciencias Mar ICM CSIC, Barcelona 08003, Spain; [Gerdes, D.] Alfred Wegener Inst Polar &amp; Marine Res, D-27568 Bremerhaven, Germany; [Montiel, A.] Univ Magallanes, Inst Patagonia, Punta Arenas 6210427, Chile</t>
  </si>
  <si>
    <t>Consejo Superior de Investigaciones Cientificas (CSIC); CSIC - Centro Mediterraneo de Investigaciones Marinas y Ambientales (CMIMA); CSIC - Instituto de Ciencias del Mar (ICM); Helmholtz Association; Alfred Wegener Institute, Helmholtz Centre for Polar &amp; Marine Research; Universidad de Magallanes</t>
  </si>
  <si>
    <t>Sañé, E (corresponding author), Inst Ciencias Mar ICM CSIC, Paseo Maritimo Barceloneta 37-49, Barcelona 08003, Spain.</t>
  </si>
  <si>
    <t>sane@icm.csic.es</t>
  </si>
  <si>
    <t>sane, elisabet/AAT-4775-2020</t>
  </si>
  <si>
    <t>, elisabet/0000-0001-5719-5468; Isla, Enrique/0000-0003-4959-6936; Montiel, Americo/0000-0002-2644-4879</t>
  </si>
  <si>
    <t>Spanish Ministry of Science [ANT99-1608-E, POL2006-06399/CGL]</t>
  </si>
  <si>
    <t>Spanish Ministry of Science(Spanish Government)</t>
  </si>
  <si>
    <t>The present work was done under the frame of the projects ANT99-1608-E (FILANT) and POL2006-06399/CGL (CLIMANT) funded by the Spanish Ministry of Science.</t>
  </si>
  <si>
    <t>0278-4343</t>
  </si>
  <si>
    <t>1873-6955</t>
  </si>
  <si>
    <t>CONT SHELF RES</t>
  </si>
  <si>
    <t>Cont. Shelf Res.</t>
  </si>
  <si>
    <t>10.1016/j.csr.2011.12.008</t>
  </si>
  <si>
    <t>910DE</t>
  </si>
  <si>
    <t>WOS:000301616600005</t>
  </si>
  <si>
    <t>Wu, N; Zhang, YM; Downing, A; Zhang, J; Yang, CH</t>
  </si>
  <si>
    <t>Wu, Nan; Zhang, Yuan Ming; Downing, Alison; Zhang, Jing; Yang, Chun Hong</t>
  </si>
  <si>
    <t>Membrane stability of the desert moss Syntrichia caninervis Mitt. during desiccation and rehydration</t>
  </si>
  <si>
    <t>JOURNAL OF BRYOLOGY</t>
  </si>
  <si>
    <t>Desiccation; Free proline; Membrane permeability; Rehydration; Soluble sugar; Syntrichia caninervis Mitt.; Ultrastructural change</t>
  </si>
  <si>
    <t>BIOLOGICAL SOIL CRUSTS; GURBANTUNGGUT DESERT; TORTULA-RURALIS; NORTHWESTERN CHINA; POLYTRICHUM-FORMOSUM; ANTARCTIC BRYOPHYTES; SOMATIC EMBRYOS; HEAT-SHOCK; TOLERANCE; STRESS</t>
  </si>
  <si>
    <t>Syntrichia caninervis Mitt. is the dominant species in the moss crusts of the Gurbantunggut Desert, a cold, northern desert of Central Asia. Most studies of bryophyte desiccation tolerance have been of Tortula (Syntrichia) ruralis. The two species are closely related and any physiological work on one is likely to be relevant to the other. Changes in membrane structures in this species were monitored under varying conditions of water stress in this study. Microscopical and physiological tests were conducted. No significant changes in electrical conductivity of the rehydration water were observed either during dehydration or rehydration. Electron micrographs of the fine-structure of leaf cells were obtained through a drying-re-wetting cycle. Major changes in cell ultrastructure were observed over time but there was no evidence of membrane damage during either desiccation or rehydration. Three possible explanations for disorganized or disrupted membranes in the desiccated state are considered: (1) S. caninervis has special morphological and anatomical characteristics (e.g. strong leaf costa which can transport water during the recovery state) that allow it to survive in an hostile, arid environment, and cellular structures that remain intact in the desiccated state permitting membrane integrity to be rapidly regained during rehydration; (2) the moss quickly becomes dormant during dehydration but maintains a certain level of membrane integrity; and (3) during desiccation, rapidly and continuously increasing amounts of both soluble sugar (major 'constitutive' protective substances) and free proline contribute to membrane stabilization.</t>
  </si>
  <si>
    <t>[Wu, Nan; Zhang, Yuan Ming; Zhang, Jing] Chinese Acad Sci, Xinjiang Inst Ecol &amp; Geog, Key Lab Biogeog &amp; Bioresource Arid Land, Urumqi 830011, Peoples R China; [Downing, Alison] Macquarie Univ, Dept Biol Sci, N Ryde, NSW 2109, Australia; [Yang, Chun Hong] Chinese Acad Sci, Inst Bot, Key Lab Photobiol, Beijing, Peoples R China</t>
  </si>
  <si>
    <t>Chinese Academy of Sciences; Xinjiang Institute of Ecology &amp; Geography, CAS; Macquarie University; Chinese Academy of Sciences; Institute of Botany, CAS</t>
  </si>
  <si>
    <t>Zhang, YM (corresponding author), Chinese Acad Sci, Xinjiang Inst Ecol &amp; Geog, Key Lab Biogeog &amp; Bioresource Arid Land, Urumqi 830011, Peoples R China.</t>
  </si>
  <si>
    <t>zhangym@ms.xjb.ac.cn</t>
  </si>
  <si>
    <t>Zhang, Jing/E-9167-2018; chen, jia/JLM-4733-2023</t>
  </si>
  <si>
    <t>Zhang, Jing/0000-0002-4706-8630; Zhang, Yuanming/0000-0003-1370-4181</t>
  </si>
  <si>
    <t>National Basic Research Program [2009CB825104]; National Natural Science Foundation of China [40901123]; West Light Foundation of The Chinese Academy of Sciences [XBBS200906]</t>
  </si>
  <si>
    <t>National Basic Research Program(National Basic Research Program of China); National Natural Science Foundation of China(National Natural Science Foundation of China (NSFC)); West Light Foundation of The Chinese Academy of Sciences(Chinese Academy of Sciences)</t>
  </si>
  <si>
    <t>We thank the National Research Station of Fukang Desert Ecosystem for use of their facilities. We also thank Wei Mei Li, Tao Ye, and Wang Sha Sha for their assistance in field sampling and laboratory work. We gratefully acknowledge two anonymous reviewers for their valuable comments on the manuscript. This work was supported by the National Basic Research Program (no. 2009CB825104), the National Natural Science Foundation of China (no. 40901123), and West Light Foundation of The Chinese Academy of Sciences (XBBS200906).</t>
  </si>
  <si>
    <t>MANEY PUBLISHING</t>
  </si>
  <si>
    <t>LEEDS</t>
  </si>
  <si>
    <t>STE 1C, JOSEPHS WELL, HANOVER WALK, LEEDS LS3 1AB, W YORKS, ENGLAND</t>
  </si>
  <si>
    <t>0373-6687</t>
  </si>
  <si>
    <t>J BRYOL</t>
  </si>
  <si>
    <t>J. Bryol.</t>
  </si>
  <si>
    <t>10.1179/1743282011Y.0000000043</t>
  </si>
  <si>
    <t>907IF</t>
  </si>
  <si>
    <t>WOS:000301410300001</t>
  </si>
  <si>
    <t>Coscia, MR; Cocca, E; Giacomelli, S; Cuccaro, F; Oreste, U</t>
  </si>
  <si>
    <t>Coscia, Maria Rosaria; Cocca, Ennio; Giacomelli, Stefano; Cuccaro, Fausta; Oreste, Umberto</t>
  </si>
  <si>
    <t>Immunoglobulin from Antarctic fish species of Rajidae family</t>
  </si>
  <si>
    <t>MARINE GENOMICS</t>
  </si>
  <si>
    <t>Antarctic skate; Cartilaginous fish immunoglobulin M; C mu gene diversity; Extra-cysteines</t>
  </si>
  <si>
    <t>TELEOST TREMATOMUS-BERNACCHII; CARTILAGINOUS FISH; HEAVY-CHAIN; PRIMORDIAL IMMUNOGLOBULIN; SKATES CHONDRICHTHYES; BATHYRAJA-EATONII; RAJA-ERINACEA; GENES; REPERTOIRE; IGM</t>
  </si>
  <si>
    <t>Immunoglobulins (Ig) of Chondroichthyes have been extensively studied in sharks: in contrast, in skates investigations on Ig remain scarce and fragmentary despite the high occurrence of skates in all of the major oceans of the world. To focus on Rajidae Igu, the most abundant heavy chain isotype, we have chosen the Antarctic species Bathyraja eatonii, Bathyraja albomaculata, Bathyraja brachyurops, and Amblyraja georgiana which live at high latitudes in the Southern Ocean, and at very low temperatures. We prepared mRNA from the spleen of individuals of each species and performed RT-PCR experiments using two oligonucleotides designed on the alignment of various elasmobranch Ig mu heavy chain sequences available in GenBank. The PCR products, about 1400-nt long, were cloned and sequenced. Nucleotide sequence identities calculated for the constant region domains ranged from 88.5% to 97.5% between species, and from 91.1% to 99.7% within species. In a distance tree, including also Raja erinacea sequences, two major branches were obtained, one containing Arhynchobatinae sequences, the other one Rajinae sequences. Four presumptive D gene segments were identified in the region of the VH/D/JH recombination; two different D segments were often found in the same sequence. Moreover, 5-15 genomic fragments of different lengths, carrying the gene locus encoding Ig mu chain were revealed by Southern blotting analysis. B. eatonii amino acid sequences were analyzed for the positional diversity by Shannon entropy analysis, showing CH4 as the most conserved domain, and CH3 as the most variable one. B. eatonii CDR3 region length varied between 11 and 15 amino acid residues; the mean length (13.4 aa) was greater than that of Leucoraja eglanteria sequences (7.7 aa). An alignment of representative sequences of Antarctic species and R. erinacea showed that more cysteine residues not involved in the intradomain disulfide bridges were present in Antarctic species. (C) 2011 Elsevier B.V. All rights reserved.</t>
  </si>
  <si>
    <t>[Coscia, Maria Rosaria; Cocca, Ennio; Giacomelli, Stefano; Cuccaro, Fausta; Oreste, Umberto] CNR, Inst Prot Biochem, I-80131 Naples, Italy</t>
  </si>
  <si>
    <t>Consiglio Nazionale delle Ricerche (CNR); Istituto di Biochimica delle Proteine (IBP-CNR)</t>
  </si>
  <si>
    <t>Coscia, MR (corresponding author), CNR, Inst Prot Biochem, Via P Castellino 111, I-80131 Naples, Italy.</t>
  </si>
  <si>
    <t>mr.coscia@ibp.cnr.it; e.cocca@ibp.cnr.it; s.giacomelli@ibp.cnr.it; f.cuccaro@ibp.cnr.it; u.oreste@ibp.cnr.it</t>
  </si>
  <si>
    <t>Coscia, Maria Rosaria/AAU-1808-2021; Cocca, Ennio/AAY-3817-2020; Forastiere, Francesco/J-9067-2016</t>
  </si>
  <si>
    <t>Cocca, Ennio/0000-0003-2432-9663;</t>
  </si>
  <si>
    <t>National Science Foundation [OPP-0132032]</t>
  </si>
  <si>
    <t>This study was conducted in the framework of the Italian Antarctic Research Program (PNRA), project 2005.1.2. We gratefully acknowledge the logistic support provided to our research team at Palmer Station, and on board RV LM Gould and RVIB NB Palmer (ICEFISH Cruise) by the personnel of Raytheon Polar Services and by the captains and crews of RV LM Gould and RVIB NB Palmer. This work was partly supported by the National Science Foundation Grant OPP-0132032 to H. William Detrich (Northeastern University, Boston, Mass.).</t>
  </si>
  <si>
    <t>1874-7787</t>
  </si>
  <si>
    <t>1876-7478</t>
  </si>
  <si>
    <t>MAR GENOM</t>
  </si>
  <si>
    <t>Mar. Genom.</t>
  </si>
  <si>
    <t>10.1016/j.margen.2011.09.001</t>
  </si>
  <si>
    <t>Genetics &amp; Heredity; Marine &amp; Freshwater Biology</t>
  </si>
  <si>
    <t>911EU</t>
  </si>
  <si>
    <t>WOS:000301700900006</t>
  </si>
  <si>
    <t>Ding, Y; Liu, Y; Jian, JC; Wu, ZH; Miao, JL</t>
  </si>
  <si>
    <t>Ding, Yu; Liu, Ying; Jian, Ji-Chang; Wu, Zao-He; Miao, Jin-Lai</t>
  </si>
  <si>
    <t>Molecular cloning and expression analysis of glutathione reductase gene in Chlamydomonas sp ICE-L from Antarctica</t>
  </si>
  <si>
    <t>Enzyme; Ice algae; RACE-PCR; Real-time PCR; Salinity</t>
  </si>
  <si>
    <t>TEMPERATURE; ACCLIMATION; PEROXIDASE</t>
  </si>
  <si>
    <t>A cDNA (GenBank ID: GU395492) encoding cytosolic glutathione reductase (named ICE-LGR) in Antarctic microalgae Chlamydomonas sp. ICE-L was successfully cloned by RT-PCR and rapid amplification of cDNA ends technique (RACE). The expression patterns of ICE-LGR under different salinity stresses were determined by real-time PCR. ICE-LGR cDNA has 1913 bp nucleotides with an open reading frame (ORF) of 1458 bp, encoding 485 amino acid residues. The deduced amino acid sequence shows 79% homology with glutathione reductase (GR) of Chlamydomonas reinhardtii. Activity assessment and mRNA expression analysis results showed that activity and expression level of GR in ICE-L cells were up-regulated under either high or low salinity. Together, our results revealed that ICE-LGR might play an important role in Antarctic ice algae Chlamydomonas sp. ICE-L acclimatizing to polar high salinity environment as well as low salinity. These results provide us valuable information on further investigating the molecular mechanism of ICE-LGR. (C) 2011 Elsevier B.V. All rights reserved.</t>
  </si>
  <si>
    <t>[Ding, Yu; Liu, Ying; Jian, Ji-Chang; Wu, Zao-He] Guangdong Ocean Univ, Coll Fisheries, Guangdong Prov Key Lab Pathogen Biol &amp; Epidemiol, Zhanjiang 524025, Guangdong, Peoples R China; [Miao, Jin-Lai] State Ocean Adm, Inst Oceanog 1, Key Lab Marine Bioact Subst, Qingdao 266061, Shandong, Peoples R China</t>
  </si>
  <si>
    <t>Guangdong Ocean University; First Institute of Oceanography, Ministry of Natural Resources</t>
  </si>
  <si>
    <t>Ding, Y (corresponding author), Guangdong Ocean Univ, Coll Fisheries, Guangdong Prov Key Lab Pathogen Biol &amp; Epidemiol, 40 Jiefang E Rd, Zhanjiang 524025, Guangdong, Peoples R China.</t>
  </si>
  <si>
    <t>dingyuddd@163.com; liuying0454@163.com; jianjc@gdou.edu.cn; wuzh@gdou.edu.cn; miaojinlai@fio.org.cn</t>
  </si>
  <si>
    <t>Natural Science Foundation of China (NSFC) [40876102, 40876107]; Provincial Natural Science Foundation of Guangdong [S2011010005885]</t>
  </si>
  <si>
    <t>Natural Science Foundation of China (NSFC)(National Natural Science Foundation of China (NSFC)); Provincial Natural Science Foundation of Guangdong</t>
  </si>
  <si>
    <t>We thank Dr. Fujian Zhang and his American friend, an anonymous reviewer, for their helpful comments. We are especially grateful for the critical comments and suggestions from the anonymous reviewers. This work was supported by the Natural Science Foundation of China (NSFC, no. 40876102; no. 40876107) and the Provincial Natural Science Foundation of Guangdong (no. S2011010005885).</t>
  </si>
  <si>
    <t>10.1016/j.margen.2011.11.001</t>
  </si>
  <si>
    <t>WOS:000301700900009</t>
  </si>
  <si>
    <t>Michels, J; Schnack-Schiel, SB; Pasternak, A; Mizdalski, E; Isla, E; Gerdes, D</t>
  </si>
  <si>
    <t>Michels, Jan; Schnack-Schiel, Sigrid B.; Pasternak, Anna; Mizdalski, Elke; Isla, Enrique; Gerdes, Dieter</t>
  </si>
  <si>
    <t>Abundance, population structure and vertical distribution of dominant calanoid copepods on the eastern Weddell Sea shelf during a spring phytoplankton bloom</t>
  </si>
  <si>
    <t>Community structure; Calanoid species; Dominant pelagic copepods; Population dynamics; Spring phytoplankton bloom; Vertical distribution; Weddell Sea</t>
  </si>
  <si>
    <t>LIFE-CYCLE STRATEGIES; MARGINAL ICE-ZONE; ANTARCTIC COPEPODS; COMMUNITY STRUCTURE; CTENOCALANUS-CITER; METRIDIA-GERLACHEI; RHINCALANUS-GIGAS; STEPHOS-LONGIPES; SOUTHERN-OCEAN; SCOTIA SEA</t>
  </si>
  <si>
    <t>The main emphasis of this study was to analyse the short-term development of abundance, population structure and vertical distribution of the dominant calanoid copepods during a phytoplankton bloom in the coastal area of the eastern Weddell Sea in December 2003. Microcalanus pygmaeus was by far the most abundant calanoid species. Metridia gerlachei, Ctenocalanus citer, Calanoides acutus, Calanus propinquus and the ice-associated Stephos longipes were also present in considerable proportions. The observed changes in the population characteristics and parameters of these species are described in detail and discussed in the context of the spring phytoplankton bloom. A conspicuous event occurring during the Wnal stage of the study was the development of a strong storm. While the results suggest that this storm did not have any considerable inXuence on the populations of all other investigated copepod species, it very likely caused pronounced changes in the S. longipes population present in the water column. Before the storm, S. longipes was found primarily in the upper 100 m of the water column, and its population was dominated by adults (mean proportion = 41%) and the copepodite stage I (mean proportion = 30%). After the storm, the abundance increased considerably, and the copepodite stage I contributed by far the largest proportion (53%) of the total population indicating that the early copepodite stages probably had been released from the sea ice into the under ice water layer due to ice break-up and ice melt processes caused by the storm.</t>
  </si>
  <si>
    <t>[Michels, Jan; Schnack-Schiel, Sigrid B.; Mizdalski, Elke; Gerdes, Dieter] Alfred Wegener Inst Polar &amp; Marine Res, D-27515 Bremerhaven, Germany; [Pasternak, Anna] Russian Acad Sci, PP Shirshov Oceanol Inst, Moscow 117997, Russia; [Isla, Enrique] Inst Ciencies Mar CMIMA CSIC, Barcelona 08015, Spain</t>
  </si>
  <si>
    <t>Helmholtz Association; Alfred Wegener Institute, Helmholtz Centre for Polar &amp; Marine Research; Russian Academy of Sciences; Shirshov Institute of Oceanology; Consejo Superior de Investigaciones Cientificas (CSIC); CSIC - Centro Mediterraneo de Investigaciones Marinas y Ambientales (CMIMA); CSIC - Instituto de Ciencias del Mar (ICM)</t>
  </si>
  <si>
    <t>Michels, J (corresponding author), Univ Kiel, Inst Zool, Dept Funct Morphol &amp; Biomech, Bot Garten 1-9, D-24118 Kiel, Germany.</t>
  </si>
  <si>
    <t>jmichels@zoologie.uni-kiel.de</t>
  </si>
  <si>
    <t>Michels, Jan/B-1023-2014; Pasternak, Anna/E-6121-2014</t>
  </si>
  <si>
    <t>Isla, Enrique/0000-0003-4959-6936; Pasternak, Anna/0000-0003-0317-5861</t>
  </si>
  <si>
    <t>Hanse-Wissenschaftskolleg; RFBR [07-04-00029]; Alfred-Wegener-Institut</t>
  </si>
  <si>
    <t>Hanse-Wissenschaftskolleg; RFBR(Russian Foundation for Basic Research (RFBR)); Alfred-Wegener-Institut</t>
  </si>
  <si>
    <t>The authors gratefully acknowledge the help of the captain, the officers and the crew of RV Polarstern and the colleagues participating in the expedition ANT XXI/2. Tatjana Ratkova determined and counted the phytoplankton. Thomas Brey helped with the correlation model. Boris Cisewski calculated the mixed layer depth and created the raw version of Fig. 3. Anna Kop and Ruth Alheit made the linguistic revision of the manuscript. Anna Pasternak was partly supported by a stipend from the Hanse-Wissenschaftskolleg, RFBR project 07-04-00029, and the Alfred-Wegener-Institut.</t>
  </si>
  <si>
    <t>10.1007/s00300-011-1083-1</t>
  </si>
  <si>
    <t>907XI</t>
  </si>
  <si>
    <t>WOS:000301452600005</t>
  </si>
  <si>
    <t>Doyle, SR; Momo, FR; Brêthes, JC; Ferreyra, GA</t>
  </si>
  <si>
    <t>Doyle, Santiago R.; Momo, Fernando R.; Claude Brethes, J.; Ferreyra, Gustavo A.</t>
  </si>
  <si>
    <t>Metabolic rate and food availability of the Antarctic amphipod Gondogeneia antarctica (Chevreux 1906): seasonal variation in allometric scaling and temperature dependence</t>
  </si>
  <si>
    <t>Seasonal metabolism; Food availability; Amphipod; Microphytobenthos; Epontic algae</t>
  </si>
  <si>
    <t>SOUTH-SHETLAND ISLANDS; BIVALVE LATERNULA-ELLIPTICA; WALDECKIA-OBESA CHEVREUX; POTTER COVE; GAMMARUS-OCEANICUS; ECOLOGY; ECOPHYSIOLOGY; NOTOTHENIIDAE; RESPIRATION; ADAPTATION</t>
  </si>
  <si>
    <t>Among the few existing works on seasonal variation in metabolic rate of polar species, most have been conducted during summer due to logistic constraints and have been focused on species that cease feeding during winter. In this work, we present the first extensive data set on the seasonal variation in metabolic rate of G. antarctica, an abundant amphipod that feeds throughout the year, and its relationship with body size, potential food availability and temperature. We measured the resting metabolic rate (RMR) of groups of individuals during 6 months from late summer through winter at 4 experimental temperatures and for a wide range of body size. RMR had a negative allometric scaling with body size and showed a tendency to increase with temperature as expected. However, temperature and body size effects on RMR showed a significant temporal variation, and an increase in temperature decreased scaling exponents. RMR at the mean seawater temperature throughout the study showed a strong seasonal variation following food availability: RMR decreased from the end of summer through winter, coinciding with a reduction in microphytobenthos stock, but recovered summer values in August, when an epontic algae boom occurred. The seasonal factorial aerobic scope (x2.37) is lower than benthic Antarctic invertebrates that cease feeding during winter, in agreement with what is expected based on theoretical grounds. Results suggest that seasonal variation of RMR would allow G. antarctica to achieve a high efficiency in energy utilization, while maintaining the ability to exploit sudden changes in food supply.</t>
  </si>
  <si>
    <t>[Claude Brethes, J.; Ferreyra, Gustavo A.] Univ Quebec, Inst Sci Mer Rimouski, Rimouski, PQ G5L 3A1, Canada; [Doyle, Santiago R.; Momo, Fernando R.] Univ Nacl Gen Sarmiento, Inst Ciencias, Area Biol &amp; Bioinformat, RA-1613 Los Polvorines, Argentina; [Doyle, Santiago R.] Consejo Nacl Invest Cient &amp; Tecn, RA-1033 Buenos Aires, DF, Argentina; [Doyle, Santiago R.; Momo, Fernando R.] Univ Nacl Lujan, Dept Ciencias Basicas, Programa Invest Ecol Acuat, RA-6700 Lujan, Argentina</t>
  </si>
  <si>
    <t>University of Quebec; Consejo Nacional de Investigaciones Cientificas y Tecnicas (CONICET); Universidad Nacional de Lujan</t>
  </si>
  <si>
    <t>Ferreyra, GA (corresponding author), Univ Quebec, Inst Sci Mer Rimouski, 310 Allee Ursulines, Rimouski, PQ G5L 3A1, Canada.</t>
  </si>
  <si>
    <t>gustavo_ferreyra@uqar.qc.ca</t>
  </si>
  <si>
    <t>Momo, Fernando/A-5984-2015; Momo, Fernando R/E-3426-2012</t>
  </si>
  <si>
    <t>Momo, Fernando R/0000-0003-0710-1149; Ferreyra, Gustavo Adolfo/0000-0003-1953-5067</t>
  </si>
  <si>
    <t>Consejo Nacional de Investigaciones Cientificas y Tecnicas (CONICET); Instituto Antartico Argentino; Universite du Quebec a Rimouski</t>
  </si>
  <si>
    <t>Consejo Nacional de Investigaciones Cientificas y Tecnicas (CONICET)(Consejo Nacional de Investigaciones Cientificas y Tecnicas (CONICET)); Instituto Antartico Argentino; Universite du Quebec a Rimouski</t>
  </si>
  <si>
    <t>We are very grateful with Santiago de la Vega, who performed the experiments during the 1987 winter, as well as the personnel of the Argentinean station Esperanza for their logistic support during the Weld operations. We are also grateful to two anonymous referees for comments and suggestions that largely improved the manuscript. During this work, S. R. D. was supported by a fellowship from the Consejo Nacional de Investigaciones Cientificas y Tecnicas (CONICET). This research was funded by the Instituto Antartico Argentino and the Universite du Quebec a Rimouski, with grants to G.A.F and J.-C. B, respectively.</t>
  </si>
  <si>
    <t>10.1007/s00300-011-1089-8</t>
  </si>
  <si>
    <t>WOS:000301452600008</t>
  </si>
  <si>
    <t>Catarino, AI; De Ridder, C; Gonzalez, M; Gallardo, P; Dubois, P</t>
  </si>
  <si>
    <t>Catarino, Ana I.; De Ridder, Chantal; Gonzalez, Marcelo; Gallardo, Pablo; Dubois, Philippe</t>
  </si>
  <si>
    <t>Sea urchin Arbacia dufresnei (Blainville 1825) larvae response to ocean acidification</t>
  </si>
  <si>
    <t>Ocean acidification; Sea urchin; Sub-Antarctic population; Arbacia dufresnei; Larvae</t>
  </si>
  <si>
    <t>PARACENTROTUS-LIVIDUS LAMARCK; REDUCED SEAWATER PH; PHENOTYPIC PLASTICITY; ECHINODERM LARVAE; CARBONIC-ACID; MARINE; DISSOCIATION; RECRUITMENT; FERTILIZATION; METAMORPHOSIS</t>
  </si>
  <si>
    <t>Increased atmospheric CO2 emissions are inducing changes in seawater carbon chemistry, lowering its pH, decreasing carbonate ion availability and reducing calcium carbonate saturation state. This phenomenon, known as ocean acidification, is happening at a faster rate in cold regions, i.e., polar and sub-polar waters. The larval development of Arbacia dufresnei from a sub-Antarctic population was studied at high (8.0), medium (7.7) and low (7.4) pH waters. The results show that the offspring from sub-Antarctic populations of A. dufresnei are susceptible to a development delay at low pH, with no significant increase in abnormal forms. Larvae were isometric between pH treatments. Even at calcium carbonate (CaCO3) saturation states (of both calcite and aragonite, used as proxies of the magnesium calcite) &lt;1, skeleton deposition occurred. Polar and sub-polar sea urchin larvae can show a certain degree of resilience to acidification, also emphasizing A. dufresnei potential to poleward migrate and further colonize southern regions.</t>
  </si>
  <si>
    <t>[Catarino, Ana I.; De Ridder, Chantal; Dubois, Philippe] Univ Libre Bruxelles, Lab Biol Marine, B-1050 Brussels, Belgium; [Gonzalez, Marcelo] Inst Antartico Chileno, Punta Arenas, Chile; [Gallardo, Pablo] Univ Magallanes, Ctr Cultivos Marinos Bahia Laredo, Punta Arenas, Chile</t>
  </si>
  <si>
    <t>Universite Libre de Bruxelles; Universidad de Magallanes</t>
  </si>
  <si>
    <t>Catarino, AI (corresponding author), Univ Libre Bruxelles, Lab Biol Marine, CP 160-15, B-1050 Brussels, Belgium.</t>
  </si>
  <si>
    <t>catarino.anai@gmail.com</t>
  </si>
  <si>
    <t>González, Marcelo/ABF-1450-2020; Gallardo-Ojeda, Pablo/Q-4545-2017; C, A/J-9863-2014</t>
  </si>
  <si>
    <t>Gallardo-Ojeda, Pablo/0000-0002-8368-9055; C, A/0000-0002-8796-0869; Gonzalez, Marcelo/0000-0001-9986-9504</t>
  </si>
  <si>
    <t>FCT, Portugal [SFRH/BD/27947/2006]; FRFC [2.4532.07]; Belspo [SD/BA/02B]; Fundação para a Ciência e a Tecnologia [SFRH/BD/27947/2006] Funding Source: FCT</t>
  </si>
  <si>
    <t>FCT, Portugal(Fundacao para a Ciencia e a Tecnologia (FCT)); FRFC(Fonds de la Recherche Scientifique - FNRS); Belspo(Belgian Federal Science Policy Office); Fundação para a Ciência e a Tecnologia(Fundacao para a Ciencia e a Tecnologia (FCT))</t>
  </si>
  <si>
    <t>A. I. Catarino holds a FCT grant (SFRH/BD/27947/2006, Portugal). Ph. Dubois is a Senior Research Associate of the NFSR (Belgium). Work supported by FRFC contract 2.4532.07 and Belspo contract SD/BA/02B. The authors are grateful to the Laredo Centre personnel for technical support, to E. Newcombe and C. Cardenas (INACH) for diving support and technical advice, to C. Gimpel and G. Asencio (INACH) for assistance, to P. Gosselin for technical advice. The authors are also thankful to N. Khatri, the reviewers S. Dupont and M. Thorndyke (Sven Loven Centre for Marine Sciences) and to an anonymous reviewer for helping improving the quality of this work.</t>
  </si>
  <si>
    <t>10.1007/s00300-011-1074-2</t>
  </si>
  <si>
    <t>WOS:000301452600012</t>
  </si>
  <si>
    <t>Stewart, KJ; Snape, I; Siciliano, SD</t>
  </si>
  <si>
    <t>Stewart, Katherine J.; Snape, Ian; Siciliano, Steven D.</t>
  </si>
  <si>
    <t>Physical, chemical and microbial soil properties of frost boils at Browning Peninsula, Antarctica</t>
  </si>
  <si>
    <t>Frost boil; Antarctica; Soil moisture; Soil nitrogen; Soil carbon; Soil microbes</t>
  </si>
  <si>
    <t>EAST ANTARCTICA; TERRESTRIAL ECOSYSTEM; WINDMILL-ISLANDS; CASEY-STATION; VICTORIA LAND; BACTERIA; DYNAMICS; CARBON</t>
  </si>
  <si>
    <t>In a pilot study, we examined whether frost boils grossly mask the effect of site by comparing physical, chemical and microbial soil properties between the middle and edge of frost boils on remote and understudied Browning Peninsula, Antarctica. In addition, we determined the degree to which soil microbial community structure can be attributed to frost boil physical and chemical soil properties. Principle components (PCs) of physical and chemical soil properties and of microbial soil properties were compared between the middle and edge of frost boils and between frost boil replicates. Despite higher soil moisture, % C, % S and % N, pH, total DNA, 16S copy number, total phospholipid fatty acids, bacteria, fungi, proteobacteria, anaerobes, gram-positive bacteria and eukaryotes at frost boil edges, PCs were not significantly different between edge and middle positions. Physical and chemical soil properties between frost boil replicates differed significantly, but not microbial communities. In non-metric multidimensional scaling (NMS) ordinations, soil microbial community structure was affected by differences in frost boil replicates and some frost boil replicates were well separated. Therefore, site factors may play a critical role in determining the soil characteristics of frost boils. It remains to be seen whether stronger gradients in physical, chemical and microbial soil properties will develop across frost boils with continued warming of Antarctic soils. Frost boils may have subtle effects and require consideration in long-term sampling design for understanding the effects of climate change.</t>
  </si>
  <si>
    <t>[Stewart, Katherine J.; Siciliano, Steven D.] Univ Saskatchewan, Dept Soil Sci, Saskatoon, SK S7N 5A8, Canada; [Snape, Ian] Australian Antarctic Div, Environm Protect &amp; Change Program, Kingston, Tas 7050, Australia</t>
  </si>
  <si>
    <t>University of Saskatchewan; Australian Antarctic Division</t>
  </si>
  <si>
    <t>Stewart, KJ (corresponding author), Univ Saskatchewan, Dept Soil Sci, 51 Campus Dr, Saskatoon, SK S7N 5A8, Canada.</t>
  </si>
  <si>
    <t>katherinejstewart@gmail.com</t>
  </si>
  <si>
    <t>Siciliano, Steven D/G-3370-2011</t>
  </si>
  <si>
    <t>Siciliano, Steven/0000-0002-8994-3341</t>
  </si>
  <si>
    <t>National Science and Engineering Research Council</t>
  </si>
  <si>
    <t>National Science and Engineering Research Council(Natural Sciences and Engineering Research Council of Canada (NSERC))</t>
  </si>
  <si>
    <t>We would like to thank Alexis Schafer for assistance in the field and Eric Lamb for his assistance in the laboratory. This work was supported by a National Science and Engineering Research Council Grant to SDS.</t>
  </si>
  <si>
    <t>10.1007/s00300-011-1076-0</t>
  </si>
  <si>
    <t>WOS:000301452600013</t>
  </si>
  <si>
    <t>Torres, D; Acevedo, J; Torres, DE; Vargas, R; Aguayo-Lobo, A</t>
  </si>
  <si>
    <t>Torres, Daniel; Acevedo, Jorge; Torres, Daniel E.; Vargas, Romeo; Aguayo-Lobo, Anelio</t>
  </si>
  <si>
    <t>Vagrant Subantarctic fur seal at Cape Shirreff, Livingston Island, Antarctica</t>
  </si>
  <si>
    <t>Arctocephalus tropicalis; Fur seals; South Shetland Islands; Dispersion</t>
  </si>
  <si>
    <t>PRINCE-EDWARD-ISLANDS; ARCTOCEPHALUS-TROPICALIS; SOUTHERN-OCEAN; GOUGH ISLAND; POPULATION-CHANGES; AMSTERDAM ISLAND; MACQUARIE ISLAND; FORAGING ECOLOGY; SEASONAL-CHANGES; MARION-ISLAND</t>
  </si>
  <si>
    <t>A vagrant adult male Subantarctic fur seal Arctocephalus tropicalis was observed among Antarctic fur seals A. gazella at Cape Shirreff, Livingston Island, Antarctica, which is located to similar to 4,190 and similar to 5,939 km from the nearest breeding colonies of Subantarctic fur seals. Although the colony of origin of this animal and the reason for its movement outside its distribution range are unknown, this sighting shows the high dispersal capacity of this species and provides an insight into possible changes in its distribution. Although this vagrant was not observed with females Antarctic fur seal, news sightings in the future could result in viable hybrid, and introgressive hybridization could represent a threat for Cape Shirreff population recovery, if still the population way to go to recover to presailing levels.</t>
  </si>
  <si>
    <t>[Acevedo, Jorge] Univ Magallanes, Punta Arenas, Chile; [Torres, Daniel] Univ Pedro Valdivia, Escuela Med Vet, Fac Ciencias Agropecuarias, Santiago, Chile; [Acevedo, Jorge] Fdn Ctr Estudios Cuaternario CEQUA, Punta Arenas, Chile; [Torres, Daniel E.] Univ Las Amer, Escuela Med &amp; Vet, Fac Ciencias Agropecuarias &amp; Ambientales, Santiago, Chile; [Vargas, Romeo] Gobernac Maritima Castro, Dept Medio Ambiente Acuat, Chiloe, Chile; [Aguayo-Lobo, Anelio] Inst Antartico Chileno INACH, Punta Arenas, Chile</t>
  </si>
  <si>
    <t>Universidad de Magallanes; Universidad Pedro de Valdivia; Universidad de Las Americas - Chile</t>
  </si>
  <si>
    <t>Acevedo, J (corresponding author), Univ Magallanes, Av Bulnes 01855, Punta Arenas, Chile.</t>
  </si>
  <si>
    <t>jorge.acevedo@cequa.cl</t>
  </si>
  <si>
    <t>Acevedo, Jorge/AAV-3574-2020</t>
  </si>
  <si>
    <t>Acevedo, Jorge/0000-0002-6106-0838</t>
  </si>
  <si>
    <t>INACH; CEQUA</t>
  </si>
  <si>
    <t>INACH; CEQUA(Comision Nacional de Investigacion Cientifica y Tecnologica (CONICYT)CONICYT Regional/CEQUA)</t>
  </si>
  <si>
    <t>We thank the director of INACH for support until 2006 for the INACH-018 Project Ecological studies of the Antarctic Fur Seal, Arctocephalus gazella and the Director of CEQUA for their support to our respective marine mammal projects. We also thank Shanon Cunning and Greg Hofmeyr for improvements to this manuscript.</t>
  </si>
  <si>
    <t>10.1007/s00300-011-1082-2</t>
  </si>
  <si>
    <t>WOS:000301452600014</t>
  </si>
  <si>
    <t>Trevors, JT; Bej, AK; Mojib, N; van Elsas, JD; Van Overbeek, L</t>
  </si>
  <si>
    <t>Trevors, J. T.; Bej, A. K.; Mojib, N.; van Elsas, J. D.; Van Overbeek, L.</t>
  </si>
  <si>
    <t>Bacterial gene expression at low temperatures</t>
  </si>
  <si>
    <t>Cold adaptation; Antifreeze protein; qRT-PCR; Microarray; 2-D protein gel; SYTO Green; Caps; Csps; AFP; IBP; Antarctica; Bacteria; Extreme; Environment</t>
  </si>
  <si>
    <t>COLD SHOCK PROTEIN; RALSTONIA-SOLANACEARUM; ANTIFREEZE PROTEIN; ACCLIMATION PROTEINS; NONCULTURABLE STATE; ADAPTIVE RESPONSE; CLIMATE-CHANGE; ICE-BINDING; CSPA-FAMILY; SURVIVAL</t>
  </si>
  <si>
    <t>Under suboptimal environmental conditions such as low temperatures, many bacteria have an extended lag phase, altered cell structures, and composition such as a less fluid (more rigid) and leaky cytoplasmic membrane. As a result, cells may die, enter into a starvation mode of metabolism or a physiologically viable but non-culturable (VBNC) state. In the latter state, the amount of gene expression per cell is virtually undetectable. In this article, gene expression under (suboptimal) low temperature conditions in non-psychrophilic environmental bacteria is examined. The pros and cons of some of the molecular methodologies for gene expression analysis are also discussed.</t>
  </si>
  <si>
    <t>[Trevors, J. T.] Univ Guelph, Microbiol Lab, Sch Environm Sci, Guelph, ON N1G 2W1, Canada; [Bej, A. K.; Mojib, N.] Univ Alabama Birmingham, Dept Biol, Birmingham, AL 35294 USA; [van Elsas, J. D.] Univ Groningen, CEES, Dept Microbial Ecol, Groningen, Netherlands; [Van Overbeek, L.] Univ Wageningen &amp; Res Ctr, Plant Res Int, NL-6708 PB Wageningen, Netherlands</t>
  </si>
  <si>
    <t>University of Guelph; University of Alabama System; University of Alabama Birmingham; University of Groningen; Wageningen University &amp; Research</t>
  </si>
  <si>
    <t>Trevors, JT (corresponding author), Univ Guelph, Microbiol Lab, Sch Environm Sci, Rm 3220 Bovey Bldg, Guelph, ON N1G 2W1, Canada.</t>
  </si>
  <si>
    <t>jtrevors@uoguelph.ca; abej@uab.edu; naziamoj@uab.edu; J.D.van.Elsas@rug.nl; l.s.vanoverbeek@wur.nl</t>
  </si>
  <si>
    <t>/0000-0003-3060-1088</t>
  </si>
  <si>
    <t>NSERC (Canada); Tawani Foundation; Marty Kress of VCSI; NASA; NCAOR; GSI; Indian Maitri Station in Antarctica</t>
  </si>
  <si>
    <t>NSERC (Canada)(Natural Sciences and Engineering Research Council of Canada (NSERC)); Tawani Foundation; Marty Kress of VCSI; NASA(National Aeronautics &amp; Space Administration (NASA)); NCAOR; GSI; Indian Maitri Station in Antarctica</t>
  </si>
  <si>
    <t>Research by J.T.T. was supported by the NSERC (Canada) Discovery program. The logistic support for research on Antarctic bacteria by A. Bej was supported by the Tawani Foundation and Col (Ret) Jim Pritzker; Marty Kress of VCSI; NASA's Exobiology program; Richard Hoover of NASA; Rasik Ravindra of NCAOR; Ashit Swain of GSI and Indian Maitri Station in Antarctica.</t>
  </si>
  <si>
    <t>10.1007/s00792-011-0423-y</t>
  </si>
  <si>
    <t>904GM</t>
  </si>
  <si>
    <t>WOS:000301182300001</t>
  </si>
  <si>
    <t>Mou, SL; Zhang, XW; Ye, NH; Dong, MT; Liang, CW; Liang, Q; Miao, JL; Xu, D; Zheng, Z</t>
  </si>
  <si>
    <t>Mou, Shanli; Zhang, Xiaowen; Ye, Naihao; Dong, Meitao; Liang, Chengwei; Liang, Qiang; Miao, Jinlai; Xu, Dong; Zheng, Zhou</t>
  </si>
  <si>
    <t>Cloning and expression analysis of two different LhcSR genes involved in stress adaptation in an Antarctic microalga, Chlamydomonas sp ICE-L</t>
  </si>
  <si>
    <t>Chlamydomonas sp ICE-L; LhcSR genes; Cloning; QRT-PCR; Expression analysis</t>
  </si>
  <si>
    <t>CYCLOTELLA-CRYPTICA BACILLARIOPHYCEAE; CARBON-CONCENTRATING MECHANISM; LIGHT; COMPLEX; PROTEIN; PHOTOSYNTHESIS; ACCLIMATION; REINHARDTII; EVOLUTION; A/B</t>
  </si>
  <si>
    <t>Light-harvesting complexes (LHCs) play essential roles in light capture and photoprotection. Although the functional diversity of individual LHCs in many plants has been well described, knowledge regarding the extent of this family in the majority of green algal groups is still limited. In this study, two different LhcSR genes, LhcSR1 and LhcSR2 from Chlamydomonas sp. ICE-L, were cloned from the total cDNA and characterized in response to high light (HL), low light (LL), UV-B radiation and high salinity. The lower F (v)/F (m) as well as the associated induction of non-photochemical quenching (NPQ), observed under those conditions, indicated that Chlamydomonas sp. ICE-L was under stress. Under HL stress, the expression of LhcSR1 and LhcSR2 increased rapidly from 0.5 h HL and reached a maximum after 3 h. In LL, LhcSR2 expression was up-regulated during the first 0.5 h after which it decreased, while the expression of LhcSR1 decreased gradually from the beginning of the experiment. In addition, the transcript levels of LhcSR1 and LhcSR2 increased under UV-B radiation and high salinity. These results showed that both genes were inducible and up-regulated under stress conditions. A higher NPQ was accompanied by the up-regulated LhcSR genes, suggesting that LhcSR plays a role in thermal energy dissipation. Overall, the results presented here suggest that LhcSR1 and LhcSR2 play a primary role in photoprotection in Chlamydomonas sp. ICE-L under stress conditions and provide an important basis for investigation of the adaptation mechanism of LhcSR in Antarctic green algae.</t>
  </si>
  <si>
    <t>[Mou, Shanli; Liang, Qiang; Miao, Jinlai; Zheng, Zhou] State Ocean Adm, Inst Oceanog 1, Key Lab Marine Bioact Subst, Qingdao 266061, Peoples R China; [Zhang, Xiaowen; Ye, Naihao; Xu, Dong] Chinese Acad Fishery Sci, Yellow Sea Fisheries Res Inst, Qingdao 266071, Peoples R China; [Dong, Meitao] Qingdao Agr Univ, Qingdao 266109, Peoples R China; [Liang, Chengwei] Qingdao Univ Sci &amp; Technol, Qingdao 266042, Peoples R China</t>
  </si>
  <si>
    <t>First Institute of Oceanography, Ministry of Natural Resources; Chinese Academy of Fishery Sciences; Yellow Sea Fisheries Research Institute, CAFS; Qingdao Agricultural University; Qingdao University of Science &amp; Technology</t>
  </si>
  <si>
    <t>Zheng, Z (corresponding author), State Ocean Adm, Inst Oceanog 1, Key Lab Marine Bioact Subst, Qingdao 266061, Peoples R China.</t>
  </si>
  <si>
    <t>yenh@ysfri.ac.cn; zhengzhou@fio.org.cn</t>
  </si>
  <si>
    <t>Zheng, Zhou/JJD-0602-2023</t>
  </si>
  <si>
    <t>National Natural Science Foundation of China [40876102, 40876107]; National Science &amp; Technology Pillar Program [2008BAC49B04]; National special fund for transgenic project [2009ZX08009-019B]; Natural Science Foundation of Shandong Province [2009ZRA02075]; Qingdao Municipal Science and Technology plan project [09-2-5-8-hy, 10-4-1-13-hy]; Hi-Tech Research and Development Program (863) of China [2009AA10Z106]</t>
  </si>
  <si>
    <t>National Natural Science Foundation of China(National Natural Science Foundation of China (NSFC)); National Science &amp; Technology Pillar Program; National special fund for transgenic project; Natural Science Foundation of Shandong Province(Natural Science Foundation of Shandong Province); Qingdao Municipal Science and Technology plan project; Hi-Tech Research and Development Program (863) of China(National High Technology Research and Development Program of China)</t>
  </si>
  <si>
    <t>This work was supported by the National Natural Science Foundation of China (40876102 and 40876107), the National Science &amp; Technology Pillar Program (2008BAC49B04), National special fund for transgenic project (2009ZX08009-019B), Natural Science Foundation of Shandong Province (2009ZRA02075), Qingdao Municipal Science and Technology plan project (09-2-5-8-hy; 10-4-1-13-hy) and the Hi-Tech Research and Development Program (863) of China (2009AA10Z106).</t>
  </si>
  <si>
    <t>10.1007/s00792-011-0419-7</t>
  </si>
  <si>
    <t>WOS:000301182300003</t>
  </si>
  <si>
    <t>Yan, PY; Hou, SG; Chen, T; Ma, XJ; Zhang, SH</t>
  </si>
  <si>
    <t>Yan, Peiying; Hou, Shugui; Chen, Tuo; Ma, Xiaojun; Zhang, Shuhong</t>
  </si>
  <si>
    <t>Culturable bacteria isolated from snow cores along the 1300 km traverse from Zhongshan Station to Dome A, East Antarctica</t>
  </si>
  <si>
    <t>Culturable bacteria; Abundance; Community composition; Snow cover; East Antarctica</t>
  </si>
  <si>
    <t>GLACIER; ICE; DIVERSITY; ACCUMULATION; RADIATION; COMMUNITY; PATTERNS; COVER; ALGAE; LAKE</t>
  </si>
  <si>
    <t>The abundance and community composition of culturable bacteria in four snow cores along the 1300 km traverse from Zhongshan Station to Dome A, East Antarctica, were investigated through the combination of liquid and solid media and small subunit 16S rRNA sequences. Under aerobic cultivation conditions, the average concentrations of bacterial colonies from each snow core varied from 0.008 to 0.32 CFU mL(-1). A total of 37 and 15 isolates with different morphologic characteristics were recovered from solid and liquid media PYGV, respectively. The phylogenetic analysis of 14 representatives with different ARDRA patterns from RFLP showed that all the isolates were affiliated with five phylogenetic groups: Firmicutes, Actinobacteria, Alphaproteobacteria, Gammaproteobacteria and Bacteroidetes. Actinobacteria represented the largest cluster with 43% of strains, and these strains exhibited unique phenotypic properties. The community compositions of culturable bacteria in the four snow cores were distinctly different from each other and the concentrations and community sizes of culturable bacteria along the traverse decreased with increases of latitude, altitude and distance from coast, which likely reflected the different bacterial sources and biogeographies under the different regional climate conditions in the snow cover of East Antarctica.</t>
  </si>
  <si>
    <t>[Yan, Peiying; Hou, Shugui; Chen, Tuo] Chinese Acad Sci, State Key Lab Cryospher Sci, Cold &amp; Arid Reg Environm &amp; Engn Res Inst, Lanzhou 730000, Peoples R China; [Hou, Shugui] Nanjing Univ, Sch Geog &amp; Oceanog Sci, Nanjing 210093, Jiangsu, Peoples R China; [Ma, Xiaojun] Lanzhou Univ, Sch Life Sci, Lanzhou 730000, Peoples R China; [Zhang, Shuhong] Shangqiu Normal Univ, Sch Life Sci, Shangqiu 476000, Peoples R China</t>
  </si>
  <si>
    <t>Chinese Academy of Sciences; Cold &amp; Arid Regions Environmental &amp; Engineering Research Institute, CAS; Nanjing University; Lanzhou University; Shangqiu Normal University</t>
  </si>
  <si>
    <t>Hou, SG (corresponding author), Chinese Acad Sci, State Key Lab Cryospher Sci, Cold &amp; Arid Reg Environm &amp; Engn Res Inst, Lanzhou 730000, Peoples R China.</t>
  </si>
  <si>
    <t>shugui@lzb.ac.cn</t>
  </si>
  <si>
    <t>Hou, Shugui/J-3651-2015</t>
  </si>
  <si>
    <t>Hou, Shugui/0000-0002-0905-3542</t>
  </si>
  <si>
    <t>National Natural Science Foundation of China [40825017, 41171052, 40576001]; Nanjing University; Jiangsu Province</t>
  </si>
  <si>
    <t>National Natural Science Foundation of China(National Natural Science Foundation of China (NSFC)); Nanjing University(Nanjing University); Jiangsu Province</t>
  </si>
  <si>
    <t>This work was supported by National Natural Science Foundation of China (Grant Nos. 40825017, 41171052 and 40576001), Nanjing University and Jiangsu Province. Thanks to the 21st and 26th Chinese Antarctic Research Expedition for field support.</t>
  </si>
  <si>
    <t>10.1007/s00792-012-0434-3</t>
  </si>
  <si>
    <t>WOS:000301182300017</t>
  </si>
  <si>
    <t>Candy, SG; Nowara, GB; Welsford, DC; McKinlay, JP</t>
  </si>
  <si>
    <t>Candy, Steven G.; Nowara, Gabrielle B.; Welsford, Dirk C.; McKinlay, John P.</t>
  </si>
  <si>
    <t>Estimating an ageing error matrix for Patagonian toothfish (Dissostichus eleginoides) otoliths using between-reader integer errors, readability scores, and continuation ratio models</t>
  </si>
  <si>
    <t>FISHERIES RESEARCH</t>
  </si>
  <si>
    <t>Catch-at-age data; Ageing error matrix; Integer ageing errors, Otolith readability</t>
  </si>
  <si>
    <t>REGRESSION-MODELS; AGE VALIDATION; AT-AGE; MORTALITY; GROWTH; HEARD</t>
  </si>
  <si>
    <t>Integrated assessments that use catch-at-age or abundance-at-age data for model calibration require an ageing error matrix as input in order to account for imprecision in age determinations from counts of annual growth rings in otoliths. A new method of estimating the ageing error matrix is described and demonstrated using repeat readings by 4 readers of a set of 203 reference otoliths from Patagonian toothfish (Dissostichus eleginoides). Errors were defined as the nearest integer value deviations, denoted as integer errors (IEs), from the mean age for an individual otolith. Frequencies of random IEs, treated as classes, depend on the readability score of the otolith and its average age and were modelled in two stages. In the first stage the frequency of the absolute value of IE, the AIE, considered as 0, 1, 2, 3, 4, 5+ year classes for each of 4 readability classes and 7 age classes for ages up to 28 years were modelled using continuation ratios in order to predict proportions in AIE classes. Proportion in the AIE 1 year error class decreased relative to the zero class as readability improved but increased with age. To model any asymmetry in IEs, a binomial/logistic model of the proportion of non-zero IEs that were negative was fitted. The construction of the ageing error matrix combines the modelled probabilities for AIE and negative IE while incorporating logical constraints. This approach differs from those used previously by accounting for the readability of otoliths and any asymmetry in signed integer ageing errors. Crown Copyright (c) 2011 Published by Elsevier B.V. All rights reserved.</t>
  </si>
  <si>
    <t>[Candy, Steven G.; Nowara, Gabrielle B.; Welsford, Dirk C.; McKinlay, John P.] Australian Fed Govt, Dept Sustainabil Environm Water Populat &amp; Communi, Australian Antarctic Div, Kingston, Tas 7050, Australia</t>
  </si>
  <si>
    <t>Candy, SG (corresponding author), Australian Fed Govt, Dept Sustainabil Environm Water Populat &amp; Communi, Australian Antarctic Div, 203 Channel Highway, Kingston, Tas 7050, Australia.</t>
  </si>
  <si>
    <t>Steve.Candy@aad.gov.au; Gabrielle.Nowara@aad.gov.au; Dirk.Welsford@aad.gov.au; John.McKinlay@aad.gov.au</t>
  </si>
  <si>
    <t>Welsford, Dirk/0000-0001-5379-5052; McKinlay, John/0000-0003-4858-2604</t>
  </si>
  <si>
    <t>Fisheries Research and Development Corporation [2008/046]; Austral Fisheries and Petuna Sealord; Australian Fisheries Management Authority</t>
  </si>
  <si>
    <t>Fisheries Research and Development Corporation; Austral Fisheries and Petuna Sealord; Australian Fisheries Management Authority</t>
  </si>
  <si>
    <t>This study was part funded through the Fisheries Research and Development Corporation's Tactical Research Fund (Project 2008/046), Austral Fisheries and Petuna Sealord, and the Australian Fisheries Management Authority.</t>
  </si>
  <si>
    <t>0165-7836</t>
  </si>
  <si>
    <t>1872-6763</t>
  </si>
  <si>
    <t>FISH RES</t>
  </si>
  <si>
    <t>Fish Res.</t>
  </si>
  <si>
    <t>10.1016/j.fishres.2011.11.005</t>
  </si>
  <si>
    <t>904NG</t>
  </si>
  <si>
    <t>WOS:000301203900002</t>
  </si>
  <si>
    <t>Jeffery, ML; Poulsen, CJ; Ehlers, TA</t>
  </si>
  <si>
    <t>Jeffery, M. Louise; Poulsen, Christopher J.; Ehlers, Todd A.</t>
  </si>
  <si>
    <t>Impacts of Cenozoic global cooling, surface uplift, and an inland seaway on South American paleoclimate and precipitation δ18O</t>
  </si>
  <si>
    <t>GEOLOGICAL SOCIETY OF AMERICA BULLETIN</t>
  </si>
  <si>
    <t>CARBON-DIOXIDE CONCENTRATIONS; FORELAND BASIN DEVELOPMENT; STABLE-ISOTOPE EVIDENCE; LATE MIOCENE RISE; FOLD-THRUST BELT; MARINE INCURSIONS; ANDEAN PLATEAU; CLIMATE-CHANGE; SEDIMENTOLOGICAL EVIDENCE; ICE-SHEET</t>
  </si>
  <si>
    <t>Stable isotope records of precipitation delta O-18 (delta O-18(prec)) have been used as paleoclimate and paleoelevation archives of orogens. However, interpretation of these records is limited by knowledge of how delta O-18(prec) responds to changes in global and regional climate during mountain-building events. In this study the influence of atmospheric CO2 levels, the extent of the Antarctic ice sheet, changes in Andean surface elevation, and the presence of the South American inland seaway on climate and delta O-18(prec) in South America are quantified using the GENESIS v3 atmospheric general circulation model with isotope-tracking capabilities. Results are presented in the context of Cenozoic South American climate and delta O-18(prec) changes. More specifically, we find: (I) Precipitation rates in the Andes are sensitive to Andean surface elevation, the seaway and, to a lesser extent, CO2 levels. Increasing Andean elevations and the presence of a seaway both cause large increases in precipitation, but in different parts of the Andes. The growth of the Antarctic ice sheet is found to have a small influence on South American precipitation. (2) The stable isotopic composition of precipitation is sensitive to all of the parameters investigated. An increase in delta(18)Opr, of up to 8 parts per thousand is found in simulations with higher atmospheric CO2. In agreement with previous studies, delta O-18(prec) decreases with increasing Andean elevation by an amount greater than that predicted by the modern adiabatic lapse rate. Furthermore, the presence of an inland seaway causes a decrease in delta O-18(prec) of I-8 parts per thousand in the northern and central Andes. The amount of depletion is dependent on the isotopic composition of the seaway. Simulations without the Antarctic ice sheet result in delta O-18(prec) that is 0-3 parts per thousand lower than the modern. Finally, time-specific simulations for the Miocene and Eocene show that delta O-18(prec) has decreased during the Cenozoic and that local geographical gradients of delta O-18(prec), have increased, particularly in regions of high modern elevation. We demonstrate that in addition to Andean uplift and associated climate change, CO2 levels and an inland seaway are likely to have influenced delta O-18 records from South America. Consideration of these global and paleogeographic changes is necessary when interpreting paleoclimate or paleoelevation from stable isotope records of delta O-18(prec).</t>
  </si>
  <si>
    <t>[Jeffery, M. Louise; Poulsen, Christopher J.; Ehlers, Todd A.] Univ Michigan, Dept Earth &amp; Environm Sci, Ann Arbor, MI 48109 USA; [Ehlers, Todd A.] Univ Tubingen, Dept Geosci, D-72074 Tubingen, Germany</t>
  </si>
  <si>
    <t>University of Michigan System; University of Michigan; Eberhard Karls University of Tubingen</t>
  </si>
  <si>
    <t>Jeffery, ML (corresponding author), Univ Michigan, Dept Earth &amp; Environm Sci, Ann Arbor, MI 48109 USA.</t>
  </si>
  <si>
    <t>louisej@umich.edu</t>
  </si>
  <si>
    <t>Ehlers, Todd A/A-9582-2012; Poulsen, Christopher J/C-6213-2009</t>
  </si>
  <si>
    <t>Ehlers, Todd A/0000-0001-9436-0303; Jeffery, Louise/0000-0002-3584-8111</t>
  </si>
  <si>
    <t>National Science Foundation [0738822, 0907817]; University of Michigan's Graham Environmental Sustainability Institute; University of Michigan; Directorate For Geosciences [0907817, 0738822] Funding Source: National Science Foundation; Division Of Earth Sciences [0738822, 0907817] Funding Source: National Science Foundation</t>
  </si>
  <si>
    <t>National Science Foundation(National Science Foundation (NSF)); University of Michigan's Graham Environmental Sustainability Institute; University of Michigan(University of Michigan System); Directorate For Geosciences(National Science Foundation (NSF)NSF - Directorate for Geosciences (GEO)); Division Of Earth Sciences(National Science Foundation (NSF)NSF - Directorate for Geosciences (GEO))</t>
  </si>
  <si>
    <t>This work was funded by grants to C.J.P. and T.A.E. from National Science Foundation (EAR awards 0738822 and 0907817) and the University of Michigan's Graham Environmental Sustainability Institute. M.L.J. was also supported by a University of Michigan, Rackham International Student Fellowship. National Centers for Environmental Prediction (NCEP) reanalysis and the Climate Prediction Center (CPC) Merged Analysis of Precipitation (CMAP) data provided by the National Oceanic and Atmospheric Association (NOAA)-Office of Oceanic and Atmospheric Research (OAR)-Earth System Research Laboratory (ESRL)-Physical Sciences Division (PSI)), Boulder, Colorado, USA, from their Web site at http://www.esrl.noaa.gov/psdhThis research benefited from discussions with Nadja Insel. We are grateful for comments by Page Chamberlain and an anonymous reviewer that helped to improve this manuscript.</t>
  </si>
  <si>
    <t>0016-7606</t>
  </si>
  <si>
    <t>1943-2674</t>
  </si>
  <si>
    <t>GEOL SOC AM BULL</t>
  </si>
  <si>
    <t>Geol. Soc. Am. Bull.</t>
  </si>
  <si>
    <t>10.1130/B30480.1</t>
  </si>
  <si>
    <t>900XW</t>
  </si>
  <si>
    <t>WOS:000300926500005</t>
  </si>
  <si>
    <t>Rosenfelder, N; Vetter, W</t>
  </si>
  <si>
    <t>Rosenfelder, Natalie; Vetter, Walter</t>
  </si>
  <si>
    <t>Stable carbon isotope composition (δ13C values) of the halogenated monoterpene MHC-1 as found in fish and seaweed from different marine regions</t>
  </si>
  <si>
    <t>JOURNAL OF ENVIRONMENTAL MONITORING</t>
  </si>
  <si>
    <t>RED ALGA PLOCAMIUM; NATURAL-PRODUCTS; GAS-CHROMATOGRAPHY; CARTILAGINEUM; DISCRIMINATION; DELTA-N-15; NITROGEN</t>
  </si>
  <si>
    <t>Six samples of the red seaweed Plocamium cartilagineum (two both from Helgoland/Germany, Ireland, and the Antarctic) were analyzed by stable isotope analysis. The bulk delta C-13 values (-31 to -38 parts per thousand) confirmed that this seaweed was exceptionally highly depleted in C-13. The delta N-15 values were in the reported range for algae, and a moderate correlation between C-13 and N-15 content was observed. These measurements indicated that the season had a higher impact on the delta C-13 values than the location. Compound specific carbon isotope analysis by gas chromatography coupled with isotope ratio mass spectrometry (GC-IRMS) was used to verify an even stronger depletion in C-13 in the halogenated natural product (HNP) MHC-1 isolated from the seaweed samples. The delta C-13 values of MHC-1 in the range -42 to -45 parts per thousand are the lightest determined to date for polyhalogenated compounds in the molecular mass range between 250 and 800 Da. MHC-1 was also isolated from two fish samples. The much higher C-13 content in MHC-1 from the fish samples (-35.6 to -39.2 parts per thousand) indicated carbon isotope enrichment due to partial transformation. In processes such as the reductive debromination, the partial transformation is associated with an increase in the C-13 content in the remaining non-metabolized share of a compound. Stable isotope analysis may thus provide insights into the degree of transformation of HNPs in environmental samples.</t>
  </si>
  <si>
    <t>[Rosenfelder, Natalie; Vetter, Walter] Univ Hohenheim, Inst Food Chem 170B, D-70599 Stuttgart, Germany</t>
  </si>
  <si>
    <t>University Hohenheim</t>
  </si>
  <si>
    <t>Vetter, W (corresponding author), Univ Hohenheim, Inst Food Chem 170B, Garbenstr 28, D-70599 Stuttgart, Germany.</t>
  </si>
  <si>
    <t>walter.vetter@uni-hohenheim.de</t>
  </si>
  <si>
    <t>ROYAL SOC CHEMISTRY</t>
  </si>
  <si>
    <t>THOMAS GRAHAM HOUSE, SCIENCE PARK, MILTON RD, CAMBRIDGE CB4 0WF, CAMBS, ENGLAND</t>
  </si>
  <si>
    <t>1464-0325</t>
  </si>
  <si>
    <t>1464-0333</t>
  </si>
  <si>
    <t>J ENVIRON MONITOR</t>
  </si>
  <si>
    <t>J. Environ. Monit.</t>
  </si>
  <si>
    <t>10.1039/c2em10838k</t>
  </si>
  <si>
    <t>Chemistry, Analytical; Environmental Sciences</t>
  </si>
  <si>
    <t>Chemistry; Environmental Sciences &amp; Ecology</t>
  </si>
  <si>
    <t>900GP</t>
  </si>
  <si>
    <t>WOS:000300875100012</t>
  </si>
  <si>
    <t>Ali-Nehari, A; Kim, SB; Lee, YB; Lee, HY; Chun, BS</t>
  </si>
  <si>
    <t>Ali-Nehari, Abdelkader; Kim, Seon-Bong; Lee, Yang-Bong; Lee, Hye-Youn; Chun, Byung-Soo</t>
  </si>
  <si>
    <t>Characterization of oil including astaxanthin extracted from krill (Euphausia superba) using supercritical carbon dioxide and organic solvent as comparative method</t>
  </si>
  <si>
    <t>KOREAN JOURNAL OF CHEMICAL ENGINEERING</t>
  </si>
  <si>
    <t>Krill; Oil; Astaxanthin; Supercritical Carbon Dioxide Extraction; Hexane</t>
  </si>
  <si>
    <t>FREE FATTY-ACIDS; FLUID EXTRACTION; HAEMATOCOCCUS-PLUVIALIS; ANTARCTIC KRILL; CAROTENOIDS; COSOLVENT; STABILITY; MODEL; FISH; CO2</t>
  </si>
  <si>
    <t>Krill oil including astaxanthin was extracted using supercritical CO2 and hexane. The effects of different parameters such as pressure (15 to 25 MPa), temperature (35 to 45 degrees C), and extraction time, were investigated. The flow rate of CO2 (22 gmin(-1)) was constant for the entire extraction period of 2.5 h. The maximum oil yield was found at higher extraction temperature and pressure. The oil obtained by SC-CO2 extraction contained a high percentage of polyunsaturated fatty acids, especially EPA and DHA. The acidity and peroxide value of krill oil obtained by SC-CO2 extraction were lower than that of the oil obtained by hexane. The SC-CO2 extracted oil showed more stability than the oil obtained by hexane extraction. The amount of astaxanthin in krill oil was determined by HPLC and compared at different extraction conditions. The maximum yield of astaxanthin was found in krill oil extracted at 25 MPa and 45 degrees C.</t>
  </si>
  <si>
    <t>[Kim, Seon-Bong; Lee, Yang-Bong; Lee, Hye-Youn; Chun, Byung-Soo] Pukyong Natl Univ, Dept Food Sci &amp; Technol, Fac Fisheries Sci, Pusan 608737, South Korea; [Ali-Nehari, Abdelkader] Pukyong Natl Univ, Int Program Fisheries Sci, Fac Fisheries Sci, Pusan 608737, South Korea</t>
  </si>
  <si>
    <t>Pukyong National University; Pukyong National University</t>
  </si>
  <si>
    <t>Chun, BS (corresponding author), Pukyong Natl Univ, Dept Food Sci &amp; Technol, Fac Fisheries Sci, 599-1,Daeyeon 3Dong, Pusan 608737, South Korea.</t>
  </si>
  <si>
    <t>bschun@pknu.ac.kr</t>
  </si>
  <si>
    <t>Ali-nehari, Abdelkader/AAD-8829-2019</t>
  </si>
  <si>
    <t>Chun, Byung-Soo/0000-0002-1682-5264; ALI-NEHARI, Abdelkader/0000-0003-1837-832X</t>
  </si>
  <si>
    <t>Ministry for Food, Agriculture, Forestry and Fisheries, Republic of Korea</t>
  </si>
  <si>
    <t>This research was supported by the Technology Development Program for Fisheries, Ministry for Food, Agriculture, Forestry and Fisheries, Republic of Korea.</t>
  </si>
  <si>
    <t>KOREAN INSTITUTE CHEMICAL ENGINEERS</t>
  </si>
  <si>
    <t>SEOUL</t>
  </si>
  <si>
    <t>F.5, 119, ANAM-RO, SEONGBUK-GU, SEOUL 136-075, SOUTH KOREA</t>
  </si>
  <si>
    <t>0256-1115</t>
  </si>
  <si>
    <t>KOREAN J CHEM ENG</t>
  </si>
  <si>
    <t>Korean J. Chem. Eng.</t>
  </si>
  <si>
    <t>10.1007/s11814-011-0186-2</t>
  </si>
  <si>
    <t>Chemistry, Multidisciplinary; Engineering, Chemical</t>
  </si>
  <si>
    <t>Chemistry; Engineering</t>
  </si>
  <si>
    <t>904BV</t>
  </si>
  <si>
    <t>WOS:000301169500008</t>
  </si>
  <si>
    <t>Lau, YT; Parker, SK; Near, TJ; Detrich, HW</t>
  </si>
  <si>
    <t>Lau, Yuk-Ting; Parker, Sandra K.; Near, Thomas J.; Detrich, H. William, III</t>
  </si>
  <si>
    <t>Evolution and Function of the Globin Intergenic Regulatory Regions of the Antarctic Dragonfishes (Notothenioidei: Bathydraconidae)</t>
  </si>
  <si>
    <t>MOLECULAR BIOLOGY AND EVOLUTION</t>
  </si>
  <si>
    <t>adaptive evolution; Notothenioidei; Bathydraconidae; dragonfish; Nototheniidae; notothen; alpha; beta globin intergenic regulatory region</t>
  </si>
  <si>
    <t>GENOMIC ORGANIZATION; ADAPTIVE EVOLUTION; GENE-EXPRESSION; HEMOGLOBIN; FISH; MITOCHONDRIAL; TRANSCRIPTION; CONSTRUCTION; TELEOSTEI; REMNANTS</t>
  </si>
  <si>
    <t>As the Southern Ocean cooled to -1.8 degrees C over the past 40 My, the teleostean clade Notothenioidei diversified and, under reduced selection pressure for an oxygen-transporting apparatus, became less reliant on hemoglobin and red blood cells. At the extreme of this trend, the crown group of Antarctic icefishes (Channichthyidae) lost both components of oxygen transport. Under the decreased selection scenario, we hypothesized that the Antarctic dragonfishes (Bathydraconidae, the red-blooded sister clade to the icefishes) evolved lower blood hemoglobin concentrations because their globin gene complexes (alpha- and beta-globin gene pairs linked by a regulatory intergene) transcribe globin mRNAs less effectively than those of basal notothenioids (e.g., the Nototheniidae [notothens]). To test our hypothesis, we 1) sequenced the alpha/beta-intergenes of the adult globin complexes of three notothen and eight dragonfish species and 2) measured globin transcript levels in representative species from each group. The typical nototheniid intergene was similar to 3-4 kb in length. The bathydraconid intergenes resolved into three subclasses (long [3.8 kb], intermediate [3.0 kb], and short [1.5-2.3 kb]) that corresponded to the three subclades proposed for the taxon. Although they varied in length due to indels, the three notothen and eight dragonfish intergenes contained a conserved similar to 90-nt element that we have previously shown to be required for globin gene transcription. Using the quantitative polymerase chain reaction, we found that globin mRNA levels in red cells from one notothen species and from one species of each dragonfish subclade were equivalent statistically. Thus, our results indicate that the bathydraconids have evolved adult globin loci whose regulatory intergenes tend to be shorter than those of the more basal nototheniids yet are equivalent in transcriptional efficacy. Their low blood hemoglobin concentrations are most likely due to reduction in hematocrit.</t>
  </si>
  <si>
    <t>[Lau, Yuk-Ting; Parker, Sandra K.; Detrich, H. William, III] Northeastern Univ, Dept Biol, Boston, MA 02115 USA; [Near, Thomas J.] Yale Univ, Dept Ecol &amp; Evolutionary Biol, New Haven, CT 06520 USA</t>
  </si>
  <si>
    <t>Northeastern University; Yale University</t>
  </si>
  <si>
    <t>Detrich, HW (corresponding author), Northeastern Univ, Dept Biol, Boston, MA 02115 USA.</t>
  </si>
  <si>
    <t>iceman@neu.edu</t>
  </si>
  <si>
    <t>Near, Thomas J./K-1204-2012</t>
  </si>
  <si>
    <t>Near, Thomas J./0000-0002-7398-6670</t>
  </si>
  <si>
    <t>National Science Foundation [OPP-0132032, OPP-0336932, ANT-0635470, ANT-0944517]; Directorate For Geosciences; Office of Polar Programs (OPP) [0944517] Funding Source: National Science Foundation</t>
  </si>
  <si>
    <t>National Science Foundation(National Science Foundation (NSF)); Directorate For Geosciences; Office of Polar Programs (OPP)(National Science Foundation (NSF)NSF - Directorate for Geosciences (GEO))</t>
  </si>
  <si>
    <t>We gratefully acknowledge the logistic support provided to our Antarctic field research program, performed at Palmer Station and on the seas of the Palmer Archipelago, by the staff of the Office of Polar Programs of the National Science Foundation, by the personnel of Raytheon Polar Services Company, and by the captains and crews of the ARSV Laurence M. Gould and the RVIB Nathaniel B. Palmer (ICEFISH 2004 Cruise, www.icefish.neu.edu). We also thank Christopher D. Jones and the US Antarctic Marine Living Resources Program for providing additional support of our collection of specimens from the South Shetland Islands and the officers and crew of the R/V Yuzhmorgeologiya for logistic field support. Dr Christina Cheng (University of Illinois, Urbana) generously provided the D. mawsoni genomic DNA library in Lambda FIX II. This work was supported by the National Science Foundation (OPP-0132032, OPP-0336932, ANT-0635470 and ANT-0944517 to H.W.D.).</t>
  </si>
  <si>
    <t>0737-4038</t>
  </si>
  <si>
    <t>1537-1719</t>
  </si>
  <si>
    <t>MOL BIOL EVOL</t>
  </si>
  <si>
    <t>Mol. Biol. Evol.</t>
  </si>
  <si>
    <t>10.1093/molbev/msr278</t>
  </si>
  <si>
    <t>Biochemistry &amp; Molecular Biology; Evolutionary Biology; Genetics &amp; Heredity</t>
  </si>
  <si>
    <t>895LD</t>
  </si>
  <si>
    <t>WOS:000300496800017</t>
  </si>
  <si>
    <t>Ramos, M; de Pablo, MA; Sebastian, E; Armiens, C; Gómez-Elvira, J</t>
  </si>
  <si>
    <t>Ramos, M.; de Pablo, M. A.; Sebastian, E.; Armiens, C.; Gomez-Elvira, J.</t>
  </si>
  <si>
    <t>Temperature gradient distribution in permafrost active layer, using a prototype of the ground temperature sensor (REMS-MSL) on deception island (Antarctica)</t>
  </si>
  <si>
    <t>COLD REGIONS SCIENCE AND TECHNOLOGY</t>
  </si>
  <si>
    <t>Permafrost; Active layer; Maritime Antarctica; IR temperature sensor</t>
  </si>
  <si>
    <t>MARS; POLAR</t>
  </si>
  <si>
    <t>Deception Island, an active volcano on South Shetland Archipelago of Antarctica (62 degrees 43'S, 60 degrees 57'W), is a cold region with harsh, remote and hostile environmental conditions, what could be considered in most aspects such an analog of the Martian surface. The volcanic materials on the surface, the permafrost and active layer existence, and the cold-climate conditions made this region of the Earth a perfect site to test instruments for the future missions to Mars. This is the case of the Ground Temperature Sensor (GTS), based on an infrared radiation (IR) sensor, included into the Rover Environmental Monitoring Station (REMS) instrument on board of the Mars Science Laboratory (MSL) mission of NASA, with that it will measure the Mars surface temperature. We conducted a summer Antarctic scientific campaign in 2009 on Deception Island in order to test the GTS instrument in the field. That device was placed near other already installed instruments and used to monitor permafrost and active layer thermal evolutions: air, surface and ground temperatures, as well as short and long wave radiation were registered. In brief the main objectives are (1) test in the field and improve the GTS device prototype, and (2) develop a methodology to derive soil gradient temperature in the active layer zone; which could be applied in the MSL mission. With the obtained data during 2009 campaign, we (a) compared temperatures from GTS versus our Pt100 contact temperature sensors to analyze GTS response accuracy; (b) calculated the active layer thickness using the sinusoidal heat transfer conduction model from soil surface temperature records; and (c) calculated the unfrozen active layer thermal diffusivity. The main results show that the degree of adjustment between the temperature measurements by to Pt100 contact temperature sensors and the CGT-REMS instrument is high, with a mean error value of below +/- 0.6 degrees C although it could reach values of +/- 5.0 degrees C due to the heating of the instrument case due to the sun. On the other hand, the calculated active layer thickness was consistent with the direct measures from both; our temperature probes placed in shallow boreholes and mechanical probing. Then, using soil surface temperature data from GTS instrument will be able to establish indirectly the active layer thickness and its thermal structure, what will have important applications for the MSL mission to Mars. (C) 2011 Elsevier B.V. All rights reserved.</t>
  </si>
  <si>
    <t>[Ramos, M.] Univ Alcala de Henares, Dept Phys, Alcala De Henares 28871, Spain; [de Pablo, M. A.] Univ Alcala de Henares, Dept Geol, Alcala De Henares 28871, Spain; [Sebastian, E.; Armiens, C.; Gomez-Elvira, J.] Ctr Astrobiol CSIC INTA, Madrid 28850, Spain</t>
  </si>
  <si>
    <t>Universidad de Alcala; Universidad de Alcala; Consejo Superior de Investigaciones Cientificas (CSIC); CSIC - Centro de Astrobiologia (INTA)</t>
  </si>
  <si>
    <t>Ramos, M (corresponding author), Univ Alcala de Henares, Dept Phys, Alcala De Henares 28871, Spain.</t>
  </si>
  <si>
    <t>miguel.ramos@uah.es; miguelangel.depablo@uah.es; sebastianme@inta.es; armiensac@inta.es; gomezej@inta.es</t>
  </si>
  <si>
    <t>Martinez, Eduardo Sebastian/T-1793-2017; Ramos, Miguel/K-2230-2014; Martinez, Eduardo/IQW-9071-2023; De Pablo, Miguel Ángel/J-6442-2014; Martinez, Eduardo/JBJ-8214-2023; Gomez-Elvira, Javier/K-5829-2014</t>
  </si>
  <si>
    <t>Ramos, Miguel/0000-0003-3648-6818; De Pablo, Miguel Ángel/0000-0002-4496-2741; Sebastian Martinez, Eduardo/0000-0002-8233-3604; Gomez-Elvira, Javier/0000-0002-9068-9846</t>
  </si>
  <si>
    <t>PERMAPLANET [CTM2009-10165]; REMS [EPS2007-65862]</t>
  </si>
  <si>
    <t>PERMAPLANET; REMS</t>
  </si>
  <si>
    <t>The research was supported by Spanish Antarctic Program by the PERMAPLANET project CTM2009-10165 and REMS project EPS2007-65862. The authors are grateful for the helpful comments of the anonymous reviewers and of the editor on an earlier version of the manuscript.</t>
  </si>
  <si>
    <t>0165-232X</t>
  </si>
  <si>
    <t>1872-7441</t>
  </si>
  <si>
    <t>COLD REG SCI TECHNOL</t>
  </si>
  <si>
    <t>Cold Reg. Sci. Tech.</t>
  </si>
  <si>
    <t>10.1016/j.coldregions.2011.10.012</t>
  </si>
  <si>
    <t>Engineering, Environmental; Engineering, Civil; Geosciences, Multidisciplinary</t>
  </si>
  <si>
    <t>Engineering; Geology</t>
  </si>
  <si>
    <t>902DX</t>
  </si>
  <si>
    <t>WOS:000301019900004</t>
  </si>
  <si>
    <t>Juen, A; Hogendoorn, K; Ma, G; Schmidt, O; Keller, MA</t>
  </si>
  <si>
    <t>Juen, Anita; Hogendoorn, Katja; Ma, Gang; Schmidt, Otto; Keller, Michael A.</t>
  </si>
  <si>
    <t>Analysing the diets of invertebrate predators using terminal restriction fragments</t>
  </si>
  <si>
    <t>JOURNAL OF PEST SCIENCE</t>
  </si>
  <si>
    <t>tRFLP; Molecular diagnostic; Gut content analysis; Trophic interactions; Neuroptera</t>
  </si>
  <si>
    <t>RIBOSOMAL-RNA GENES; POLYMERASE-CHAIN-REACTION; GUT-CONTENT ANALYSIS; POLYMORPHISM T-RFLP; INTRAGUILD PREDATION; MOLECULAR APPROACH; COMMUNITY STRUCTURE; EUPHAUSIA-SUPERBA; ALTERNATIVE PREY; ANTARCTIC KRILL</t>
  </si>
  <si>
    <t>Analysing food webs in agricultural habitats is essential for the development of natural control strategies. Several molecular tools to investigate trophic interactions on a species-specific level have been developed in recent years and their advantages and limitations have been discussed. With this study we introduce another tool, terminal restriction fragment length polymorphism (tRFLP). Generalist predators found in Australian brassica crops, their prey and abundant parasitoids were chosen as a model system to adapt and evaluate the tRFLP approach. Using general primers and selecting six restriction enzymes, we obtained species-specific tRF patterns for 21 of the most abundant arthropods in brassica crops. We detected up to three prey species in the gut contents of laboratory-fed predators. Detection rates differed among predators, ranging between 28 and 100%. The identification of a species-specific tRF pattern was strongly affected by the presence and concentrations of DNA from other species. In a preliminary field study, prey could be identified from 20% of the collected brown lacewings. The advantage of the tRFLP method is the possibility of identifying multiple species at once. This advantage is counterbalanced by methodological limitations, among which the most critical one is the fact that it will be difficult to maintain specificity in highly diverse ecosystems. However, if species diversity is limited and the target sequence and the primers are chosen to increase detection success, the tRFLP method can be used to study trophic interactions in the field.</t>
  </si>
  <si>
    <t>[Juen, Anita; Hogendoorn, Katja; Ma, Gang; Schmidt, Otto; Keller, Michael A.] Univ Adelaide, Sch Agr Food &amp; Wine, Adelaide, SA 5005, Australia</t>
  </si>
  <si>
    <t>Juen, A (corresponding author), Univ Innsbruck, Inst Ecol, A-6020 Innsbruck, Austria.</t>
  </si>
  <si>
    <t>anita.juen@uibk.ac.at</t>
  </si>
  <si>
    <t>Keller, Michael Anthony/A-8371-2008</t>
  </si>
  <si>
    <t>Keller, Michael Anthony/0000-0003-0721-9753</t>
  </si>
  <si>
    <t>1612-4758</t>
  </si>
  <si>
    <t>1612-4766</t>
  </si>
  <si>
    <t>J PEST SCI</t>
  </si>
  <si>
    <t>J. Pest Sci.</t>
  </si>
  <si>
    <t>10.1007/s10340-011-0406-x</t>
  </si>
  <si>
    <t>Entomology</t>
  </si>
  <si>
    <t>899AV</t>
  </si>
  <si>
    <t>WOS:000300785000012</t>
  </si>
  <si>
    <t>McLandress, C; Shepherd, TG; Polavarapu, S; Beagley, SR</t>
  </si>
  <si>
    <t>McLandress, Charles; Shepherd, Theodore G.; Polavarapu, Saroja; Beagley, Stephen R.</t>
  </si>
  <si>
    <t>Is Missing Orographic Gravity Wave Drag near 60°S the Cause of the Stratospheric Zonal Wind Biases in Chemistry Climate Models?</t>
  </si>
  <si>
    <t>STATIONARY PLANETARY-WAVES; GENERAL-CIRCULATION; MIDDLE</t>
  </si>
  <si>
    <t>Nearly all chemistry climate models (CCMs) have a systematic bias of a delayed springtime breakdown of the Southern Hemisphere (SH) stratospheric polar vortex, implying insufficient stratospheric wave drag. In this study the Canadian Middle Atmosphere Model (CMAM) and the CMAM Data Assimilation System (CMAM-DAS) are used to investigate the cause of this bias. Zonal wind analysis increments from CMAM-DAS reveal systematic negative values in the stratosphere near 60 degrees S in winter and early spring. These are interpreted as indicating a bias in the model physics, namely, missing gravity wave drag (GWD). The negative analysis increments remain at a nearly constant height during winter and descend as the vortex weakens, much like orographic GWD. This region is also where current orographic GWD parameterizations have a gap in wave drag, which is suggested to be unrealistic because of missing effects in those parameterizations. These findings motivate a pair of free-running CMAM simulations to assess the impact of extra orographic GWD at 60 S. The control simulation exhibits the cold-pole bias and delayed vortex breakdown seen in the CCMs. In the simulation with extra GWD, the cold-pole bias is significantly reduced and the vortex breaks down earlier. Changes in resolved wave drag in the stratosphere also occur in response to the extra GWD, which reduce stratospheric SH polar-cap temperature biases in late spring and early summer. Reducing the dynamical biases, however, results in degraded Antarctic column ozone. This suggests that CCMs that obtain realistic column ozone in the presence of an overly strong and persistent vortex may be doing so through compensating errors.</t>
  </si>
  <si>
    <t>[McLandress, Charles; Shepherd, Theodore G.] Univ Toronto, Dept Phys, Toronto, ON M5S 1A7, Canada; [Polavarapu, Saroja] Environm Canada, Div Climate Res, Toronto, ON, Canada; [Beagley, Stephen R.] York Univ, Dept Earth &amp; Space Sci &amp; Engn, Toronto, ON M3J 2R7, Canada</t>
  </si>
  <si>
    <t>University of Toronto; Environment &amp; Climate Change Canada; York University - Canada</t>
  </si>
  <si>
    <t>McLandress, C (corresponding author), Univ Toronto, Dept Phys, 60 St George St, Toronto, ON M5S 1A7, Canada.</t>
  </si>
  <si>
    <t>charles@atmosp.physics.utoronto.ca</t>
  </si>
  <si>
    <t>Canadian Foundation for Climate and Atmospheric Sciences; Canadian Space Agency</t>
  </si>
  <si>
    <t>Canadian Foundation for Climate and Atmospheric Sciences; Canadian Space Agency(Canadian Space Agency)</t>
  </si>
  <si>
    <t>CM thanks Norm McFarlane, Isla Simpson, Diane Pendlebury, and Andreas Jonsson for helpful discussions, as well as Mike Neish for technical assistance. The authors thank Shuzhan Ren for providing the CMAM-DAS analysis increments and Rolando Garcia and an anonymous reviewer for their constructive reviews. This work was funded by the Canadian Foundation for Climate and Atmospheric Sciences and the Canadian Space Agency.</t>
  </si>
  <si>
    <t>10.1175/JAS-D-11-0159.1</t>
  </si>
  <si>
    <t>901IN</t>
  </si>
  <si>
    <t>Bronze, Green Accepted, Green Submitted</t>
  </si>
  <si>
    <t>WOS:000300960700002</t>
  </si>
  <si>
    <t>Kapoor, M; Gupta, MN</t>
  </si>
  <si>
    <t>Kapoor, Manali; Gupta, Munishwar N.</t>
  </si>
  <si>
    <t>Obtaining monoglycerides by esterification of glycerol with palmitic acid using some high activity preparations of Candida antarctica lipase B</t>
  </si>
  <si>
    <t>PROCESS BIOCHEMISTRY</t>
  </si>
  <si>
    <t>Cross-linked enzyme aggregates; Protein coated microcrystals; Cross-linked protein coated microcrystals; Glycerol esterification; Monoglyceride synthesis; Lipases</t>
  </si>
  <si>
    <t>ENZYMATIC ESTERIFICATION; MICRO-CRYSTALS; OPTIMIZATION; MONOACYLGLYCEROL; TRANSESTERIFICATION; IMMOBILIZATION; BIOCATALYSTS; PERFORMANCE; OLEIN</t>
  </si>
  <si>
    <t>Cross-linked enzyme aggregates (CLEAs), protein coated microcrystals (PCMCs), cross-linked protein coated microcrystals (CLPCMCs) of Candida antarctic lipase B (CALB) were used for esterification of glycerol with palmitic acid in acetone under low water condition. With CLEAs, 81% monoglyceride (MG) along with 4.5% diglyceride (DG) were produced at 1% (v/v) water content in 24 h. The water content in the medium was managed by stepwise addition of the molecular sieves at appropriate time intervals. With PCMCs (potassium sulfate as a core material), 82% monoglyceride along with 4.0% diglyceride were obtained, with 0.5% water (v/v) added initially to anhydrous acetone with molecular sieves present in the reaction medium. With CLPCMC (prepared by cross-linking with 200 mM glutaraldehyde), 87% monoglyceride and 3.3% diglyceride were produced in 24 h in presence of 1% (v/v) water (added initially) and with appropriate amount of molecular sieves added in the reaction medium. The results offer a comparative study on the performance of three high activity preparations of CALB for preparation of monopalmitin with &lt;= 10% of the diglyceride content. (C) 2011 Elsevier Ltd. All rights reserved.</t>
  </si>
  <si>
    <t>[Kapoor, Manali; Gupta, Munishwar N.] Indian Inst Technol Delhi, Dept Chem, New Delhi 110016, India</t>
  </si>
  <si>
    <t>Indian Institute of Technology System (IIT System); Indian Institute of Technology (IIT) - Delhi</t>
  </si>
  <si>
    <t>Gupta, MN (corresponding author), Indian Inst Technol Delhi, Dept Chem, New Delhi 110016, India.</t>
  </si>
  <si>
    <t>appliedbiocat@yahoo.co.in</t>
  </si>
  <si>
    <t>Kakkar, Manali/0000-0002-3137-5396</t>
  </si>
  <si>
    <t>Department of Science and Technology (DST), Government of India; Department of Biotechnology (DBT), Government of India; CSIR; UKIERI</t>
  </si>
  <si>
    <t>Department of Science and Technology (DST), Government of India(Department of Science &amp; Technology (India)); Department of Biotechnology (DBT), Government of India(Department of Biotechnology (DBT) India); CSIR(Council of Scientific &amp; Industrial Research (CSIR) - India); UKIERI(UK Research &amp; Innovation (UKRI))</t>
  </si>
  <si>
    <t>We acknowledge partial financial support provided by the Department of Science and Technology (DST) core group funding for applied biocatalysis and Department of Biotechnology (DBT), both Government of India organizations. Financial support provided by CSIR to MK in the form of Senior Research Fellowship, is also gratefully acknowledged. We also acknowledge the support of UKIERI for funding our work in the area of applied enzymology.</t>
  </si>
  <si>
    <t>1359-5113</t>
  </si>
  <si>
    <t>1873-3298</t>
  </si>
  <si>
    <t>PROCESS BIOCHEM</t>
  </si>
  <si>
    <t>Process Biochem.</t>
  </si>
  <si>
    <t>10.1016/j.procbio.2011.12.009</t>
  </si>
  <si>
    <t>Biochemistry &amp; Molecular Biology; Biotechnology &amp; Applied Microbiology; Engineering, Chemical</t>
  </si>
  <si>
    <t>Biochemistry &amp; Molecular Biology; Biotechnology &amp; Applied Microbiology; Engineering</t>
  </si>
  <si>
    <t>900EF</t>
  </si>
  <si>
    <t>WOS:000300868700023</t>
  </si>
  <si>
    <t>Lowther, AD; Harcourt, RG; Goldsworthy, SD; Stow, A</t>
  </si>
  <si>
    <t>Lowther, A. D.; Harcourt, R. G.; Goldsworthy, S. D.; Stow, A.</t>
  </si>
  <si>
    <t>Population structure of adult female Australian sea lions is driven by fine-scale foraging site fidelity</t>
  </si>
  <si>
    <t>Australian sea lion; foraging behaviour; mitochondrial DNA; Neophoca cinerea; otariid; population structure; stable isotope; stepping stone</t>
  </si>
  <si>
    <t>GENETIC-STRUCTURE; FUR SEALS; STABLE-ISOTOPES; NEOPHOCA-CINEREA; MATERNAL STRATEGIES; OTARIA-FLAVESCENS; HABITAT BARRIERS; SOUTH-AUSTRALIA; TOP PREDATOR; BEHAVIOR</t>
  </si>
  <si>
    <t>The Australian sea lion, Neophoca cinerea, one of the world's rarest otariids, is notable for an asynchronous, aseasonal breeding chronology. Determining the ecological features that shape the genetic structure of marine predators such as Australian sea lions is challenging because their demersal foraging habitat is difficult to observe and quantify. Recent developments in stable isotope screening techniques using milk-dependent pups as proxies for maternal isotope signatures identified temporally stable, alternative (inshore and offshore) foraging ecotypes in adult female Australian sea lions. We combined this technique with mitochondrial DNA (mtDNA) analysis of samples of 40-60% of all pups produced at 17 of the largest South Australian colonies to determine whether ecological specialization in foraging ecotype within and between colonies has shaped maternal population structure within the species. Genetic isolation by distance was apparent at very fine geographical scales with three distinct clusters of colonies that share multiple haplotypes being interspersed with isolated breeding sites. There was no congruence between mtDNA haplotype distribution and foraging ecotypes suggesting that observed behavioural specialization was not maintained along matrilines. We propose that foraging specialization within discrete fine-scale foraging areas and habitats at the individual level limits the dispersive capacity of adult female Australian sea lions which in turn drives population structure. Given this species' vulnerability to anthropogenic impacts and the high degree of female population structure, determining the extent of male-mediated gene flow in this species is critical. Only then can breeding colony connectivity be established and appropriate management units identified for the species. Crown Copyright (C) 2011. Published on behalf of The Association for the Study of Animal Behaviour by Elsevier Ltd. All rights reserved.</t>
  </si>
  <si>
    <t>[Lowther, A. D.; Goldsworthy, S. D.] S Australian Res &amp; Dev Inst Aquat Sci, W Beach, SA 5024, Australia; [Lowther, A. D.] Univ Adelaide, Adelaide, SA, Australia; [Harcourt, R. G.; Stow, A.] Macquarie Univ, Grad Sch Environm, Marine Mammal Res Grp, N Ryde, NSW, Australia</t>
  </si>
  <si>
    <t>University of Adelaide; Macquarie University</t>
  </si>
  <si>
    <t>Lowther, AD (corresponding author), S Australian Res &amp; Dev Inst Aquat Sci, Hamra Ave, W Beach, SA 5024, Australia.</t>
  </si>
  <si>
    <t>Andrew.Lowther@sa.gov.au</t>
  </si>
  <si>
    <t>Lowther, Andrew/T-2511-2019</t>
  </si>
  <si>
    <t>Lowther, Andrew/0000-0003-4294-3157; Harcourt, Robert/0000-0003-4666-2934; Goldsworthy, Simon/0000-0003-4988-9085; Stow, Adam/0000-0002-6796-4854</t>
  </si>
  <si>
    <t>Department of Environment, Water, Heritage and the Arts' Australian Marine Mammal Centre; Australian Antarctic Division; Commonwealth Environment Research Facilities (CERF) programme; Sea World Research and Rescue Foundation Inc.; Holsworth Widlife Research Endowment</t>
  </si>
  <si>
    <t>Research was funded through the Department of Environment, Water, Heritage and the Arts' Australian Marine Mammal Centre, Australian Antarctic Division and the Commonwealth Environment Research Facilities (CERF) programme, Sea World Research and Rescue Foundation Inc. and the Holsworth Widlife Research Endowment. We thank Professor Stephen Donnellan at the South Australian Museum for providing feedback on the manuscript, and acknowledge the logistical assistance of the South Australian Department of Environment and Natural Resources rangers and the South Australian State Emergency Services.</t>
  </si>
  <si>
    <t>10.1016/j.anbehav.2011.12.015</t>
  </si>
  <si>
    <t>897CF</t>
  </si>
  <si>
    <t>WOS:000300618100014</t>
  </si>
  <si>
    <t>Hernández, J; Stedt, J; Bonnedahl, J; Molin, Y; Drobni, M; Calisto-Ulloa, N; Gomez-Fuentes, C; Astorga-España, MS; González-Acuña, D; Waldenström, J; Blomqvist, M; Olsena, B</t>
  </si>
  <si>
    <t>Hernandez, Jorge; Stedt, Johan; Bonnedahl, Jonas; Molin, Ylva; Drobni, Mirva; Calisto-Ulloa, Nancy; Gomez-Fuentes, Claudio; Soledad Astorga-Espana, M.; Gonzalez-Acuna, Daniel; Waldenstrom, Jonas; Blomqvist, Maria; Olsena, Bjorn</t>
  </si>
  <si>
    <t>Human-Associated Extended-Spectrum β-Lactamase in the Antarctic</t>
  </si>
  <si>
    <t>ESCHERICHIA-COLI; DISSEMINATION; EVOLUTION; BACTERIA; SOUTH; GULLS; ESBL</t>
  </si>
  <si>
    <t>Escherichia coli bacteria with extended-spectrum beta-lactamase (ESBL) type CTX-M resistance were isolated from water samples collected close to research stations in Antarctica. The isolates had bla(CTX-M-1) and bla(CTX-M-15) genotypes and sequence types (ST) indicative of a human-associated origin. This is the first record of ESBL-producing enterobacteria from Antarctica.</t>
  </si>
  <si>
    <t>[Hernandez, Jorge; Molin, Ylva; Drobni, Mirva; Olsena, Bjorn] Uppsala Univ, Uppsala, Sweden; [Hernandez, Jorge; Stedt, Johan; Bonnedahl, Jonas; Waldenstrom, Jonas; Blomqvist, Maria; Olsena, Bjorn] Linnaeus Univ, Kalmar, Sweden; [Bonnedahl, Jonas] Kalmar Cty Hosp, Kalmar, Sweden; [Calisto-Ulloa, Nancy; Gomez-Fuentes, Claudio; Soledad Astorga-Espana, M.] Univ Magallanes, Punta Arenas, Chile; [Gonzalez-Acuna, Daniel] Univ Concepcion, Chillan, Chile</t>
  </si>
  <si>
    <t>Uppsala University; Linnaeus University; Universidad de Magallanes; Universidad de Concepcion</t>
  </si>
  <si>
    <t>Hernández, J (corresponding author), Uppsala Univ, Uppsala, Sweden.</t>
  </si>
  <si>
    <t>Jorge.hernandez@lnu.se</t>
  </si>
  <si>
    <t>Waldenström, Jonas/E-4460-2013; Bonnedahl, Jonas/GZG-8435-2022</t>
  </si>
  <si>
    <t>Waldenström, Jonas/0000-0002-1152-4235; Olsen, Bjorn/0000-0002-4646-691X; Calisto Ulloa, Nancy Cristina/0000-0002-5517-1750; Bonnedahl, Jonas/0000-0002-3182-389X</t>
  </si>
  <si>
    <t>Instituto Antartico Chileno [T09-08, T27-10]; Swedish Research Foundation FORMAS [2008-326]; Swedish Research Council (VR)</t>
  </si>
  <si>
    <t>Instituto Antartico Chileno; Swedish Research Foundation FORMAS(Swedish Research Council Formas); Swedish Research Council (VR)(Swedish Research Council)</t>
  </si>
  <si>
    <t>This study benefitted from logistical support from Instituto Antartico Chileno (projects T09-08 and T27-10). Additional funding was given by grants from the Swedish Research Foundation FORMAS (2008-326) and the Swedish Research Council (VR).</t>
  </si>
  <si>
    <t>1098-5336</t>
  </si>
  <si>
    <t>10.1128/AEM.07320-11</t>
  </si>
  <si>
    <t>897EX</t>
  </si>
  <si>
    <t>WOS:000300629800052</t>
  </si>
  <si>
    <t>Caroli, S; Bottoni, P</t>
  </si>
  <si>
    <t>Caroli, Sergio; Bottoni, Paola</t>
  </si>
  <si>
    <t>A new Antarctic certified reference material for trace elements: Adamussium colbecki (vol 96, pg 190, 2010)</t>
  </si>
  <si>
    <t>MICROCHEMICAL JOURNAL</t>
  </si>
  <si>
    <t>[Caroli, Sergio; Bottoni, Paola] Ist Super Sanita, I-00161 Rome, Italy</t>
  </si>
  <si>
    <t>Istituto Superiore di Sanita (ISS)</t>
  </si>
  <si>
    <t>Caroli, S (corresponding author), Ist Super Sanita, Viale Regina Elena 299, I-00161 Rome, Italy.</t>
  </si>
  <si>
    <t>caroli@iss.it</t>
  </si>
  <si>
    <t>0026-265X</t>
  </si>
  <si>
    <t>MICROCHEM J</t>
  </si>
  <si>
    <t>Microchem J.</t>
  </si>
  <si>
    <t>10.1016/j.microc.2011.09.007</t>
  </si>
  <si>
    <t>Chemistry, Analytical</t>
  </si>
  <si>
    <t>898MQ</t>
  </si>
  <si>
    <t>WOS:000300746900017</t>
  </si>
  <si>
    <t>Kamei, A; Fukushi, K; Takagi, T; Tsukamoto, H</t>
  </si>
  <si>
    <t>Kamei, Atsushi; Fukushi, Keisuke; Takagi, Tetsuichi; Tsukamoto, Hitoshi</t>
  </si>
  <si>
    <t>Chemical overprinting of magmatism by weathering: A practical method for evaluating the degree of chemical weathering of granitoids</t>
  </si>
  <si>
    <t>APPLIED GEOCHEMISTRY</t>
  </si>
  <si>
    <t>HONG-KONG; ROCKS; PROFILES; INDEXES; PETROGENESIS; CALIFORNIA; CHEMISTRY; PLUTON; SUITE; SR</t>
  </si>
  <si>
    <t>Quantitative determination of the degree of chemical weathering of rocks is a fundamental task in environmental and engineering geology, and many weathering indices based on whole-rock chemistry have been proposed. However, most classical indices are of limited application to granitoids in a wide area, because these lithotypes generally exhibit wide chemical variation arising from their petrogenesis. The chemical evolution produced during rock weathering, therefore, overprints pre-existing magmatic chemical variation. This problem can cause many classical weathering indices to yield misleading results. This study proposes a method that compensates for the influence of petrogenesis on calculation of the weathering index. The method is based on a bivariate plot of the magmatic chemical variation (MCV) in granitoids, and the degree of chemical weathering (DCW). The MCV axis must be based on an element that reflects magmatic processes and is also relatively immobile during rock weathering. In this study TiO2 contents are utilized for the MCV. The DCW axis is fundamentally defined by the ratios of more-mobile to less-mobile elements during weathering, and hence many classical indices can be applied. The improved value of the degree of chemical weathering (DCWi) for a weathered rock is derived by: DCWi = s x (MCVCV - MCV1) + DCW1 where MCV1 is the measured composition (e.g. TiO2 content) of the weathered rock. DCW1 denotes the ratios of more-mobile to less-mobile elements of the weathered rock. The s parameter is the slope of the least square linear regression for fresh granitoids in the MCV-DCW relationship. MCVCV is a correction factor which is given by the average point on the MCV axis (e.g. average TiO2) of the fresh rocks. This method is useful for evaluating the degree of weathering of various granitoids, and enhances the practical application of many weathering indices. (C) 2011 Elsevier Ltd. All rights reserved.</t>
  </si>
  <si>
    <t>[Kamei, Atsushi] Shimane Univ, Dept Geosci, Matsue, Shimane 6908504, Japan; [Fukushi, Keisuke] Kanazawa Univ, Inst Nat &amp; Environm Technol, Kanazawa, Ishikawa 9201192, Japan; [Takagi, Tetsuichi; Tsukamoto, Hitoshi] Natl Inst Adv Ind Sci &amp; Technol, Geol Survey Japan, Tsukuba, Ibaraki 3058567, Japan</t>
  </si>
  <si>
    <t>Shimane University; Kanazawa University; National Institute of Advanced Industrial Science &amp; Technology (AIST)</t>
  </si>
  <si>
    <t>Kamei, A (corresponding author), Shimane Univ, Dept Geosci, 1060 Nishi Kawatsu, Matsue, Shimane 6908504, Japan.</t>
  </si>
  <si>
    <t>kamei-a@riko.shimane-u.ac.jp</t>
  </si>
  <si>
    <t>Fukushi, Keisuke/AAH-5202-2019</t>
  </si>
  <si>
    <t>Fukushi, Keisuke/0000-0003-0398-8950</t>
  </si>
  <si>
    <t>Nuclear and Industrial Safety Agency (NISA), Ministry of Economy, Trade and Industry (METI), Japan; Grants-in-Aid for Scientific Research [21404017] Funding Source: KAKEN</t>
  </si>
  <si>
    <t>Nuclear and Industrial Safety Agency (NISA), Ministry of Economy, Trade and Industry (METI), Japan; Grants-in-Aid for Scientific Research(Ministry of Education, Culture, Sports, Science and Technology, Japan (MEXT)Japan Society for the Promotion of ScienceGrants-in-Aid for Scientific Research (KAKENHI))</t>
  </si>
  <si>
    <t>We are grateful to B.P. Roser for many constructive and helpful comments, and to K. Tsukimura, Y. Watanabe, M. Suzuki, T. Yamamoto, T. Nakajima, W. Lin, M. Sasada, S. Suzuki, M. Manaka, K. Naito, Y. Seki, K. Okuzawa, N. Takeno, J. Ito, I. Miyagi, S. Hamasaki, M. Takahashi, M. Zhang, and I. Isobe for helpful discussion. K.M. Satish carried out important language corrections. We also thank the Japanese East Antarctic research group for discussion and encouragement. The reviews and many constructive comments of J.R. Price and an anonymous reviewer are deeply appreciated. M. Hodson and R. Fuge are acknowledged for editorial advice. Detailed comments by J.R. Price, C.M. Fedo, C. Pain, M. Hodson, and B. Bourdon on an earlier version significantly improved the manuscript. Our thanks also to C. Iwata, K. Kudo, Y. Yachi, S. Otaka, A. Eguchi and S. Shiramatsu for their assistance in sample preparation. The main part of this research project has been conducted as the regulatory supporting research funded by the Nuclear and Industrial Safety Agency (NISA), Ministry of Economy, Trade and Industry (METI), Japan.</t>
  </si>
  <si>
    <t>0883-2927</t>
  </si>
  <si>
    <t>APPL GEOCHEM</t>
  </si>
  <si>
    <t>Appl. Geochem.</t>
  </si>
  <si>
    <t>10.1016/j.apgeochem.2011.12.014</t>
  </si>
  <si>
    <t>894CA</t>
  </si>
  <si>
    <t>WOS:000300403400022</t>
  </si>
  <si>
    <t>Bonorino, GG; Rinaldi, V; Abascal, LD; Alvarado, P; Bujalesky, GG; Güell, A</t>
  </si>
  <si>
    <t>Gonzalez Bonorino, Gustavo; Rinaldi, Victor; del Valle Abascal, Liliana; Alvarado, Patricia; Bujalesky, Gustavo G.; Gueell, Arturo</t>
  </si>
  <si>
    <t>Paleoseismicity and seismic hazard in southern Patagonia (Argentina-Chile; 50°-55°S) and the role of the Magallanes-Fagnano transform fault</t>
  </si>
  <si>
    <t>NATURAL HAZARDS</t>
  </si>
  <si>
    <t>Paleoseismology; Seismic hazard; Tierra del Fuego; South America; Coseismic deformation</t>
  </si>
  <si>
    <t>TIERRA-DEL-FUEGO; HUON PENINSULA; PLATE BOUNDARY; UPLIFT; DEFORMATION; ATLANTIC; AMERICA</t>
  </si>
  <si>
    <t>Patagonia, including the island of Tierra del Fuego, lies in southernmost South America at the junction of the South American, Antarctic, and Scotia tectonic plates. Historical and instrumental records have documented several local earthquakes of damaging magnitude, posing a threat to the rapidly growing population of 300,000 and the expanding industrial and service infrastructure. Short and inaccurate instrumental records of local seismic events and a diffuse epicenter distribution not clearly related to the recognized seismogenic structures have hindered an adequate evaluation of the seismic hazard for this region. To improve this situation, a paleoseismological study was carried out on two gravelly strandplains on the Atlantic coast of Patagonia. Surveying combined ground-probing radar, vertical electric sounding, and seismic refraction. Coseismic normal faults buried beneath the strandplain bodies were revealed and related to the morphology of the strandplains. The faults have probable ages between 0.9 and 6.4 kyr BP and a recurrence rate of about 1 kyr. The more likely source for these structures is the Magallanes-Fagnano fault, a continental transform fault that crosses Tierra del Fuego. The distance of more than 300 km from the buried coseismic structures to the trace of the Magallanes-Fagnano fault argues for high-magnitude earthquake activity on this fault throughout the Holocene. Urban development on soft glacial and alluvial substrates increases the hazard.</t>
  </si>
  <si>
    <t>[Gonzalez Bonorino, Gustavo; Bujalesky, Gustavo G.] CONICET CADIC, RA-9410 Ushuaia, Argentina; [Rinaldi, Victor] Univ Nacl Cordoba, Fac Ciencias Exactas, RA-5000 Cordoba, Argentina; [del Valle Abascal, Liliana] UTN FRRG, RA-9420 Rio Grande, Argentina; [Alvarado, Patricia; Gueell, Arturo] Univ Nacl San Juan, CONICET Dept Geofis &amp; Astron, RA-5406 San Juan, Argentina</t>
  </si>
  <si>
    <t>Consejo Nacional de Investigaciones Cientificas y Tecnicas (CONICET); National University of Cordoba; Universidad Nacional de San Juan</t>
  </si>
  <si>
    <t>Bonorino, GG (corresponding author), CONICET CADIC, B Houssay 200, RA-9410 Ushuaia, Argentina.</t>
  </si>
  <si>
    <t>g_bonorino@yahoo.com.ar</t>
  </si>
  <si>
    <t>Spanish Ministry of Education; Programa de Cooperacion con Iberoamerica of the Grup de Qualitat de la Generalitat de Catalunya, Spain [GRQ94-1048]; Ministry of Science of Argentina [PICT 32793]</t>
  </si>
  <si>
    <t>Spanish Ministry of Education(Spanish Government); Programa de Cooperacion con Iberoamerica of the Grup de Qualitat de la Generalitat de Catalunya, Spain; Ministry of Science of Argentina</t>
  </si>
  <si>
    <t>This work was funded by the Spanish Ministry of Education and the Programa de Cooperacion con Iberoamerica of the Grup de Qualitat de la Generalitat de Catalunya (GRQ94-1048), Spain, and by the Ministry of Science of Argentina (PICT 32793). Radiocarbon analyses were carried out at the INGEIS-UBA-CONICET laboratory. We acknowledge helpful revisions by reviewers for the Journal.</t>
  </si>
  <si>
    <t>0921-030X</t>
  </si>
  <si>
    <t>1573-0840</t>
  </si>
  <si>
    <t>NAT HAZARDS</t>
  </si>
  <si>
    <t>Nat. Hazards</t>
  </si>
  <si>
    <t>10.1007/s11069-011-9917-2</t>
  </si>
  <si>
    <t>Geosciences, Multidisciplinary; Meteorology &amp; Atmospheric Sciences; Water Resources</t>
  </si>
  <si>
    <t>Geology; Meteorology &amp; Atmospheric Sciences; Water Resources</t>
  </si>
  <si>
    <t>887UH</t>
  </si>
  <si>
    <t>WOS:000299955600003</t>
  </si>
  <si>
    <t>Troshichev, O; Sormakov, D; Janzhura, A</t>
  </si>
  <si>
    <t>Troshichev, O.; Sormakov, D.; Janzhura, A.</t>
  </si>
  <si>
    <t>Sawtooth substorms generated under conditions of the steadily high solar wind energy input into the magnetosphere: Relationship between PC, AL and ASYM indices</t>
  </si>
  <si>
    <t>ADVANCES IN SPACE RESEARCH</t>
  </si>
  <si>
    <t>Polar cap magnetic activity; Sawtooth magnetospheric substorms; Periodicity; Auroral ionosphere conductivity</t>
  </si>
  <si>
    <t>POLAR-CAP; AZIMUTHAL</t>
  </si>
  <si>
    <t>Periodicity in occurrence of magnetic disturbances in polar cap and auroral zone under conditions of steady and powerful solar wind influence on the magnetosphere is analyzed on the example of 9 storm events with distinctly expressed sawtooth substorms (N = 48). Relationships between the polar cap magnetic activity (PC-index), magnetic disturbances in the auroral zone (AL-index) and value of the ring current asymmetry (AS YM index) were examined within the intervals of the PC growth phase and the PC decline phase inherent to each substorm. It is shown that the substorm sudden onsets are always preceded by the PC growth and that the substorm development does not affect the PC growth rate. On achieving the disturbance maximum, the PC and AL indices are simultaneously fall down to the level preceding the substorm, so that the higher the substorm intensity, the larger is the AL and PC drop in the decline phase. The AS YM index increases and decreases in conformity with the PC and AL behavior, the correlation between AS YM and PC being better than between AS YM and AL. Level of the solar wind energy input into the magnetosphere determines periodicity and intensity of disturbances: the higher the coupling function EKL, the higher is substorm intensity and shorter is substorm length. Taking into account the permanently high level of auroral activity and inconsistency of aurora behavior and magnetic onsets during sawtooth substorms, the conclusion is made that auroral ionosphere conductivity is typically high and ensures an extremely high intensity of field-aligned currents in R I FAC system. The periodicity of sawtooth substorms is determined by recurrent depletions and restorations of RI currents, which are responsible for coordinated variations of magnetic activity in the polar cap and auroral zone. (C) 2011 COSPAR. Published by Elsevier Ltd. All rights reserved.</t>
  </si>
  <si>
    <t>[Troshichev, O.; Sormakov, D.; Janzhura, A.] Arctic &amp; Antarctic Res Inst, St Petersburg 199397, Russia</t>
  </si>
  <si>
    <t>Sormakov, Dmitry A/K-1695-2014</t>
  </si>
  <si>
    <t>0273-1177</t>
  </si>
  <si>
    <t>1879-1948</t>
  </si>
  <si>
    <t>ADV SPACE RES</t>
  </si>
  <si>
    <t>Adv. Space Res.</t>
  </si>
  <si>
    <t>10.1016/j.asr.2011.12.011</t>
  </si>
  <si>
    <t>Engineering, Aerospace; Astronomy &amp; Astrophysics; Geosciences, Multidisciplinary; Meteorology &amp; Atmospheric Sciences</t>
  </si>
  <si>
    <t>Engineering; Astronomy &amp; Astrophysics; Geology; Meteorology &amp; Atmospheric Sciences</t>
  </si>
  <si>
    <t>910AW</t>
  </si>
  <si>
    <t>WOS:000301610600006</t>
  </si>
  <si>
    <t>Rozzi, R; Armesto, JJ; Gutiérrez, JR; Massardo, F; Likens, GE; Anderson, CB; Poole, A; Moses, KP; Hargrove, E; Mansilla, AO; Kennedy, JH; Willson, M; Jax, K; Jones, CG; Callicott, JB; Arroyo, MTK</t>
  </si>
  <si>
    <t>Rozzi, Ricardo; Armesto, Juan J.; Gutierrez, Julio R.; Massardo, Francisca; Likens, Gene E.; Anderson, Christopher B.; Poole, Alexandria; Moses, Kelli P.; Hargrove, Eugene; Mansilla, Andres O.; Kennedy, James H.; Willson, Mary; Jax, Kurt; Jones, Clive G.; Callicott, J. Baird; Arroyo, Mary T. K.</t>
  </si>
  <si>
    <t>Integrating Ecology and Environmental Ethics: Earth Stewardship in the Southern End of the Americas</t>
  </si>
  <si>
    <t>BIOSCIENCE</t>
  </si>
  <si>
    <t>conservation; temperate forests; sub-Antarctic ecoregion; long-term ecological research; field stations</t>
  </si>
  <si>
    <t>BIOCULTURAL CONSERVATION; SCIENCE; NETWORK; BIODIVERSITY; PHILOSOPHY; PATAGONIA; DYNAMICS; PATTERNS; NITROGEN; CHILE</t>
  </si>
  <si>
    <t>The South American temperate and sub-Antarctic forests cover the longest latitudinal range in the Southern Hemisphere and include the world's southernmost forests. However, until now, this unique biome has been absent from global ecosystem research and monitoring networks. Moreover, the latitudinal range of between 40 degrees (degrees) south (S) and 60 degrees S constitutes a conspicuous gap in the International Long-Term Ecological Research (ILTER) and other international networks. We first identify 10 globally salient attributes of biological and cultural diversity in southwestern South America. We then present the nascent Chilean Long-Term Socio-Ecological Research (LTSER) network, which will incorporate a new biome into ILTER. Finally, we introduce the field environmental philosophy methodology, developed by the Chilean LTSER network to integrate ecological sciences and environmental ethics into graduate education and biocultural conservation. This approach broadens the prevailing economic spectrum of social dimensions considered by LTSER programs and helps foster bioculturally diverse forms of Earth stewardship.</t>
  </si>
  <si>
    <t>[Rozzi, Ricardo; Poole, Alexandria; Hargrove, Eugene; Callicott, J. Baird] Univ N Texas, Dept Philosophy &amp; Relig Studies, Denton, TX 76203 USA; [Armesto, Juan J.; Gutierrez, Julio R.; Arroyo, Mary T. K.] Inst Ecol &amp; Biodivers, Santiago, Chile; [Massardo, Francisca; Mansilla, Andres O.] Univ Magallanes, Puerto Williams, Chile; [Likens, Gene E.; Jones, Clive G.] Cary Inst Ecosyst Studies, Millbrook, NY USA; [Anderson, Christopher B.; Moses, Kelli P.; Kennedy, James H.] Univ N Texas, Dept Biol Sci, Denton, TX 76203 USA; [Willson, Mary] Senda Darwin Biol Stn, Chiloe Isl, Chile; [Jax, Kurt] UFZ Helmholtz Ctr Environm Res, Leipzig, Germany</t>
  </si>
  <si>
    <t>University of North Texas System; University of North Texas Denton; Universidad de Magallanes; Cary Institute of Ecosystem Studies; University of North Texas System; University of North Texas Denton; Helmholtz Association; Helmholtz Center for Environmental Research (UFZ)</t>
  </si>
  <si>
    <t>Rozzi, R (corresponding author), Univ N Texas, Dept Philosophy &amp; Relig Studies, Denton, TX 76203 USA.</t>
  </si>
  <si>
    <t>rozzi@unt.edu</t>
  </si>
  <si>
    <t>Anderson, Christopher/V-4882-2019; Rozzi, Ricardo/G-1047-2012; Gutierrez, Julio R/A-8367-2011; Armesto, Juan J/G-6467-2016; Poole, Alexandria/IAN-6461-2023; Jones, Clive/I-4603-2014</t>
  </si>
  <si>
    <t>Anderson, Christopher/0000-0001-8120-5689; Rozzi, Ricardo/0000-0001-5265-8726; Gutierrez, Julio/0000-0002-1099-1341; Jones, Clive/0000-0001-7630-7285; Poole, Alexandria/0000-0003-1338-7454; Mansilla, Andres/0000-0003-3505-7018; Jax, Kurt/0000-0002-1052-0195</t>
  </si>
  <si>
    <t>Millennium Scientific Initiative, Chile [P05-002 ICM]; Comision Nacional de Investigacion Cientifica y Tecnologica, Chile [PFB-23]; US National Science Foundation [06524220, LTERB DEB-03-19966, OISE 0854350]; A. W. Mellon Foundation; UK Darwin Initiative; German Ministry of Education and Research; Chile's National Fund for Scientific and Technological Development [1070808, 1501-0001]; Fondo de Investigacion Avanzado en Areas Prioritarias [1501-0001]; Division Of Environmental Biology; Direct For Biological Sciences [1119217] Funding Source: National Science Foundation</t>
  </si>
  <si>
    <t>Millennium Scientific Initiative, Chile; Comision Nacional de Investigacion Cientifica y Tecnologica, Chile; US National Science Foundation(National Science Foundation (NSF)); A. W. Mellon Foundation; UK Darwin Initiative; German Ministry of Education and Research(Federal Ministry of Education &amp; Research (BMBF)); Chile's National Fund for Scientific and Technological Development; Fondo de Investigacion Avanzado en Areas Prioritarias; Division Of Environmental Biology; Direct For Biological Sciences(National Science Foundation (NSF)NSF - Directorate for Biological Sciences (BIO))</t>
  </si>
  <si>
    <t>We thank the numerous people and institutions that have collaborated with the Chilean Long-Term Socio-Ecological Research (LTSER) network. We especially thank Mary Power, William Schlesinger, Jerry Franklin, and three anonymous reviewers for valuable comments. The figures were prepared by Tamara Contador and the maps by Maria Rosa Gallardo at the GIS Laboratory at the University of Magallanes. The Chilean LTSER network is primarily funded by the Millennium Scientific Initiative (grant no. P05-002 ICM, Chile) and the Basal Financing Program of the Comision Nacional de Investigacion Cientifica y Tecnologica (grant no. PFB-23, Chile), and was catalyzed by grants from US National Science Foundation (projects nos. 06524220, LTERB DEB-03-19966, and OISE 0854350), the A. W. Mellon Foundation, the UK Darwin Initiative, the German Ministry of Education and Research, Chile's National Fund for Scientific and Technological Development (grant no. 1070808), and by a joint grant from the Fondo de Investigacion Avanzado en Areas Prioritarias and Chile's National Fund for Scientific and Technological Development (grant no. 1501-0001) to the Center for Advanced Studies in Ecology and Biology at the Pontificia Universidad Catolica de Chile.</t>
  </si>
  <si>
    <t>0006-3568</t>
  </si>
  <si>
    <t>1525-3244</t>
  </si>
  <si>
    <t>Bioscience</t>
  </si>
  <si>
    <t>10.1525/bio.2012.62.3.4</t>
  </si>
  <si>
    <t>909JX</t>
  </si>
  <si>
    <t>WOS:000301561900006</t>
  </si>
  <si>
    <t>Proches, S; Ramdhani, S</t>
  </si>
  <si>
    <t>Proches, Serban; Ramdhani, Syd</t>
  </si>
  <si>
    <t>The World's Zoogeographical Regions Confirmed by Cross-Taxon Analyses</t>
  </si>
  <si>
    <t>biogeographical regionalization; cross-taxon comparisons; ecoregions; global biogeography; zoogeographical regions</t>
  </si>
  <si>
    <t>HISTORICAL BIOGEOGRAPHY; GLOBAL PATTERNS; PHYLOGENY; DISPERSAL; DIVERSITY; DIVERSIFICATION; REGIONALIZATION; CLASSIFICATION; DISTRIBUTIONS; VICARIANCE</t>
  </si>
  <si>
    <t>The world's zoogeographical regions were historically defined on an intuitive basis, with no or a limited amount of analytical testing. Here, we aimed (a) to compare analytically defined global zoogeographical clusters for the herpetofauna, birds, mammals, and all these groups taken together (tetrapod vertebrates); (b) to use commonalities among these groups to propose an updated global zoogeographical regionalization; and (c) to describe the resulting regions in terms of vertebrate diversity and characteristic taxa. The clusters were remarkably uniform across taxa and similar to previous intuitively defined regions. Eleven vertebrate-rich (Nearctic, Caribbean, Neotropical, Andean, Palearctic, Afrotropical, Madagascan, Indo-Malaysian, Wallacean, New Guinean, Australian) and three vertebrate-poor (Arctic, Antarctic, Polynesian) zoogeographical regions were derived; the Neotropical,- Afrotropical, and Australian had the highest numbers of characteristic tetrapod genera. This updated regionalization provides analytically accurate divisions of the world, relevant to conservation, biogeographical research, and geography education.</t>
  </si>
  <si>
    <t>[Proches, Serban] Univ KwaZulu Natal, Sch Environm Sci, Durban, South Africa; [Ramdhani, Syd] Univ KwaZulu Natal, Sch Biol &amp; Conservat Sci, Durban, South Africa</t>
  </si>
  <si>
    <t>University of Kwazulu Natal; University of Kwazulu Natal</t>
  </si>
  <si>
    <t>Proches, S (corresponding author), Univ KwaZulu Natal, Sch Environm Sci, Westville Campus, Durban, South Africa.</t>
  </si>
  <si>
    <t>setapion@gmail.com</t>
  </si>
  <si>
    <t>Procheş, Şerban/A-2044-2008; Ramdhani, Syd/AFQ-0706-2022</t>
  </si>
  <si>
    <t>Procheş, Şerban/0000-0002-3415-6930; Ramdhani, Syd/0000-0003-1988-5438</t>
  </si>
  <si>
    <t>National Research Foundation of South Africa; University of KwaZulu-Natal</t>
  </si>
  <si>
    <t>National Research Foundation of South Africa(National Research Foundation - South Africa); University of KwaZulu-Natal</t>
  </si>
  <si>
    <t>We thank Sandun Perera and Vasigaran Devan for discussion and assistance with the analyses. David Currie is thanked for suggesting the title. Financial support was provided by the National Research Foundation of South Africa (incentive funding for rated researchers to SP and an Innovation Postdoctoral Fellowship to SR for 2009-2010) and by the University of KwaZulu-Natal (a postdoctoral fellowship to SR for 2011). The study would not have been possible without the WildFinder database made available online by the World Wide Fund for Nature (http://wwwworldwildlife.org/science/wildfinder).</t>
  </si>
  <si>
    <t>10.1525/bio.2012.62.3.7</t>
  </si>
  <si>
    <t>WOS:000301561900009</t>
  </si>
  <si>
    <t>de Dinechin, M; Dobson, FS; Zehtindjiev, P; Metcheva, R; Couchoux, C; Martin, A; Quillfeldt, P; Jouventin, P</t>
  </si>
  <si>
    <t>de Dinechin, Marc; Dobson, F. Stephen; Zehtindjiev, Pavel; Metcheva, Roumiana; Couchoux, Charline; Martin, Alice; Quillfeldt, Petra; Jouventin, Pierre</t>
  </si>
  <si>
    <t>The biogeography of Gentoo Penguins (Pygoscelis papua)</t>
  </si>
  <si>
    <t>CANADIAN JOURNAL OF ZOOLOGY</t>
  </si>
  <si>
    <t>ecozones; foraging range; mtDNA; oceans; penguins; phylogeography; Polar Front; Pygoscelis papua; seabirds; speciation</t>
  </si>
  <si>
    <t>MITOCHONDRIAL-DNA; ROCKHOPPER PENGUINS; DIVERGENCE; ECOLOGY; ISLAND; APE</t>
  </si>
  <si>
    <t>Gentoo Penguins (Pygoscelis papua (J.R. Forster 1781)) are defined morphologically as a single species with a northern and southern subspecies. Differences in nuptial displays and particularly mating calls, however, suggest isolation among island archipelagos of different ocean basins. We thus asked whether genetic divergence of populations could be confirmed using molecular markers. A phylogenetie tree was constructed from a sample of 110 Gentoo Penguins and 58 haplotypes from the control region of the mitochondrial DNA. Reanalyses of historical data on morphology were conducted to construct additional phylogenetic trees for comparison. In agreement with differences in mating calls, the phylogenetic tree that was based on mitochondrial DNA showed a deep division between populations in the Indian and Atlantic oceans. The current systematic division into two subspecies based on morphology was not supported. The division between populations in the Indian and Atlantic oceans was great enough to justify taxonomic revision, with at least three distinct clades: two in the respective sub-Antarctic and Antarctic zones of the Atlantic Ocean, and a deeply divergent and unnamed third clade in the sub-Antarctic Indian Ocean. In contrast to more pelagic species like Rockhopper Penguins (Eudyptes chrysocome (J.R. Forster, 1781)), the restricted coastal foraging ranges of Gentoo Penguins and the distances among isolated oceanic archipelagos could explain the distribution of genetically differentiated populations.</t>
  </si>
  <si>
    <t>[de Dinechin, Marc; Dobson, F. Stephen; Couchoux, Charline; Martin, Alice; Jouventin, Pierre] CNRS, Ctr Ecol Fonct &amp; Evolut, UMR 5175, F-34293 Montpellier 5, France; [Dobson, F. Stephen] Auburn Univ, Dept Biol Sci, Auburn, AL 36849 USA; [Zehtindjiev, Pavel; Metcheva, Roumiana] Bulgarian Acad Sci, Inst Biodivers &amp; Ecosyst Res, BU-1113 Sofia, Bulgaria; [Quillfeldt, Petra] Vogelwarte Radolfzell Max Planck Inst Ornithologi, D-78315 Radolfzell am Bodensee, Germany</t>
  </si>
  <si>
    <t>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 Auburn University System; Auburn University; Bulgarian Academy of Sciences; Max Planck Society</t>
  </si>
  <si>
    <t>Dobson, FS (corresponding author), CNRS, Ctr Ecol Fonct &amp; Evolut, UMR 5175, 1919 Route Mende, F-34293 Montpellier 5, France.</t>
  </si>
  <si>
    <t>fsdobson@msn.com</t>
  </si>
  <si>
    <t>de Dinechin, Marc/B-3683-2009; Quillfeldt, Petra/A-9549-2009; Dobson, F. Stephen/R-7310-2019; Zehtindjiev, Pavel/K-3236-2012</t>
  </si>
  <si>
    <t>Quillfeldt, Petra/0000-0002-4450-8688; Zehtindjiev, Pavel/0000-0002-9786-3974; Metcheva, Roumiana/0000-0002-8146-6106; Dobson, F. Stephen/0000-0001-5562-6316</t>
  </si>
  <si>
    <t>Institut Polaire Francais (IPEV) [354]; CNRS (Zone-Atelier de Recherches sur l'Environnement Antarctique et Subantarctique); German Science Foundation DFG [Qu 148/1-ff]; New Island Conservation Trust; Bulgarian Science Fund [B1615]; [INTAS-2001-0517]</t>
  </si>
  <si>
    <t>Institut Polaire Francais (IPEV); CNRS (Zone-Atelier de Recherches sur l'Environnement Antarctique et Subantarctique)(Centre National de la Recherche Scientifique (CNRS)); German Science Foundation DFG(German Research Foundation (DFG)); New Island Conservation Trust; Bulgarian Science Fund(National Science Fund of Bulgaria);</t>
  </si>
  <si>
    <t>This research was supported by the Institut Polaire Francais (IPEV, programme 354) and the CNRS (Zone-Atelier de Recherches sur l'Environnement Antarctique et Subantarctique). The sampling program at Kerguelen was approved by the Ethical Committee of IPEV. Fieldwork in the Falkland Islands was funded by the German Science Foundation DFG (Qu 148/1-ff) and New Island Conservation Trust, and approved by the Falkland Islands Government (Environmental Planning Office). The fieldwork at Livingston Island is supported by INTAS-2001-0517 and Bulgarian Science Fund grant B1615. We are grateful to V. Bezrukov from the Department of General and Molecular Genetics, National Taras Shevchenko University of Kyiv, for samples. We thank G. Pincemy for her help on the field at Kerguelen Islands, M.-P. Dubois for advice and help with laboratory work, A. Courtiol for suggestions on the statistical analysis of morphological data, and O. Gimenez for advice on the use of R. We thank A. Charmantier, F. Bonadonna, A. Paterson, and anonymous reviewers for useful comments on earlier versions of the manuscript.</t>
  </si>
  <si>
    <t>CANADIAN SCIENCE PUBLISHING</t>
  </si>
  <si>
    <t>OTTAWA</t>
  </si>
  <si>
    <t>65 AURIGA DR, SUITE 203, OTTAWA, ON K2E 7W6, CANADA</t>
  </si>
  <si>
    <t>0008-4301</t>
  </si>
  <si>
    <t>1480-3283</t>
  </si>
  <si>
    <t>CAN J ZOOL</t>
  </si>
  <si>
    <t>Can. J. Zool.</t>
  </si>
  <si>
    <t>10.1139/Z2012-016</t>
  </si>
  <si>
    <t>920HE</t>
  </si>
  <si>
    <t>WOS:000302394100008</t>
  </si>
  <si>
    <t>Yoshitomi, B; Nagano, I</t>
  </si>
  <si>
    <t>Yoshitomi, Bunji; Nagano, Ichiro</t>
  </si>
  <si>
    <t>Effect of dietary fluoride derived from Antarctic krill (Euphausia superba) meal on growth of yellowtail (Seriola quinqueradiata)</t>
  </si>
  <si>
    <t>Antarctic krill; Fish meal; Fluoride; Krill meal; Yellowtail</t>
  </si>
  <si>
    <t>TROUT ONCORHYNCHUS-MYKISS; SALMON SALMO-SALAR; FISH-MEAL; CHITIN; REPLACEMENT</t>
  </si>
  <si>
    <t>Yellowtail (Serbia quinqueradiata) is the most important cultured marine fish in Japan. Dietary fish meal for yellowtail in aquaculture was replaced with 0.0%, 15.4% and 100.0% Antarctic krill meal (KM0, KM15, and KM100) and with 0.0%, 15.4%, and 100.0% low-fluoride krill meal (LFK0, LFK15 and LFK100). The fish was fed to duplicate fish groups for 92 d (KM trial) or 75 d (LFK trial), and fish growth was monitored. Dietary fluoride (F-) concentrations (mg kg(-1)) were 110, 160, and 580 (KM0, KM15, and KM100, respectively) and 98, 120, and 190 (LFK0, LFK15, and LFK100, respectively). The growth during the experimental period, weight gain, feed intake, specific growth rate, and feed efficiency in fish fed the KM100 diet were markedly lower than the other experimental groups, which showed no marked differences in growth performance. After the experiment, dorsal muscle fluoride concentrations in each group were below the detectable limit (1 mg kg-1), but vertebral bone fluoride concentrations increased with increasing proportion of KM to 655 (KM0), 870 (KM15), and 2150 (KM100) mg kg-1. With increasing LFK in the feed, vertebral bone fluoride concentrations (mg kg-1) increased slightly from 500 (LFK0) to 655 (LFK15), and 695 (LFK100). No histopathological changes were detected in the liver tissue in any experimental group. It has been reported that the fluoride bioavailability was reduced with increasing water hardness, however, the dietary fluoride derived from KM exoskeleton accumulates in vertebral bones of marine fish with growth inhibition, as has already been shown for freshwater fish. Vertebral bone fluoride concentrations in two krill-eating Antarctic marine fish in the wild were 33000 mg kg(-1) (Champsocephalus gunnari) and 15000 mg kg(-1) (Notothenia rossii), but they did not show any adverse effect of growth. Therefore, fish bone fluoride accumulation apparently depends on fish species rather than the salinity of the habitat. Consequently, krill exoskeleton must be removed during the processing of Antarctic krill if indeed these krill are to be used as fish feed. However, LFK can completely replace dietary fish meal without apparent adverse effects. (C) 2011 Elsevier Ltd. All rights reserved.</t>
  </si>
  <si>
    <t>[Yoshitomi, Bunji] Nippon Suisan Kaisha Ltd, Tokyo Innovat Ctr, Prod Res &amp; Dev Ctr, Hachioji, Tokyo 1920991, Japan; [Nagano, Ichiro] Nippon Suisan Kaisha Ltd, Tokyo Innovat Ctr, Cent Res Lab, Hachioji, Tokyo 1920991, Japan</t>
  </si>
  <si>
    <t>Nippon Suisan Kaisha, Ltd.; Nippon Suisan Kaisha, Ltd.</t>
  </si>
  <si>
    <t>Yoshitomi, B (corresponding author), Nippon Suisan Kaisha Ltd, Tokyo Innovat Ctr, Prod Res &amp; Dev Ctr, 32-3 Nanakuni 1 Chome, Hachioji, Tokyo 1920991, Japan.</t>
  </si>
  <si>
    <t>bunjiy@nissui.co.jp; ichirou_nagano@nissui.co.jp</t>
  </si>
  <si>
    <t>10.1016/j.chemosphere.2011.10.042</t>
  </si>
  <si>
    <t>905NA</t>
  </si>
  <si>
    <t>WOS:000301277700004</t>
  </si>
  <si>
    <t>Gao, L; Li, JP</t>
  </si>
  <si>
    <t>Gao Li; Li Jian-Ping</t>
  </si>
  <si>
    <t>Relationship and mechanism between perturbation potential energy and atmospheric general circulation anomalies</t>
  </si>
  <si>
    <t>CHINESE JOURNAL OF GEOPHYSICS-CHINESE EDITION</t>
  </si>
  <si>
    <t>Perturbation potential energy; Atmospheric general circulation anomaly; Kinetic energy; Annular mode; SVD</t>
  </si>
  <si>
    <t>ANTARCTIC OSCILLATION; MAINTENANCE</t>
  </si>
  <si>
    <t>Based on previous theoretical studies for local perturbed potential energy (PPE), in this study, we further focus on the relationship and mechanism between the PPE and atmospheric general circulation (AGC) anomalies, and analyze the coupled correlation modes between the PPE and upper, middle and lower-level atmospheric kinetic energy (AKE) and their interannual variability. Meanwhile, we also examine the relationships between the PPE and sea surface pressure as the measure of atmospheric mass and further discuss physical mechanisms involved in the relationships between the PPE and the AKE as well as mass. Analysis results show that the first mode in the variability. of the PPE is also the leading mode in the coupled variation of the PPE and AGC anomalies, and the corresponding primary modes in the AKE and mass fields are also the dominant modes in their own variability, which indicates a possible interrelated physical mechanism between them. Furthermore, it is demonstrated that the formation of the prevailing mode of the extratropical AGC is closely associated with the feature that the PPE has both zonal symmetry at global scale and zonal asymmetry at local scale. Moreover, there is a significant correlation between the first two orders of moments of the PPE and the southern/northern annular mode indices in the wintertime, but such a relationship is apparently weakened in the summertime and exists in the southern hemisphere only.</t>
  </si>
  <si>
    <t>[Gao Li] China Meteorol Adm, Natl Meteorol Ctr, Numer Predict Ctr, Beijing 100081, Peoples R China; [Li Jian-Ping] Chinese Acad Sci, Inst Atmospher Phys, State Key Lab Numer Modeling Atmospher Sci &amp; Geop, Beijing 100029, Peoples R China</t>
  </si>
  <si>
    <t>China Meteorological Administration; Chinese Academy of Sciences; Institute of Atmospheric Physics, CAS</t>
  </si>
  <si>
    <t>Gao, L (corresponding author), China Meteorol Adm, Natl Meteorol Ctr, Numer Predict Ctr, Beijing 100081, Peoples R China.</t>
  </si>
  <si>
    <t>gaol@cma.gov.cn</t>
  </si>
  <si>
    <t>Li, Jianping/I-2661-2012</t>
  </si>
  <si>
    <t>0001-5733</t>
  </si>
  <si>
    <t>CHINESE J GEOPHYS-CH</t>
  </si>
  <si>
    <t>Chinese J. Geophys.-Chinese Ed.</t>
  </si>
  <si>
    <t>10.6038/j.issn.0001-5733.2012.03.006</t>
  </si>
  <si>
    <t>919MP</t>
  </si>
  <si>
    <t>WOS:000302332300006</t>
  </si>
  <si>
    <t>Li, X; Cai, YF; Hu, XM; Huang, ZC; Wang, JG</t>
  </si>
  <si>
    <t>Li, Xiang; Cai, Yuanfeng; Hu, Xiumian; Huang, Zhicheng; Wang, Jiangang</t>
  </si>
  <si>
    <t>Mineralogical characteristics and geological significance of Albian (Early Cretaceous) glauconite in Zanda, southwestern Tibet, China</t>
  </si>
  <si>
    <t>CLAY MINERALS</t>
  </si>
  <si>
    <t>glauconite; mineralogical characteristics; geological implication; Xiala section; Zanda; Tibet</t>
  </si>
  <si>
    <t>ZANGBO SUTURE ZONE; OH STRETCHING REGION; SOUTHERN TIBET; INFRARED-SPECTRA; PASSIVE MARGIN; PALEOENVIRONMENTAL SIGNIFICANCE; REFINED RELATIONSHIPS; CHEMICAL-COMPOSITION; GEOCHEMICAL EVIDENCE; SEDIMENTARY HISTORY</t>
  </si>
  <si>
    <t>Early Cretaceous glauconite from the Xiala section, southwestern Tibet, China, was investigated by petrographic microscopy and scanning electron microscopy (SEM), X-ray diffractometry (XRD), Fourier transform infrared (FTIR) spectroscopy, and electron probe microanalysis (EPMA). The investigations revealed that the glauconite in both sandstones and limestone is highly evolved. The glauconite in sandstone is autochthonous, but in limestone it may be derived from the underlying glauconitic sandstone. Based on analyses of the depositional environments and comparisons of glauconite-bearing strata in Zanda with sequences in adjacent areas, we conclude that the glauconitization at Zanda was probably associated with rising sea levels during the Late Albian, which represent the final separation of the Indian continent from the Australian-Antarctic continent. After the separation of the Indian continent from the AustralianAntarctic continent, cooling of the Indian continent resulted in subsidence and northward subduction of the Indian plate. A gradually rising sea level in Zanda, located along the northern margin of the Indian continent, was the cause of the low sedimentation rate. Continued transgression resulted in the occurrence of the highly evolved glauconite in this area.</t>
  </si>
  <si>
    <t>[Li, Xiang] China Geol Survey, Wuhan Inst Geol &amp; Mineral Resources, Wuhan 430223, Peoples R China; [Cai, Yuanfeng; Hu, Xiumian; Huang, Zhicheng; Wang, Jiangang] Nanjing Univ, Sch Earth Sci &amp; Engn, State Key Lab Mineral Deposits Res, Nanjing 210093, Jiangsu, Peoples R China</t>
  </si>
  <si>
    <t>China Geological Survey; Nanjing University</t>
  </si>
  <si>
    <t>Li, X (corresponding author), China Geol Survey, Wuhan Inst Geol &amp; Mineral Resources, Wuhan 430223, Peoples R China.</t>
  </si>
  <si>
    <t>caiyf@nju.edu.cn</t>
  </si>
  <si>
    <t>Cai, Yuanfeng/O-4443-2015; wang, jian/GVS-0711-2022; Hu, Xiumian/A-8785-2011; Huang, Zhicheng/GRF-0932-2022</t>
  </si>
  <si>
    <t>Hu, Xiumian/0000-0002-5401-8682</t>
  </si>
  <si>
    <t>MOST 973 Project [2011CB822001, 2006CB701402]; NSFC [40772070]</t>
  </si>
  <si>
    <t>MOST 973 Project(National Basic Research Program of China); NSFC(National Natural Science Foundation of China (NSFC))</t>
  </si>
  <si>
    <t>We thank W. Zhu for performing the FTIR spectroscopy analyses. We also thank J. Li and W.L. Zhang for help with the SEM and EPMA, respectively. This work was financially supported by the MOST 973 Project (2011CB822001, 2006CB701402) and the NSFC Project (40772070).</t>
  </si>
  <si>
    <t>MINERALOGICAL SOC</t>
  </si>
  <si>
    <t>TWICKENHAM</t>
  </si>
  <si>
    <t>12 BAYLIS MEWS, AMYAND PARK ROAD,, TWICKENHAM TW1 3HQ, MIDDLESEX, ENGLAND</t>
  </si>
  <si>
    <t>0009-8558</t>
  </si>
  <si>
    <t>CLAY MINER</t>
  </si>
  <si>
    <t>Clay Min.</t>
  </si>
  <si>
    <t>10.1180/claymin.2012.047.1.45</t>
  </si>
  <si>
    <t>Chemistry, Physical; Geosciences, Multidisciplinary; Mineralogy</t>
  </si>
  <si>
    <t>Chemistry; Geology; Mineralogy</t>
  </si>
  <si>
    <t>913XU</t>
  </si>
  <si>
    <t>WOS:000301911500004</t>
  </si>
  <si>
    <t>Slangen, ABA; Katsman, CA; van de Wal, RSW; Vermeersen, LLA; Riva, REM</t>
  </si>
  <si>
    <t>Slangen, A. B. A.; Katsman, C. A.; van de Wal, R. S. W.; Vermeersen, L. L. A.; Riva, R. E. M.</t>
  </si>
  <si>
    <t>Towards regional projections of twenty-first century sea-level change based on IPCC SRES scenarios</t>
  </si>
  <si>
    <t>Regional sea level; Sea-level projections; Climate change</t>
  </si>
  <si>
    <t>CLIMATE-CHANGE; COUPLED MODEL; MASS-BALANCE; GLACIER; RISE; AREA; COLLAPSE; VARIABILITY; SIMULATION; SATELLITE</t>
  </si>
  <si>
    <t>Sea-level change is often considered to be globally uniform in sea-level projections. However, local relative sea-level (RSL) change can deviate substantially from the global mean. Here, we present maps of twenty-first century local RSL change estimates based on an ensemble of coupled climate model simulations for three emission scenarios. In the Intergovernmental Panel on Climate Change Fourth Assessment Report (IPCC AR4), the same model simulations were used for their projections of global mean sea-level rise. The contribution of the small glaciers and ice caps to local RSL change is calculated with a glacier model, based on a volume-area approach. The contributions of the Greenland and Antarctic ice sheets are obtained from IPCC AR4 estimates. The RSL distribution resulting from the land ice mass changes is then calculated by solving the sea-level equation for a rotating, elastic Earth model. Next, we add the pattern of steric RSL changes obtained from the coupled climate models and a model estimate for the effect of Glacial Isostatic Adjustment. The resulting ensemble mean RSL pattern reveals that many regions will experience RSL changes that differ substantially from the global mean. For the A1B ensemble, local RSL change values range from -3.91 to 0.79 m, with a global mean of 0.47 m. Although the RSL amplitude differs, the spatial patterns are similar for all three emission scenarios. The spread in the projections is dominated by the distribution of the steric contribution, at least for the processes included in this study. Extreme ice loss scenarios may alter this picture. For individual sites, we find a standard deviation for the combined contributions of approximately 10 cm, regardless of emission scenario.</t>
  </si>
  <si>
    <t>[Slangen, A. B. A.; van de Wal, R. S. W.] Univ Utrecht, Inst Marine &amp; Atmospher Res, NL-3584 CC Utrecht, Netherlands; [Katsman, C. A.] Royal Netherlands Meteorol Inst KNMI, NL-3730 AE De Bilt, Netherlands; [Vermeersen, L. L. A.] Delft Univ Technol, Fac Aerosp Engn, NL-2629 HS Delft, Netherlands</t>
  </si>
  <si>
    <t>Utrecht University; Royal Netherlands Meteorological Institute; Delft University of Technology</t>
  </si>
  <si>
    <t>Slangen, ABA (corresponding author), Univ Utrecht, Inst Marine &amp; Atmospher Res, Princetonpl 5, NL-3584 CC Utrecht, Netherlands.</t>
  </si>
  <si>
    <t>a.slangen@uu.nl</t>
  </si>
  <si>
    <t>van de wal, roderik/D-1705-2011; Slangen, Aimee/H-5839-2015</t>
  </si>
  <si>
    <t>van de wal, roderik/0000-0003-2543-3892; Riva, Riccardo/0000-0002-2042-5669; Slangen, Aimee/0000-0001-6268-6683</t>
  </si>
  <si>
    <t>Netherlands Institute for Space Research (SRON) [ALW-GO-AO/07-14]</t>
  </si>
  <si>
    <t>Netherlands Institute for Space Research (SRON)</t>
  </si>
  <si>
    <t>We would like to thank J. Gregory for providing the SMB constants and the additional expansion data, V. Radic help with the WGI-XF data and J. Cogley for making this dataset available. We would also like to thank P. Stocchi and K. Lambeck for providing us with the ANU model. We acknowledge the international modeling groups for providing their data for analysis, the Program for Climate Model Diagnosis and Intercomparison (PCMDI) for collecting and archiving the model data, the JSC/CLIVAR Working Group on Coupled Modelling (WGCM) and their Coupled Model Intercomparison Project (CMIP) and Climate Simulation Panel for organizing the model data analysis activity, and the IPCC WG1 TSU for technical support. A.S is supported by the Netherlands Institute for Space Research (SRON) (ALW-GO-AO/07-14). We thank two anonymous reviewers for their useful</t>
  </si>
  <si>
    <t>10.1007/s00382-011-1057-6</t>
  </si>
  <si>
    <t>WOS:000302245900022</t>
  </si>
  <si>
    <t>Guglielmin, M; Cannone, N</t>
  </si>
  <si>
    <t>Guglielmin, Mauro; Cannone, Nicoletta</t>
  </si>
  <si>
    <t>A permafrost warming in a cooling Antarctica?</t>
  </si>
  <si>
    <t>CLIMATIC CHANGE</t>
  </si>
  <si>
    <t>NORTHERN VICTORIA LAND; TERRA-NOVA BAY; ACTIVE LAYER; TEMPERATURE; GRADIENT; MOISTURE; IMPACTS; CARBON</t>
  </si>
  <si>
    <t>The magnitude and even direction of recent Antarctic climate change is still debated because the paucity of long and complete instrumental data records. While along Antarctic Peninsula a strong warming coupled with large retreat of glaciers occurred, in continental Antarctica a cooling was recently detected. Here, the first existing permafrost data set longer than 10 years recorded in continental Antarctica is presented. Since 1997 summer ground surface temperature showed a strong warming trend (0.31A degrees C per year) although the air temperature was almost stable. The summer ground surface temperature increase seemed to be influenced mainly by the increase of the total summer radiation as confirmed also by the increase of the summer thawing degree days. In the same period the active layer exhibited a thickening trend (1 cm per year) comparable with the thickening rates observed in several Arctic locations where air warming occurred. At all the investigated depths permafrost exhibited an increase of mean annual temperature of approximately 0.1A degrees C per year. The dichotomy between active layer thickness and air temperature trends can produce large unexepected and unmodelled impacts on ecosystems and CO2 balance.</t>
  </si>
  <si>
    <t>[Guglielmin, Mauro] Insubria Univ, DBSF, I-21100 Varese, Italy; [Cannone, Nicoletta] Insubria Univ, Dept Chem &amp; Environm Sci, I-22100 Como, Italy</t>
  </si>
  <si>
    <t>University of Insubria; University of Insubria</t>
  </si>
  <si>
    <t>Guglielmin, M (corresponding author), Insubria Univ, DBSF, Via JH Dunant 3, I-21100 Varese, Italy.</t>
  </si>
  <si>
    <t>mauro.guglielmin@uninsubria.it; nicoletta.cannone@uninsubria.it</t>
  </si>
  <si>
    <t>Cannone, Nicoletta/W-8651-2019</t>
  </si>
  <si>
    <t>Cannone, Nicoletta/0000-0002-3390-3965</t>
  </si>
  <si>
    <t>PNRA (Progetto Nazionale di Ricerca in Antartide) [5.3]</t>
  </si>
  <si>
    <t>PNRA (Progetto Nazionale di Ricerca in Antartide)</t>
  </si>
  <si>
    <t>The research was carried out in the framework of the PNRA (Progetto Nazionale di Ricerca in Antartide), project 5.3 Permafrost and Global Change II. Climatic data at Eneide were kindly furnished by PNRA (www.climaantartide.it). Special thanks to Prof. F.E. Nelson and two anonymous reviewers for their useful comments and suggestions.</t>
  </si>
  <si>
    <t>0165-0009</t>
  </si>
  <si>
    <t>1573-1480</t>
  </si>
  <si>
    <t>Clim. Change</t>
  </si>
  <si>
    <t>10.1007/s10584-011-0137-2</t>
  </si>
  <si>
    <t>892VU</t>
  </si>
  <si>
    <t>WOS:000300314500002</t>
  </si>
  <si>
    <t>Racault, MF; Le Quéré, C; Buitenhuis, E; Sathyendranath, S; Platt, T</t>
  </si>
  <si>
    <t>Racault, Marie-Fanny; Le Quere, Corinne; Buitenhuis, Erik; Sathyendranath, Shubha; Platt, Trevor</t>
  </si>
  <si>
    <t>Phytoplankton phenology in the global ocean</t>
  </si>
  <si>
    <t>Phytoplankton phenology; Interannual variability; Climate forcing; Remote sensing; Ecological indicator</t>
  </si>
  <si>
    <t>LONG-TERM CHANGES; SUB-ARCTIC PACIFIC; CRITICAL DEPTH; NORTH PACIFIC; INTERANNUAL VARIABILITY; TEMPORAL VARIABILITY; EQUATORIAL PACIFIC; SUBTROPICAL GYRE; SOUTHERN-OCEAN; TIME-SERIES</t>
  </si>
  <si>
    <t>In recent years, phytoplankton phenology has been proposed as an indicator to monitor systematically the state of the pelagic ecosystem and to detect changes triggered by perturbation of the environmental conditions. Here we describe the phenology of phytoplankton growth for the world ocean using remote-sensing ocean colour data, and analyse its variability between 1998 and 2007. Generally, the tropics and subtropics present long growing period (approximate to 15-20 weeks) of low amplitude (&lt;0.5 mg Chl m(-3)), whereas the high-latitudes show short growing period (&lt;10 weeks) of high amplitude (up to 7 mg Chl m(-3)). Statistical analyses suggest a close coupling between the development of the growing period and the seasonal increase in insolation in the North Atlantic and Southern Ocean. In the tropics and subtropics, variability in light is low, and the growing period is controlled by nutrient supply occurring when mixing increases. Large interannual variability in the duration of the growing period is observed over the decade 1998-2007, with positive anomalies following the major 1997-1998 El Nino-La Nina events, and generally negative anomalies from 2003 to 2007. Warmer Sea-Surface Temperature (SST) over the duration of the growing period is associated with longer duration at high-latitudes indicating an extension of the growing period over summer months. The opposite is observed in the tropics and subtropics, where the duration is shorter when the SST is warmer, indicating increased stratification. Positive phases of North Atlantic Oscillation and Southern Annular Mode and negative phases of Multivariate El Nino-Southern Oscillation index (El Nino conditions), associated with enhanced water mixing and nutrients supply, generally sustain longer growth. On the basis of the results, perspectives are drawn on the utility of phenology as an organising principle for the analysis of pelagic ecosystem. (C) 2011 Elsevier Ltd. All rights reserved.</t>
  </si>
  <si>
    <t>[Racault, Marie-Fanny; Sathyendranath, Shubha; Platt, Trevor] Plymouth Marine Lab, Plymouth PL1 3DH, Devon, England; [Racault, Marie-Fanny; Le Quere, Corinne; Buitenhuis, Erik] Univ E Anglia, Sch Environm Sci, Norwich NR4 7TJ, Norfolk, England; [Le Quere, Corinne] British Antarctic Survey, Cambridge CB3 0ET, England</t>
  </si>
  <si>
    <t>Plymouth Marine Laboratory; University of East Anglia; UK Research &amp; Innovation (UKRI); Natural Environment Research Council (NERC); NERC British Antarctic Survey</t>
  </si>
  <si>
    <t>Racault, MF (corresponding author), Plymouth Marine Lab, Prospect Pl, Plymouth PL1 3DH, Devon, England.</t>
  </si>
  <si>
    <t>mfrt@pml.ac.uk</t>
  </si>
  <si>
    <t>Racault, Marie-Fanny/D-7190-2016; Le Quéré, Corinne/C-2631-2017; Buitenhuis, Erik/A-7692-2012</t>
  </si>
  <si>
    <t>Racault, Marie-Fanny/0000-0002-7584-2515; Le Quéré, Corinne/0000-0003-2319-0452; Buitenhuis, Erik/0000-0001-6274-5583</t>
  </si>
  <si>
    <t>EU [511176[GOCE]]; UK NERC/QUEST [NE/C516128/1]; Ocean Colour Climate Change Initiative (ESA); EC [265294[FP7-ENV-2010]]; NERC [earth010003, bas010011, pml010008] Funding Source: UKRI; Natural Environment Research Council [NE/C516079/1, pml010008, bas010011, earth010003] Funding Source: researchfish</t>
  </si>
  <si>
    <t>EU(European Union (EU)); UK NERC/QUEST(UK Research &amp; Innovation (UKRI)Natural Environment Research Council (NERC)); Ocean Colour Climate Change Initiative (ESA)(European Space Agency); EC(European Union (EU)European Commission Joint Research Centre); NERC(UK Research &amp; Innovation (UKRI)Natural Environment Research Council (NERC)); Natural Environment Research Council(UK Research &amp; Innovation (UKRI)Natural Environment Research Council (NERC))</t>
  </si>
  <si>
    <t>The authors acknowledge C. Enright for programming support; the members of the Dynamic Green Ocean Project for discussions; the NASA Ocean Color Processing Group for providing SeaWiFS Chlorophyll data; the NOAA Earth System Research Laboratory for providing SST and MEI data; the NOAA Climate Prediction Center and BAS for providing historical archives of NAO and SAM, respectively. CLQ and ETB were supported by the EU project CARBOOCEAN (511176[GOCE]) and by the UK NERC/QUEST project Marquest (NE/C516128/1). SS, TP and MFR are supported by Ocean Colour Climate Change Initiative (ESA) and EC GreenSeas project (265294[FP7-ENV-2010]).</t>
  </si>
  <si>
    <t>10.1016/j.ecolind.2011.07.010</t>
  </si>
  <si>
    <t>855KZ</t>
  </si>
  <si>
    <t>WOS:000297564600018</t>
  </si>
  <si>
    <t>Ghiglione, JF; Murray, AE</t>
  </si>
  <si>
    <t>Ghiglione, J. F.; Murray, A. E.</t>
  </si>
  <si>
    <t>Pronounced summer to winter differences and higher wintertime richness in coastal Antarctic marine bacterioplankton</t>
  </si>
  <si>
    <t>ENVIRONMENTAL MICROBIOLOGY</t>
  </si>
  <si>
    <t>16S RIBOSOMAL-RNA; BACTERIAL COMMUNITIES; ROSS SEA; HETEROTROPHIC PICOPLANKTON; MICROBIAL COMMUNITIES; VERTICAL-DISTRIBUTION; RARE BIOSPHERE; SOUTHERN-OCEAN; SP-NOV; DIVERSITY</t>
  </si>
  <si>
    <t>Marine bacterioplankton studies over the annual cycle in polar systems are limited due to logistic constraints in site access and support. Here, we conducted a comparative study of marine bacterioplankton sampled at several time points over the annual cycle (12 occasions each) at sub-Antarctic Kerguelen Islands (KI) and Antarctic Peninsula (AP) coastal sites in order to establish a better understanding of the extent and nature of variation in diversity and community structure at these different latitudes (49-64S). Molecular methods targeting the 16S rRNA gene (DGGE, CE-SSCP and tag pyrosequencing) suggest a strong seasonal pattern with higher richness in winter and a clear influence of phytoplankton bloom events on bacterioplankton community structure and diversity in both locations. The distribution of sequence tags within Gammaproteobacteria, Alphaproteobacteria and Bacteriodetes differed between the two regions. At both sites, several abundant Rhodobacteraceae, uncultivated Gammaproteobacteria and Bacteriodetes-associated tags displayed intense seasonal variation often with similar trends at both sites. This enhanced understanding of variability in dominant groups of bacterioplankton over the annual cycle contributes to an expanding baseline to understand climate change impacts in the coastal zone of polar oceans and provides a foundation for comparison with open ocean polar systems.</t>
  </si>
  <si>
    <t>[Murray, A. E.] Desert Res Inst, Reno, NV 89512 USA; [Ghiglione, J. F.] CNRS, UMR7621, Lab Oceanog Microbienne LOMIC, F-66651 Banyuls Sur Mer, France; [Ghiglione, J. F.] Univ Paris 06, UMR 7621, Lab ARAGO, F-66651 Banyuls Sur Mer, France</t>
  </si>
  <si>
    <t>Nevada System of Higher Education (NSHE); Desert Research Institute NSHE; Centre National de la Recherche Scientifique (CNRS); CNRS - National Institute for Earth Sciences &amp; Astronomy (INSU); Sorbonne Universite; Sorbonne Universite; Centre National de la Recherche Scientifique (CNRS); CNRS - National Institute for Earth Sciences &amp; Astronomy (INSU)</t>
  </si>
  <si>
    <t>Murray, AE (corresponding author), Desert Res Inst, 2215 Raggio Pkwy, Reno, NV 89512 USA.</t>
  </si>
  <si>
    <t>alison.murray@dri.edu</t>
  </si>
  <si>
    <t>Ghiglione, Jean-Francois JF/A-7540-2011</t>
  </si>
  <si>
    <t>Institut Francais pour la Recherche et la Technologie Polaires; Sloan Foundation; W. M. Keck foundation; NSF [ANT-0632389]; [ANT-0217282]</t>
  </si>
  <si>
    <t>Institut Francais pour la Recherche et la Technologie Polaires; Sloan Foundation(Alfred P. Sloan Foundation); W. M. Keck foundation(W.M. Keck Foundation); NSF(National Science Foundation (NSF));</t>
  </si>
  <si>
    <t>The collection of large data sets in the Antarctic over the annual cycle relies on a number of people to make this happen. We thank the 'Institut Francais pour la Recherche et la Technologie Polaires' for support and A. Duval and D. Delille for sample collections at the Kerguelen Island station. We thank L. Oriol, B. Riviere, F. Lantoine, F. Saury, F. Guigui and C. Sauret for their contributions to nutrients, chlorophyll measurements and CE-SSCP profiling. We thank A. Amos for providing the temperature data for the Antarctic Peninsula, and RPSC for assistance in sample collection and providing the solar radiation data. The Palmer LTER program (ANT-0217282) is also acknowledged for their data collections during the 2001-2002 field season. The Census of Antarctic Marine Life, funded by the Sloan Foundation, contributed significantly to this study through facilitating this collaboration. Pyrosequencing was provided by the International Census of Marine Microbes (ICoMM) with financial support from a W. M. Keck foundation award to the Marine Biological Laboratory in Woods Hole. In addition, this work was supported in part by NSF award ANT-0632389 to AEM.</t>
  </si>
  <si>
    <t>1462-2912</t>
  </si>
  <si>
    <t>1462-2920</t>
  </si>
  <si>
    <t>ENVIRON MICROBIOL</t>
  </si>
  <si>
    <t>Environ. Microbiol.</t>
  </si>
  <si>
    <t>10.1111/j.1462-2920.2011.02601.x</t>
  </si>
  <si>
    <t>922IF</t>
  </si>
  <si>
    <t>WOS:000302539900006</t>
  </si>
  <si>
    <t>Berry, RE; Bull, SW</t>
  </si>
  <si>
    <t>Berry, Ron E.; Bull, Stuart W.</t>
  </si>
  <si>
    <t>The pre-Carboniferous geology of Tasmania</t>
  </si>
  <si>
    <t>EPISODES</t>
  </si>
  <si>
    <t>KING ISLAND; TECTONIC EVOLUTION; WESTERN TASMANIA; ARTHUR-LINEAMENT; MATHINNA GROUP; GRASSY GROUP; METAMORPHISM; HISTORY; GEOCHEMISTRY; AUSTRALIA</t>
  </si>
  <si>
    <t>Tasmania evolved over 900 Myr as a small fragment on the margin of Gondwana. There are three episodes of passive margin sedimentation from the Mesoproterozoic to the Devonian. Tasmania rifted from the Antarctic margin as part of Rodinia breakup and was then involved in West-Pacific-Style tectonics along the eastern margin of Gondwana through the Paleozoic. Arc-continent collision led to ophiolite obduction in the Cambrian. Much of this geological history can be recognised from the excellent coastal exposures along the north coast of Tasmania.</t>
  </si>
  <si>
    <t>[Berry, Ron E.] Univ Tasmania, Sch Earth Sci, Hobart, Tas, Australia; [Bull, Stuart W.] Univ Tasmania, CODES, Hobart, Tas, Australia</t>
  </si>
  <si>
    <t>Berry, RE (corresponding author), Univ Tasmania, Sch Earth Sci, Hobart, Tas, Australia.</t>
  </si>
  <si>
    <t>Ron.Berry@utas.edu.au; Stuart.Bull@utas.edu.au</t>
  </si>
  <si>
    <t>Berry, Ron/0000-0002-5547-3396</t>
  </si>
  <si>
    <t>GEOLOGICAL SOC KOREA</t>
  </si>
  <si>
    <t>KOREA SCIENCE &amp; TECHNOLOGY CTR, RM 813, 7 GIL 22, TEHERAN- RO, GANGNAM-GUNA, SEOUL, 06130, SOUTH KOREA</t>
  </si>
  <si>
    <t>0705-3797</t>
  </si>
  <si>
    <t>Episodes</t>
  </si>
  <si>
    <t>10.18814/epiiugs/2012/v35i1/019</t>
  </si>
  <si>
    <t>098OP</t>
  </si>
  <si>
    <t>WOS:000315558900019</t>
  </si>
  <si>
    <t>Nicol, S; Foster, J; Kawaguchi, S</t>
  </si>
  <si>
    <t>Nicol, Stephen; Foster, Jacqueline; Kawaguchi, So</t>
  </si>
  <si>
    <t>The fishery for Antarctic krill - recent developments</t>
  </si>
  <si>
    <t>FISH AND FISHERIES</t>
  </si>
  <si>
    <t>Antarctic krill; CCAMLR; fishery</t>
  </si>
  <si>
    <t>SOYBEAN-BASED DIETS; GADUS-MORHUA L.; SOUTHERN-OCEAN; GROWTH; MANAGEMENT; ATLANTIC; TRENDS; MEAL; REPLACEMENT; OIL</t>
  </si>
  <si>
    <t>The fishery for Antarctic krill (Euphausia superba) is the largest by tonnage in the Southern Ocean. The catch remained relatively stable at around 120 000 tonnes for 17 years until 2009, but has recently increased to more than 200 000 tonnes. The Commission for the Conservation of Antarctic Marine Living Resources precautionary catch limits for this species total over 8.6 million tonnes so it remains one of the oceans largest known underexploited stocks. Recent developments in harvesting technology and in products being derived from krill indicate renewed interest in exploiting this resource. At the same time, there are changes in the Southern Ocean environment that are affecting both krill and the fishery. This paper summarizes the current state of this fishery and highlights the changes that are affecting it.</t>
  </si>
  <si>
    <t>[Nicol, Stephen; Kawaguchi, So] Australian Antarctic Div, Kingston, Tas 7050, Australia; [Nicol, Stephen; Foster, Jacqueline; Kawaguchi, So] Antarctic Climate &amp; Ecosyst Cooperat Res Ctr, Hobart, Tas 7001, Australia</t>
  </si>
  <si>
    <t>Australian Antarctic Division; Antarctic Climate &amp; Ecosystems Cooperative Research Centre (ACE CRC)</t>
  </si>
  <si>
    <t>Nicol, S (corresponding author), Australian Antarctic Div, 203 Channel Highway, Kingston, Tas 7050, Australia.</t>
  </si>
  <si>
    <t>steve.nicol@aad.gov.au</t>
  </si>
  <si>
    <t>Kawaguchi, So/N-1795-2017</t>
  </si>
  <si>
    <t>Kawaguchi, So/0000-0002-2042-5095</t>
  </si>
  <si>
    <t>Antarctic Climate and Ecosystems Co-operative Research Centre; Australian Government; Institute of Marine and Antarctic Studies, University of Tasmania</t>
  </si>
  <si>
    <t>Antarctic Climate and Ecosystems Co-operative Research Centre(Australian GovernmentDepartment of Industry, Innovation and ScienceCooperative Research Centres (CRC) Programme); Australian Government(Australian Government); Institute of Marine and Antarctic Studies, University of Tasmania</t>
  </si>
  <si>
    <t>Jacqui Foster has been supported through a postgraduate scholarship with the Antarctic Climate and Ecosystems Co-operative Research Centre funded by the Australian Government's Cooperative Research Centres Programme and through the Institute of Marine and Antarctic Studies at the University of Tasmania.</t>
  </si>
  <si>
    <t>1467-2960</t>
  </si>
  <si>
    <t>FISH FISH</t>
  </si>
  <si>
    <t>Fish. Fish.</t>
  </si>
  <si>
    <t>10.1111/j.1467-2979.2011.00406.x</t>
  </si>
  <si>
    <t>871LZ</t>
  </si>
  <si>
    <t>WOS:000298740900003</t>
  </si>
  <si>
    <t>Carpenter, RJ; Jordan, GJ; Macphail, MK; Hill, RS</t>
  </si>
  <si>
    <t>Carpenter, Raymond J.; Jordan, Gregory J.; Macphail, Mike K.; Hill, Robert S.</t>
  </si>
  <si>
    <t>Near-tropical Early Eocene terrestrial temperatures at the Australo-Antarctic margin, western Tasmania</t>
  </si>
  <si>
    <t>SOUTHWEST PACIFIC; SEA TEMPERATURES; REGATTA POINT; WARM; PALEOCLIMATE; CLIMATE; MARINE; REGION; WET</t>
  </si>
  <si>
    <t>A worldwide greenhouse warm climate prevailed in the Early Eocene, and nowhere was warming more dramatic than at high latitudes. Sea-surface temperatures of similar to 34 degrees C have been estimated for a site at paleolatitude 65 degrees S on the East Tasman Plateau of the southwest Pacific Ocean, but these estimates require independent validation, including from terrestrial proxies. Here we determine a near-tropical terrestrial mean annual temperature estimate of similar to 24 degrees C at sea level for an Early Eocene site in Tasmania, Australia, using three proxies based on well-dated estuarine plant fossils. This estimate is lower than the nearby sea estimates to the east, but similarly suggests that, as in the southwest Pacific, Early Eocene climates in the eastern Australo-Antarctic region were warmer than inferred elsewhere at high latitudes, including on the Antarctic Peninsula. Such data are essential for improving our understanding of climatic and biotic evolution in the Southern Hemisphere.</t>
  </si>
  <si>
    <t>[Carpenter, Raymond J.; Hill, Robert S.] Univ Adelaide, Sch Earth &amp; Environm Sci, Adelaide, SA 5005, Australia; [Jordan, Gregory J.] Univ Tasmania, Sch Plant Sci, Hobart, Tas 7001, Australia; [Macphail, Mike K.] Australian Natl Univ, Dept Archaeol &amp; Nat Hist, Coll Asia &amp; Pacific, Canberra, ACT 0200, Australia; [Hill, Robert S.] S Australian Museum, Ctr Evolutionary Biol &amp; Biodivers, Adelaide, SA 5000, Australia</t>
  </si>
  <si>
    <t>University of Adelaide; University of Tasmania; Australian National University</t>
  </si>
  <si>
    <t>Carpenter, RJ (corresponding author), Univ Adelaide, Sch Earth &amp; Environm Sci, Adelaide, SA 5005, Australia.</t>
  </si>
  <si>
    <t>Hill, Robert/AAB-1686-2019; Jordan, Gregory/B-3932-2013</t>
  </si>
  <si>
    <t>Hill, Robert/0000-0003-4564-4339; Jordan, Gregory/0000-0002-6033-2766; Carpenter, Raymond/0000-0001-7129-2870</t>
  </si>
  <si>
    <t>We thank Steve Forsyth for advising us of the site, Helen Caville for access, Alan Partridge for discussion on dating, Kale Sniderman for assistance with climate profiling, and the Australian Research Council for funding.</t>
  </si>
  <si>
    <t>10.1130/G32584.1</t>
  </si>
  <si>
    <t>904CL</t>
  </si>
  <si>
    <t>WOS:000301171200021</t>
  </si>
  <si>
    <t>Ahn, I; Lee, JI; Kusakabe, M; Choi, BG</t>
  </si>
  <si>
    <t>Ahn, Insu; Lee, Jong Ik; Kusakabe, Minoru; Choi, Byeon-Gak</t>
  </si>
  <si>
    <t>Oxygen isotope measurements of terrestrial silicates using a CO2-laser BrF5 fluorination technique and the slope of terrestrial fractionation line</t>
  </si>
  <si>
    <t>GEOSCIENCES JOURNAL</t>
  </si>
  <si>
    <t>oxygen isotopes; laser-fluorination; terrestrial fractionation line</t>
  </si>
  <si>
    <t>HIGH-PRECISION; O-2 GAS; LASER; RATIOS; MINERALS; QUARTZ; MICROANALYSIS; O-18/O-16; O-17/O-16; GARNET</t>
  </si>
  <si>
    <t>Here we report oxygen isotopic compositions (both delta O-18 and delta O-17) of San Carlos olivine, Juan de Fuca basalt glass, garnet standard at University of Wisconsin (UWG-2 garnet), National Bureau of standard #28 quartz (NBS-28 quartz), a hydrothermal quartz from China (CQ4 quartz), chert flint standard and a serpentine measured with a CO2-laser BrF5 fluorination system installed at Korea Polar Research Institute. In addition we measured VSMOW (Vienna standard mean ocean water) and SLAP (standard light Antarctic precipitation) with the same line; a scaling factor of 1.056 was obtained to fit the measured SLAP data to the recommended value of delta O-18(SMOW) = -55.5aEuro degrees. All the other data were corrected using the VSMOW-SLAP scaling factor. Majority of the samples in this work have been measured by several laboratories; our data in general agree very well with previous data. We report data using the delta prime notation, since linearity of a mass-dependent fractionation line holds in delta'O-17 vs. delta'O-18 diagram for wide range of oxygen isotopic compositions. Average delta'O-18 values and 2 sigma standard error of means are 5.27 +/- 0.04aEuro degrees for San Carlos olivine, 5.49 +/- 0.02aEuro degrees for Juan de Fuca basalt glass, 5.73 +/- 0.05aEuro degrees for UWG-2 garnet, 9.18 +/- 0.08aEuro degrees for NBS-28 quartz, 23.14 +/- 0.36aEuro degrees for CQ4 quartz, 33.97 +/- 0.16aEuro degrees for chert flint standard and 0.78 +/- 0.07aEuro degrees for the serpentine. Slope of terrestrial fractionation was obtained using these data, which is 0.5248 +/- 0.0003 (R-2 = 0.99992).</t>
  </si>
  <si>
    <t>[Choi, Byeon-Gak] Seoul Natl Univ, Dept Earth Sci Educ, Seoul 151748, South Korea; [Ahn, Insu; Lee, Jong Ik] Korea Polar Res Inst, Inchon 406840, South Korea; [Kusakabe, Minoru] Toyama Univ, Toyama 9308555, Japan</t>
  </si>
  <si>
    <t>Seoul National University (SNU); Korea Polar Research Institute (KOPRI); Korea Institute of Ocean Science &amp; Technology (KIOST); University of Toyama</t>
  </si>
  <si>
    <t>Choi, BG (corresponding author), Seoul Natl Univ, Dept Earth Sci Educ, Seoul 151748, South Korea.</t>
  </si>
  <si>
    <t>bchoi@snu.ac.kr</t>
  </si>
  <si>
    <t>Kusakabe, Minoru/Q-3258-2019</t>
  </si>
  <si>
    <t>KOPRI [PE12060]; NRF-MEST [2011-0027574]</t>
  </si>
  <si>
    <t>KOPRI(Korea Polar Research Institute of Marine Research Placement (KOPRI)); NRF-MEST(Ministry of Education, Science &amp; Technology (MEST), Republic of Korea)</t>
  </si>
  <si>
    <t>We would like to thank Prof. Insung Lee and an anonymous reviewer as well as the editor, Prof. Kyoungwon Kyle Min for their helpful comments on the manuscript. We also thank Mr. In-Seong Yoo of KOPRI for his technical support on development of the laser-fluorination system and Mr. Susumu Takano of Hiruzen Institute for Geology and Chronology for his help on maintenance of the mass spectrometer in KOPRI. We are grateful to Prof. Dong-Bok Shin of Kongju National University for his kind donation of serpentine samples. This work was supported by KOPRI project (PE12060) to J. I. Lee and by the NRF-MEST grant (2011-0027574) to B.-G. Choi.</t>
  </si>
  <si>
    <t>GEOLOGICAL SOCIETY KOREA</t>
  </si>
  <si>
    <t>NEW BLD RM 813, KSTC, 835-4, YEOKSAM-DONG, KANGNAM-GU, SEOUL, 135-703, SOUTH KOREA</t>
  </si>
  <si>
    <t>1226-4806</t>
  </si>
  <si>
    <t>1598-7477</t>
  </si>
  <si>
    <t>GEOSCI J</t>
  </si>
  <si>
    <t>Geosci. J.</t>
  </si>
  <si>
    <t>10.1007/s12303-012-0011-x</t>
  </si>
  <si>
    <t>909XO</t>
  </si>
  <si>
    <t>WOS:000301600600002</t>
  </si>
  <si>
    <t>Legezynska, J; Kedra, M; Walkusz, W</t>
  </si>
  <si>
    <t>Legezynska, Joanna; Kedra, Monika; Walkusz, Wojciech</t>
  </si>
  <si>
    <t>When season does not matter: summer and winter trophic ecology of Arctic amphipods</t>
  </si>
  <si>
    <t>HYDROBIOLOGIA</t>
  </si>
  <si>
    <t>Amphipoda; Arctic; Trophic ecology; Seasonality; Fatty acids; Stable isotopes</t>
  </si>
  <si>
    <t>FOOD-WEB STRUCTURE; MARGINAL ICE-ZONE; ANTARCTIC PENINSULA SHELF; FATTY-ACID-COMPOSITION; CRUSTACEA-AMPHIPODA; ANONYX-SARSI; GAMMARIDEAN AMPHIPODA; LYSIANASSID AMPHIPODS; TEMPORAL DISTRIBUTION; BENTHIC COMMUNITY</t>
  </si>
  <si>
    <t>Polar marine ecosystems' functioning is known to be strongly affected by the seasonality of water column production. However, a response of benthic organisms may range from close coupling to total decoupling from seasonal variability of environmental processes, depending on a feeding strategy. In this study, we used a multi-method approach (gut content, lipid and stable isotope analyses) to examine trophic ecology and major food sources of a large set of Arctic sub-littoral amphipods, and to evaluate whether their feeding strategies undergo seasonal changes. The wide range of delta N-15 values (5.45-12.43aEuro degrees) indicates that amphipods form a trophic continuum from primary herbivores to carnivores/scavengers. Three main feeding modes, namely scavenging/predatory, deposit-feeding/predatory and phytodetrivory, were distinguished based on the multivariate analysis of whole fatty acid profiles. Total lipid content was low in all species and included primarily short-term energy reserves of triacylglycerols. In general, amphipods feeding habits appeared to be independent of the seasonal phytodetritial pulses. Low reliance on lipid reserves and lack of major changes in the trophic strategies over time suggest that these crustaceans feed continuously, taking advantage of a variety of food sources that are available year-round in shallow polar waters.</t>
  </si>
  <si>
    <t>[Legezynska, Joanna; Kedra, Monika; Walkusz, Wojciech] Polish Acad Sci, Inst Oceanol, PL-81712 Sopot, Poland; [Walkusz, Wojciech] 501 Univ Crescent, Dept Fisheries &amp; Oceans, Winnipeg, MB R3T 2N6, Canada</t>
  </si>
  <si>
    <t>Polish Academy of Sciences; Institute of Oceanology of the Polish Academy of Sciences; Fisheries &amp; Oceans Canada</t>
  </si>
  <si>
    <t>Legezynska, J (corresponding author), Polish Acad Sci, Inst Oceanol, Powstancow Warszawy 55, PL-81712 Sopot, Poland.</t>
  </si>
  <si>
    <t>zosia@iopan.gda.pl</t>
  </si>
  <si>
    <t>Legezynska, Joanna/0000-0001-7718-0335; Kedra, Monika/0000-0002-2223-5850</t>
  </si>
  <si>
    <t>European Centre for Arctic Environmental Research (ARCFAC) [ARCFAC-026129-2009-28]; Polish Ministry of Science [1033/ARCFAC/2009/7, 0252/B/P01/2009/36]</t>
  </si>
  <si>
    <t>European Centre for Arctic Environmental Research (ARCFAC); Polish Ministry of Science(Ministry of Science and Higher Education, Poland)</t>
  </si>
  <si>
    <t>Funding for this study came from European Centre for Arctic Environmental Research (ARCFAC) (Grant: ARCFAC-026129-2009-28) and Polish Ministry of Science (Grants: 1033/ARCFAC/2009/7 and 0252/B/P01/2009/36). This research would not have been possible without the support and great company of Wojtek Moskal, Piotr Balazy, Marta Gluchowska, Anna Kubiszyn, Piotr Kuklinski, Agnieszka Tatarek, Emilia Trudnowska, Jozef Wiktor and Agata Zaborska. We also acknowledge two anonymous referees who greatly improved the original version of the manuscript.</t>
  </si>
  <si>
    <t>0018-8158</t>
  </si>
  <si>
    <t>1573-5117</t>
  </si>
  <si>
    <t>Hydrobiologia</t>
  </si>
  <si>
    <t>10.1007/s10750-011-0982-z</t>
  </si>
  <si>
    <t>893BF</t>
  </si>
  <si>
    <t>WOS:000300329600014</t>
  </si>
  <si>
    <t>Williams, SB; Pizarro, OR; Jakuba, MV; Johnson, CR; Barrett, NS; Babcock, RC; Kendrick, GA; Steinberg, PD; Heyward, AJ; Doherty, PJ; Mahon, I; Johnson-Roberson, M; Steinberg, D; Friedman, A</t>
  </si>
  <si>
    <t>Williams, Stefan B.; Pizarro, Oscar R.; Jakuba, Michael V.; Johnson, Craig R.; Barrett, Neville S.; Babcock, Russell C.; Kendrick, Gary A.; Steinberg, Peter D.; Heyward, Andrew J.; Doherty, Peter J.; Mahon, Ian; Johnson-Roberson, Matthew; Steinberg, Daniel; Friedman, Ariell</t>
  </si>
  <si>
    <t>Monitoring of Benthic Reference Sites Using an Autonomous Underwater Vehicle</t>
  </si>
  <si>
    <t>IEEE ROBOTICS &amp; AUTOMATION MAGAZINE</t>
  </si>
  <si>
    <t>[Williams, Stefan B.; Pizarro, Oscar R.; Jakuba, Michael V.; Mahon, Ian; Johnson-Roberson, Matthew; Steinberg, Daniel; Friedman, Ariell] Univ Sydney, ACFR, Sydney, NSW 2006, Australia; [Johnson, Craig R.; Barrett, Neville S.] Univ Tasmania, Inst Marine &amp; Antarctic Studies, Hobart, Tas 7001, Australia; [Babcock, Russell C.] CSIRO Marine &amp; Atmospher Res, Brisbane, Qld 4001, Australia; [Kendrick, Gary A.] Univ Western Australia, Oceans Inst, Crawley, WA 6009, Australia; [Kendrick, Gary A.] Univ Western Australia, Sch Plant Biol, Crawley, WA 6009, Australia; [Steinberg, Peter D.] Univ New S Wales, Ctr Marine Bioinnovat, Sydney, NSW 2052, Australia; [Steinberg, Peter D.] Sydney Inst Marine Sci, Sydney, NSW 2052, Australia; [Heyward, Andrew J.; Doherty, Peter J.] Australian Inst Marine Sci, Townsville, Qld 4810, Australia</t>
  </si>
  <si>
    <t>University of Sydney; University of Tasmania; Commonwealth Scientific &amp; Industrial Research Organisation (CSIRO); University of Western Australia; University of Western Australia; University of New South Wales Sydney; Sydney Institute of Marine Science; Australian Institute of Marine Science</t>
  </si>
  <si>
    <t>Williams, SB (corresponding author), Univ Sydney, ACFR, Sydney, NSW 2006, Australia.</t>
  </si>
  <si>
    <t>stefanw@acfr.usyd.edu.au; o.pizarro@cas.edu.au; jakuba.jhu@gmail.com; Neville.Barrett@utas.edu.au; Russ.Babcock@csiro.au; Gary.kendrick@una.edu.au; p.steinberg@unsw.edu.au; a.heyward@aims.gov.au; p.doherty@aims.gov.au; ian@510systems.com; mattkjr@gmail.com; dsteinberg@cas.edu.au; a.friedman@cas.edu.au</t>
  </si>
  <si>
    <t>Kendrick, Gary Andrew/B-3460-2011; Williams, Stefan/AAE-4376-2020; Barrett, Neville/J-7593-2014; Babcock, Russell/A-3794-2012; Doherty, Peter/K-5211-2015; Johnson, Craig/E-1788-2013</t>
  </si>
  <si>
    <t>Kendrick, Gary Andrew/0000-0002-0276-6064; Williams, Stefan/0000-0001-9416-5639; Pizarro, Oscar/0000-0001-6612-2738; Steinberg, Peter/0000-0002-1781-0726; Barrett, Neville/0000-0002-6167-1356; Babcock, Russell/0000-0002-7756-1290; Doherty, Peter/0000-0001-6863-0533; Steinberg, Daniel/0000-0003-1887-5115; Johnson, Craig/0000-0002-9511-905X</t>
  </si>
  <si>
    <t>Australian Research Council (ARC) Centre of Excellence; ARC; New South Wales State Government; IMOS through the Department of Innovation, Industry, Science and Research</t>
  </si>
  <si>
    <t>Australian Research Council (ARC) Centre of Excellence(Australian Research Council); ARC(Australian Research Council); New South Wales State Government; IMOS through the Department of Innovation, Industry, Science and Research</t>
  </si>
  <si>
    <t>This work is supported by the Australian Research Council (ARC) Centre of Excellence program, funded by the ARC and the New South Wales State Government, and IMOS through the Department of Innovation, Industry, Science and Research National Collaborative Research Infrastructure Scheme and Education Investment Fund. The authors thank the captains and crews of all of the vessels used to facilitate the deployment and recovery of the vehicle. They also acknowledge the help of all those who have contributed to the development and operation of the AUV, including Christian Lees, Andrew Durrant, Ritesh Lal, Paul Rigby, Jeremy Randle, Bruce Crundwell, and the late Duncan Mercer, George Powell, and Alan Trinder.</t>
  </si>
  <si>
    <t>1070-9932</t>
  </si>
  <si>
    <t>1558-223X</t>
  </si>
  <si>
    <t>IEEE ROBOT AUTOM MAG</t>
  </si>
  <si>
    <t>IEEE Robot. Autom. Mag.</t>
  </si>
  <si>
    <t>10.1109/MRA.2011.2181772</t>
  </si>
  <si>
    <t>Automation &amp; Control Systems; Robotics</t>
  </si>
  <si>
    <t>922IC</t>
  </si>
  <si>
    <t>WOS:000302539600013</t>
  </si>
  <si>
    <t>Yergeau, E; Bokhorst, S; Kang, S; Zhou, JZ; Greer, CW; Aerts, R; Kowalchuk, GA</t>
  </si>
  <si>
    <t>Yergeau, Etienne; Bokhorst, Stef; Kang, Sanghoon; Zhou, Jizhong; Greer, Charles W.; Aerts, Rien; Kowalchuk, George A.</t>
  </si>
  <si>
    <t>Shifts in soil microorganisms in response to warming are consistent across a range of Antarctic environments</t>
  </si>
  <si>
    <t>Antarctica; carbon cycle; GeoChip microarrays; global warming; nitrogen cycle; open-top chambers</t>
  </si>
  <si>
    <t>CLIMATE-CHANGE; MICROBIAL COMMUNITIES; FALKLAND ISLANDS; BACTERIAL; TEMPERATURE; MICROARRAY; DIVERSITY; FUNGAL; PLANT; FIELD</t>
  </si>
  <si>
    <t>Because of severe abiotic limitations, Antarctic soils represent simplified systems, where microorganisms are the principal drivers of nutrient cycling. This relative simplicity makes these ecosystems particularly vulnerable to perturbations, like global warming, and the Antarctic Peninsula is among the most rapidly warming regions on the planet. However, the consequences of the ongoing warming of Antarctica on microorganisms and the processes they mediate are unknown. Here, using 16S rRNA gene pyrosequencing and qPCR, we report highly consistent responses in microbial communities across disparate sub-Antarctic and Antarctic environments in response to 3 years of experimental field warming (+0.5 to 2 degrees C). Specifically, we found significant increases in the abundance of fungi and bacteria and in the Alphaproteobacteria-to-Acidobacteria ratio, which could result in an increase in soil respiration. Furthermore, shifts toward generalist bacterial communities following warming weakened the linkage between the bacterial taxonomic and functional richness. GeoChip microarray analyses also revealed significant warming effects on functional communities, specifically in the N-cycling microorganisms. Our results demonstrate that soil microorganisms across a range of sub-Antarctic and Antarctic environments can respond consistently and rapidly to increasing temperatures. The ISME Journal (2012) 6, 692-702; doi: 10.1038/ismej.2011.124; published online 22 September 2011</t>
  </si>
  <si>
    <t>[Yergeau, Etienne; Greer, Charles W.] Natl Res Council Canada, Biotechnol Res Inst, Montreal, PQ H4P 2R2, Canada; [Yergeau, Etienne; Kowalchuk, George A.] Netherlands Inst Ecol, Dept Microbial Ecol, Wageningen, Netherlands; [Bokhorst, Stef] Swedish Univ Agr Sci, Dept Forest Ecol &amp; Management, S-90183 Umea, Sweden; [Kang, Sanghoon; Zhou, Jizhong] Univ Oklahoma, Dept Bot &amp; Microbiol, Inst Environm Genom, Norman, OK 73019 USA; [Aerts, Rien; Kowalchuk, George A.] Vrije Univ Amsterdam, Inst Ecol Sci, Dept Syst Ecol, Amsterdam, Netherlands</t>
  </si>
  <si>
    <t>National Research Council Canada; Royal Netherlands Academy of Arts &amp; Sciences; Netherlands Institute of Ecology (NIOO-KNAW); Swedish University of Agricultural Sciences; University of Oklahoma System; University of Oklahoma - Norman; Vrije Universiteit Amsterdam</t>
  </si>
  <si>
    <t>Yergeau, E (corresponding author), Natl Res Council Canada, Biotechnol Res Inst, 6100 Royalmount Ave, Montreal, PQ H4P 2R2, Canada.</t>
  </si>
  <si>
    <t>Etienne.Yergeau@cnrc-nrc.gc.ca</t>
  </si>
  <si>
    <t>Bokhorst, Stef/D-1858-2009; Yergeau, Etienne/B-5344-2008; Kowalchuk, George A/C-4298-2011; 吴, 昊/AAB-1620-2020; Zhou, Jizhong/ACC-8029-2022; Yergeau, Etienne/AAZ-6145-2020; KNAW, NIOO-KNAW/A-4320-2012</t>
  </si>
  <si>
    <t>Zhou, Jizhong/0000-0003-2014-0564; Yergeau, Etienne/0000-0002-7112-3425; KNAW, NIOO-KNAW/0000-0002-3835-159X; Bokhorst, Stef/0000-0003-0184-1162; Kowalchuk, George/0000-0003-3866-0832; Aerts, Rien/0000-0001-6694-0669; Kang, Sanghoon/0000-0002-3504-7955</t>
  </si>
  <si>
    <t>Dutch Science Foundation (ALW-NWO) [851.20.018]; province of Quebec (FQRNT)</t>
  </si>
  <si>
    <t>Dutch Science Foundation (ALW-NWO)(Netherlands Organization for Scientific Research (NWO)); province of Quebec (FQRNT)(FQRNT)</t>
  </si>
  <si>
    <t>This study was supported by Dutch Science Foundation (ALW-NWO) Grant 851.20.018 to RA and GAK and a province of Quebec (FQRNT) postgraduate scholarship to EY. Ad Huiskes helped in the set up and maintenance of the open-top chambers. Merlijn Janssens is acknowledged for sampling at Signy Island. Wim van der Putten provided helpful comments on the research plan. The British Antarctic Survey (Pete Convey, Kevin Newsham and David Pearce) provided logistical support for soil sampling and valuable discussion. NIOO-KNAW publication #5029.</t>
  </si>
  <si>
    <t>10.1038/ismej.2011.124</t>
  </si>
  <si>
    <t>900JM</t>
  </si>
  <si>
    <t>WOS:000300883200021</t>
  </si>
  <si>
    <t>Holland, MM; Bailey, DA; Briegleb, BP; Light, B; Hunke, E</t>
  </si>
  <si>
    <t>Holland, Marika M.; Bailey, David A.; Briegleb, Bruce P.; Light, Bonnie; Hunke, Elizabeth</t>
  </si>
  <si>
    <t>Improved Sea Ice Shortwave Radiation Physics in CCSM4: The Impact of Melt Ponds and Aerosols on Arctic Sea Ice</t>
  </si>
  <si>
    <t>SURFACE ALBEDO; THICKNESS DISTRIBUTION; MODEL; SNOW; SUMMER; SENSITIVITY; EVOLUTION; EMISSIONS; TRANSPORT; BUDGET</t>
  </si>
  <si>
    <t>The Community Climate System Model, version 4 has revisions across all components. For sea ice, the most notable improvements are the incorporation of a new shortwave radiative transfer scheme and the capabilities that this enables. This scheme uses inherent optical properties to define scattering and absorption characteristics of snow, ice, and included shortwave absorbers and explicitly allows for melt ponds and aerosols. The deposition and cycling of aerosols in sea ice is now included, and a new parameterization derives ponded water from the surface meltwater flux. Taken together, this provides a more sophisticated, accurate, and complete treatment of sea ice radiative transfer. In preindustrial CO2 simulations, the radiative impact of ponds and aerosols on Arctic sea ice is 1.1 W m(-2) annually, with aerosols accounting for up to 8 W m-2 of enhanced June shortwave absorption in the Barents and Kara Seas and with ponds accounting for over 10 W m(-2) in shelf regions in July. In double CO2 (2XCO(2)) simulations with the same aerosol deposition, ponds have a larger effect, whereas aerosol effects are reduced, thereby modifying the surface albedo feedback. Although the direct forcing is modest, because aerosols and ponds influence the albedo, the response is amplified. In simulations with no ponds or aerosols in sea ice, the Arctic ice is over 1 m thicker and retains more summer ice cover. Diagnosis of a twentieth-century simulation indicates an increased radiative forcing from aerosols and melt ponds, which could play a role in twentieth-century Arctic sea ice reductions. In contrast, ponds and aerosol deposition have little effect on Antarctic sea ice for all climates considered.</t>
  </si>
  <si>
    <t>[Holland, Marika M.; Bailey, David A.; Briegleb, Bruce P.] Natl Ctr Atmospher Res, Boulder, CO 80307 USA; [Light, Bonnie] Univ Washington, Seattle, WA 98195 USA; [Hunke, Elizabeth] Los Alamos Natl Lab, Los Alamos, NM USA</t>
  </si>
  <si>
    <t>National Center Atmospheric Research (NCAR) - USA; University of Washington; University of Washington Seattle; United States Department of Energy (DOE); Los Alamos National Laboratory</t>
  </si>
  <si>
    <t>Holland, MM (corresponding author), 1850 Table Mesa Dr, Boulder, CO 80305 USA.</t>
  </si>
  <si>
    <t>mholland@ucar.edu</t>
  </si>
  <si>
    <t>Bailey, David/0000-0002-6584-0663; Light, Bonnie/0000-0003-2640-5738; Holland, Marika/0000-0001-5621-8939</t>
  </si>
  <si>
    <t>National Science Foundation; NSF [OPP-0902068, OPP-0902065, OPP-0908675, ATM-0454311]; Biological and Environmental Research division of the U.S. Department of Energy Office of Science; U.S. Department of Energy [DE-AC52-06NA25396]; Office of Science (BER) of the U.S. Department of Energy; National Science Foundation and other agencies; Directorate For Geosciences; Office of Polar Programs (OPP) [0902065] Funding Source: National Science Foundation; Directorate For Geosciences; Office of Polar Programs (OPP) [0902040, 0902068, 0908675] Funding Source: National Science Foundation</t>
  </si>
  <si>
    <t>National Science Foundation(National Science Foundation (NSF)); NSF(National Science Foundation (NSF)); Biological and Environmental Research division of the U.S. Department of Energy Office of Science(United States Department of Energy (DOE)); U.S. Department of Energy(United States Department of Energy (DOE)); Office of Science (BER) of the U.S. Department of Energy(United States Department of Energy (DOE)); National Science Foundation and other agencies; Directorate For Geosciences; Office of Polar Programs (OPP)(National Science Foundation (NSF)NSF - Directorate for Geosciences (GEO)); Directorate For Geosciences; Office of Polar Programs (OPP)(National Science Foundation (NSF)NSF - Directorate for Geosciences (GEO))</t>
  </si>
  <si>
    <t>The National Center for Atmospheric Research is sponsored by the National Science Foundation.; We thank the large community of scientists who contribute to the development of CCSM. We thank Steve Warren and two anonymous reviewers for constructive comments that improved our manuscript. MMH acknowledges support through NSF Grants OPP-0902068 and OPP-0902065. DAB was supported under NSF Grant OPP-0908675. ECH acknowledges funding from the Biological and Environmental Research division of the U.S. Department of Energy Office of Science; Los Alamos National Laboratory is operated by the National Nuclear Security Administration of the U.S. Department of Energy under Contract DE-AC52-06NA25396. BL acknowledges support for this work through the NSF Climate Dynamics Program SGER Grant ATM-0454311.; The CESM project is supported by the National Science Foundation and the Office of Science (BER) of the U.S. Department of Energy. Computing resources were provided by the Climate Simulation Laboratory at NCAR's Computational and Information Systems Laboratory (CISL), which is sponsored by the National Science Foundation and other agencies. This research was enabled by CISL compute and storage resources. Bluefire, a 4064-processor IBM Power6 resource with a peak of 77 TeraFLOPS provided more than 7.5 million computing hours, the GLADE high-speed disk resources provided 0.4 petabytes of dedicated disk, and CISL's 12-PB HPSS archive provided over 1 petabyte of storage in support of this research project.</t>
  </si>
  <si>
    <t>10.1175/JCLI-D-11-00078.1</t>
  </si>
  <si>
    <t>905ZR</t>
  </si>
  <si>
    <t>WOS:000301315200003</t>
  </si>
  <si>
    <t>Jiang, CL; Gille, ST; Sprintall, J; Yoshimura, K; Kanamitsu, M</t>
  </si>
  <si>
    <t>Jiang, ChuanLi; Gille, Sarah T.; Sprintall, Janet; Yoshimura, Kei; Kanamitsu, Masao</t>
  </si>
  <si>
    <t>Spatial Variation in Turbulent Heat Fluxes in Drake Passage</t>
  </si>
  <si>
    <t>ANTARCTIC CIRCUMPOLAR CURRENT; SEA-SURFACE TEMPERATURE; SOUTHERN-OCEAN; BULK PARAMETERIZATION; POLAR LOWS; LAYER; VARIABILITY; ENERGY; WATER; VALIDATION</t>
  </si>
  <si>
    <t>High-resolution underway shipboard atmospheric and oceanic observations collected in Drake Passage from 2000 to 2009 are used to examine the spatial scales of turbulent heat fluxes and flux-related state variables. The magnitude of the seasonal cycle of sea surface temperature (SST) south of the Polar Front is found to be twice that north of the front, but the seasonal cycles of the turbulent heat fluxes show no differences on either side of the Polar Front. Frequency spectra of the turbulent heat fluxes and related variables are red, with no identifiable spectral peaks. SST and air temperature are coherent over a range of frequencies corresponding to periods between similar to 10 h and 2 days, with SST leading air temperature. The spatial decorrelat ion length scales of the sensible and latent heat fluxes calculated from two-day transects are 65 +/- 6 km and 80 +/- 6 km, respectively. The scale of the sensible heat flux is consistent with the decorrelation scale for air sea temperature differences (70 +/- 6 km) rather than either SST (153 +/- 2 km) or air temperature (138 +/- 4 km) alone. These scales are dominated by the Polar Front. When the Polar Front region is excluded, the decorrelation scales are 10-20 km, consistent with the first baroclinic Rossby radius. These eddy scales are often unrepresented in the available gridded heat flux products. The Drake Passage ship measurements are compared with four recently available gridded turbulent heat flux products: the European Centre for Medium-Range Weather Forecasts high-resolution operational product in support of the Year of Coordinated Observing Modeling and Forcasting Tropical Convection (ECMWF-YOTC), ECMWF interim reanalysis (ERA-Interim), the Drake Passage reanalysis downscaling (DPRD10) regional product, and the objectively analyzed air sea fluxes (0AFlux). The decorrelation length scales of the air sea temperature difference, wind speed, and turbulent heat fluxes from these four products are significantly larger than those determined from shipboard measurements.</t>
  </si>
  <si>
    <t>[Jiang, ChuanLi; Gille, Sarah T.; Sprintall, Janet; Yoshimura, Kei; Kanamitsu, Masao] Univ Calif San Diego, Scripps Inst Oceanog, La Jolla, CA 92093 USA</t>
  </si>
  <si>
    <t>Jiang, CL (corresponding author), Univ Calif San Diego, Scripps Inst Oceanog, 9500 Gilman Dr, La Jolla, CA 92093 USA.</t>
  </si>
  <si>
    <t>chjiang@ucsd.edu</t>
  </si>
  <si>
    <t>Gille, Sarah T./B-3171-2012; Yoshimura, Kei/F-2041-2010</t>
  </si>
  <si>
    <t>Yoshimura, Kei/0000-0002-5761-1561; Gille, Sarah/0000-0001-9144-4368</t>
  </si>
  <si>
    <t>National Science Foundation [0337998, 0850350]; NASA Earth Science MEaSUREs DISCOVER; AMSR-E Science Team; Grants-in-Aid for Scientific Research [23686071] Funding Source: KAKEN; Division Of Ocean Sciences; Directorate For Geosciences [0850350] Funding Source: National Science Foundation</t>
  </si>
  <si>
    <t>National Science Foundation(National Science Foundation (NSF)); NASA Earth Science MEaSUREs DISCOVER; AMSR-E Science Team; Grants-in-Aid for Scientific Research(Ministry of Education, Culture, Sports, Science and Technology, Japan (MEXT)Japan Society for the Promotion of ScienceGrants-in-Aid for Scientific Research (KAKENHI)); Division Of Ocean Sciences; Directorate For Geosciences(National Science Foundation (NSF)NSF - Directorate for Geosciences (GEO))</t>
  </si>
  <si>
    <t>We gratefully acknowledge support from a Scripps Postdoctoral Fellowship (CJ) and from the National Science Foundation (Office of Polar Programs Award 0337998 and OCE Award 0850350). The authors would like to acknowledge Teresa K. Chereskin and Sharon Escher for providing the LMG data sets. We also thank two anonymous reviewers for their constructive and valuable comments, which greatly improved the quality of this work. ECMWF-YOTC data used in this study have been obtained from the ECMWF data server available online at http://data-portal.ecmwf.int/data/d/yotc_od/. ERA-Interim data have been obtained from http://data-portal.ecmwf.int/data/d/interim_daily/. OAFlux data have been downloaded from http://oaflux.whoi.edu/. AMSR-E SST data are produced by Remote Sensing Systems and sponsored by the NASA Earth Science MEaSUREs DISCOVER Project and the AMSR-E Science Team (ftp://ssmi.com/amsre/). QCOAPS has been downloaded from http://coaps.fsu.edu/scatterometry/gridded/. The Q-PODAAC wind speed data have been obtained from the Physical Oceanography Distributed Active Archive Center (PO.DAAC) at the NASA Jet Propulsion Laboratory, Pasadena, California (ftp://podaac.jpl.nasa.gov/pub/ocean_wind/quikscat/L3/data).</t>
  </si>
  <si>
    <t>10.1175/2011JCLI4071.1</t>
  </si>
  <si>
    <t>WOS:000301315200006</t>
  </si>
  <si>
    <t>Rohling, EJ; Medina-Elizalde, M; Shepherd, JG; Siddall, M; Stanford, JD</t>
  </si>
  <si>
    <t>Rohling, E. J.; Medina-Elizalde, M.; Shepherd, J. G.; Siddall, M.; Stanford, J. D.</t>
  </si>
  <si>
    <t>Sea Surface and High-Latitude Temperature Sensitivity to Radiative Forcing of Climate over Several Glacial Cycles</t>
  </si>
  <si>
    <t>EPICA DOME-C; EQUATORIAL PACIFIC; INTERGLACIAL CHANGES; EARTHS TEMPERATURE; LAST DEGLACIATION; CONTINENTAL ICE; ATMOSPHERIC CO2; CURRENT SYSTEM; OCEAN; VARIABILITY</t>
  </si>
  <si>
    <t>A compilation is presented of global sea surface temperature (SST) records that span around one glacial cycle or more, and it is compared with changes in the earth's radiative balance over the last 520 000 years, as determined from greenhouse gas concentrations, albedo changes related to ice sheet area and atmospheric dust fluctuations, and insolation changes. A first scenario uses global mean values for the radiative changes, and a second scenario uses zonal means for 10 latitude bands for a more regionally specific perspective. On the orbital time scales studied here, a smooth increase of SST response from the equator to high latitudes is found when comparison is made to global mean radiative forcing, but a sharply stepped increase at 20 -30 latitude when comparing with the more regionally specific forcings. The mean global SST sensitivities to radiative change are within similar limits for both scenarios, around 0.8 +/- 0.4 degrees C (W m(-2))(-1). Combined with previous estimates of 1.3-1.5 times stronger temperature sensitivity over land, this yields an estimate for global climate sensitivity of 0.85 (-0.4/+0.5)degrees C (W m(-2))(-1), close to previous estimates. If aerosol (dust) feedback were to be considered as a fast feedback, then the estimated central value for SST sensitivity would change to similar to 0.95 degrees C (W m(-2))(-1) and that for global climate sensitivity to similar to 1.05 degrees C (W m(-2))(-1). The zonal-mean scenario allows an assessment of (long-term) normalized amplification for Greenland and Antarctic temperature sensitivities, which is the ratio of temperature sensitivity for those sites relative to the global mean sensitivity, normalized per watt per meter squared of radiative change. This ratio is found to be 0.9 (-0.2/+ 0.6) and 1.4 (-0.4/+1.1) for Greenland and Antarctica, respectively. Given its value close to 1 for Greenland, but that larger Arctic amplification on shorter time scales due to fast sea ice albedo processes cannot be excluded, it is suggested that current high Arctic sensitivity is mainly due to sea ice albedo feedback processes and may decrease considerably if and when the Arctic sea ice cover has been eliminated. The normalized amplification value of 1.4 for Antarctica supports previous reconstructions of polar amplification in that region. The authors propose that this amplified response resulted from approximately threefold glacial-interglacial changes in the area of sea ice cover around Antarctica.</t>
  </si>
  <si>
    <t>[Rohling, E. J.; Medina-Elizalde, M.; Shepherd, J. G.; Stanford, J. D.] Univ Southampton, Sch Ocean &amp; Earth Sci, Southampton SO14 3ZH, Hants, England; [Rohling, E. J.; Medina-Elizalde, M.; Shepherd, J. G.; Stanford, J. D.] Univ Southampton, Natl Oceanog Ctr, Southampton SO14 3ZH, Hants, England; [Siddall, M.] Univ Bristol, Dept Earth Sci, Bristol, Avon, England</t>
  </si>
  <si>
    <t>University of Southampton; NERC National Oceanography Centre; University of Southampton; NERC National Oceanography Centre; University of Bristol</t>
  </si>
  <si>
    <t>Rohling, EJ (corresponding author), Univ Southampton, Sch Ocean &amp; Earth Sci, Southampton SO14 3ZH, Hants, England.</t>
  </si>
  <si>
    <t>e.rohling@noc.soton.ac.uk</t>
  </si>
  <si>
    <t>Rohling, Eelco J/B-9736-2008</t>
  </si>
  <si>
    <t>Rohling, Eelco J/0000-0001-5349-2158; Shepherd, John/0000-0002-5230-4781</t>
  </si>
  <si>
    <t>UK Natural Environment Research Council (NERC) [NE/C003152/1, NE/I009906/1, NE/H004424/1]; Royal Society; University of Bristol; NERC [NE/I009906/1, NE/H004424/1] Funding Source: UKRI; Natural Environment Research Council [NE/C003152/1, NE/I009906/1, NE/H004424/1] Funding Source: researchfish</t>
  </si>
  <si>
    <t>UK Natural Environment Research Council (NERC)(UK Research &amp; Innovation (UKRI)Natural Environment Research Council (NERC)); Royal Society(Royal Society); University of Bristol; NERC(UK Research &amp; Innovation (UKRI)Natural Environment Research Council (NERC)); Natural Environment Research Council(UK Research &amp; Innovation (UKRI)Natural Environment Research Council (NERC))</t>
  </si>
  <si>
    <t>This study contributes to UK Natural Environment Research Council (NERC) projects NE/C003152/1, NE/I009906/1, and NE/H004424/1. EJR acknowledges support from a Royal Society Wolfson Research Merit Award, and MS acknowledges an RCUK fellowship from the University of Bristol. We thank Andy Jarvis for helpful discussions and assistance with MAGICC, Jim Hansen for discussions about aerosol feedback processes, Peter Kohler for useful feedback, and Valerie Masson-Demotte and two anonymous reviewers for comments and suggestions. Data were obtained from the World Data Center for Marine Environmental Science (WDC-MARE; http://www.wdc-mare.org/), the NOAA National Climatic Data Centre (http://www.ncdc.noaa.gov/paleo/ftp-search.html), and-concerning the new sea level record-from http://www.soes.soton.ac.uk/staff/ejr/ejrhome.htm. Data files from this study can also be obtained from the latter site.</t>
  </si>
  <si>
    <t>10.1175/2011JCLI4078.1</t>
  </si>
  <si>
    <t>WOS:000301315200015</t>
  </si>
  <si>
    <t>Damerell, GM; Heywood, KJ; Stevens, DP; Garabato, ACN</t>
  </si>
  <si>
    <t>Damerell, Gillian M.; Heywood, Karen J.; Stevens, David P.; Garabato, Alberto C. Naveira</t>
  </si>
  <si>
    <t>Temporal Variability of Diapycnal Mixing in Shag Rocks Passage</t>
  </si>
  <si>
    <t>ANTARCTIC CIRCUMPOLAR CURRENT; INTERNAL TIDE GENERATION; POLEWARD HEAT-FLUX; SPATIAL VARIABILITY; INERTIAL WAVES; ENERGY; OCEAN; SHEAR; WIND; DISSIPATION</t>
  </si>
  <si>
    <t>Diapycnal mixing rates in the oceans have been shown to have a great deal of spatial variability, but the temporal variability has been little studied. Here results are presented from a method developed to calculate diapycnal diffusivity from moored acoustic Doppler current profiler (ADCP) velocity shear profiles. An 18-month time series of diffusivity is presented from data taken by a LongRanger ADCP moored at 2400-m depth, 600 m above the seafloor, in Shag Rocks Passage, a deep passage in the North Scotia Ridge (Southern Ocean). The Polar Front is constrained to pass through this passage, and the strong currents and complex topography are expected to result in enhanced mixing. The spatial distribution of diffusivity in Shag Rocks Passage deduced from lowered ADCP shear is consistent with published values for similar regions, with diffusivity possibly as large as 90 X 10(-4) m(2) s(-1) near the seafloor, decreasing to the expected background level of similar to 0.1 x 10(-4) m(2) s(-1) in areas away from topography. The moored ADCP profiles spanned a depth range of 2400-1800 m; thus, the moored time series was obtained from a region of moderately enhanced diffusivity. The diffusivity time series has a median of 3.3 X 10(-4) m(2) s(-1) and a range from 0.5 x 10(-4) to 57 x 10(-4) m(2) s(-1). There is no significant signal at annual or semiannual periods, but there is evidence of signals at periods of approximately 14 days (likely due to the spring-neap tidal cycle) and at periods of 3.8 and 2.6 days most likely due to topographically trapped waves propagating around the local seamount. Using the observed stratification and an axisymmetric seamount, of similar dimensions to the one west of the mooring, in a model of baroclinic topographically trapped waves, produces periods of 3.8 and 2.6 days, in agreement with the signals observed. The diffusivity is anticorrelated with the rotary coefficient (indicating that stronger mixing occurs during times of upward energy propagation), which suggests that mixing occurs due to the breaking of internal waves generated at topography.</t>
  </si>
  <si>
    <t>[Damerell, Gillian M.; Heywood, Karen J.] Univ E Anglia, Sch Environm Sci, Norwich NR4 7TJ, Norfolk, England; [Stevens, David P.] Univ E Anglia, Sch Math, Norwich NR4 7TJ, Norfolk, England; [Garabato, Alberto C. Naveira] Natl Oceanog Ctr, Sch Ocean &amp; Earth Sci, Southampton, Hants, England</t>
  </si>
  <si>
    <t>University of East Anglia; University of East Anglia; NERC National Oceanography Centre</t>
  </si>
  <si>
    <t>Damerell, GM (corresponding author), Univ E Anglia, Sch Environm Sci, Norwich NR4 7TJ, Norfolk, England.</t>
  </si>
  <si>
    <t>g.damerell@uea.ac.uk</t>
  </si>
  <si>
    <t>Garabato, Alberto Naveira/AAQ-1114-2020; Stevens, David/F-2509-2010; Heywood, Karen/L-1757-2016</t>
  </si>
  <si>
    <t>Garabato, Alberto Naveira/0000-0001-6071-605X; Stevens, David/0000-0002-7283-4405; Damerell, Gillian/0000-0001-5808-0822; Heywood, Karen/0000-0001-9859-0026</t>
  </si>
  <si>
    <t>Natural Environment Research Council through the Antarctic Funding Initiative [NER/G/S/2001/00006]; Natural Environment Research Council at UEA; NERC [NE/E007058/1, NE/G001502/1, NE/B503717/1] Funding Source: UKRI; Natural Environment Research Council [NE/E007058/1, NE/B503717/1, NE/G001502/1] Funding Source: researchfish</t>
  </si>
  <si>
    <t>Natural Environment Research Council through the Antarctic Funding Initiative; Natural Environment Research Council at UEA; NERC(UK Research &amp; Innovation (UKRI)Natural Environment Research Council (NERC)); Natural Environment Research Council(UK Research &amp; Innovation (UKRI)Natural Environment Research Council (NERC))</t>
  </si>
  <si>
    <t>The CTD, LADCP, and mooring data were acquired as part of the North Scotia Ridge Overflow project, funded by the Natural Environment Research Council Grant NER/G/S/2001/00006 through the Antarctic Funding Initiative. A Natural Environment Research Council Ph.D. studentship at UEA supported G.M.D. during the analysis and writing of this report. We thank Gareth Janacek and Adrian Matthews for useful discussions on spectral analysis and our anonymous reviewers for their insightful comments. The ERA-Interim data were obtained from ECMWF (at http://www.ecmwf.int/research/era/do/get/index). The Brink model is made available online (at http://www.whoi.edu/page.do?pid=23361). Alex Tate kindly provided multibeam bathymetry from the British Antarctic Survey Marine Geophysical Database.</t>
  </si>
  <si>
    <t>10.1175/2011JPO4573.1</t>
  </si>
  <si>
    <t>913TD</t>
  </si>
  <si>
    <t>Green Submitted, Bronze, Green Accepted</t>
  </si>
  <si>
    <t>WOS:000301899400003</t>
  </si>
  <si>
    <t>Fer, I; Makinson, K; Nicholls, KW</t>
  </si>
  <si>
    <t>Fer, Ilker; Makinson, Keith; Nicholls, Keith W.</t>
  </si>
  <si>
    <t>Observations of Thermohaline Convection adjacent to Brunt Ice Shelf</t>
  </si>
  <si>
    <t>SEA-ICE; TURBULENCE; DISSIPATION; MODEL</t>
  </si>
  <si>
    <t>Observations were made of ocean microstructure and horizontal currents adjacent to Brunt Ice Shelf in the southeastern Weddell Sea. Periods of in situ supercooled water extending as deep as 65 m were associated with ice nucleation and frazil formation at depth. Ascending ice crystals due to convection lead to increased dissipation rates. The main outflow of potentially supercooled water from deep beneath ice shelf is suggested to be in the deep channel northeast of the measurement site. Because this water is advected southward along the front, it becomes in situ supercooled, leading to suspended ice formation, thermohaline convection, and enhanced dissipation.</t>
  </si>
  <si>
    <t>[Fer, Ilker] Univ Bergen, Inst Geophys, N-5007 Bergen, Norway; [Makinson, Keith; Nicholls, Keith W.] British Antarctic Survey, Cambridge CB3 0ET, England</t>
  </si>
  <si>
    <t>University of Bergen; UK Research &amp; Innovation (UKRI); Natural Environment Research Council (NERC); NERC British Antarctic Survey</t>
  </si>
  <si>
    <t>Fer, I (corresponding author), Univ Bergen, Inst Geophys, Allegaten 70, N-5007 Bergen, Norway.</t>
  </si>
  <si>
    <t>ilker.fer@gfi.uib.no</t>
  </si>
  <si>
    <t>Fer, Ilker/C-7820-2012; Makinson, Keith/A-2495-2013</t>
  </si>
  <si>
    <t>Fer, Ilker/0000-0002-2427-2532; Makinson, Keith/0000-0002-5791-1767</t>
  </si>
  <si>
    <t>RRS Ernest Shackleton; Natural Environment Research Council [bas0100028] Funding Source: researchfish; NERC [bas0100028] Funding Source: UKRI</t>
  </si>
  <si>
    <t>RRS Ernest Shackleton; Natural Environment Research Council(UK Research &amp; Innovation (UKRI)Natural Environment Research Council (NERC)); NERC(UK Research &amp; Innovation (UKRI)Natural Environment Research Council (NERC))</t>
  </si>
  <si>
    <t>The authors thank the officers, crew, and engineers of RRS Ernest Shackleton for their support and John Beaton, Helge Bryhni, Cedric Chavanne, Kjersti L. Daae, Colin Griffiths, and Bruce Huber for their assistance in collecting the data. Povl Abrahamsen helped with Fig. 1b, and Colin Griffiths supplied the Longranger for the experiment.</t>
  </si>
  <si>
    <t>10.1175/JPO-D-11-0211.1</t>
  </si>
  <si>
    <t>WOS:000301899400012</t>
  </si>
  <si>
    <t>Ceballos, SG; Lessa, EP; Victorio, MF; Fernández, DA</t>
  </si>
  <si>
    <t>Ceballos, Santiago Guillermo; Lessa, Enrique Pablo; Victorio, Mariela Fernanda; Fernandez, Daniel Alfredo</t>
  </si>
  <si>
    <t>Phylogeography of the sub-Antarctic notothenioid fish Eleginops maclovinus: evidence of population expansion</t>
  </si>
  <si>
    <t>GENE FLOW; PLEISTOCENE GLACIATION; FRESH-WATER; SEX-CHANGE; MITOCHONDRIAL; DIVERSITY; PATAGONIA; SEQUENCE; RATES; INFERENCES</t>
  </si>
  <si>
    <t>Phylogeography studies add insights into the geographic and evolutionary processes that underline the genetic divergence of populations. This work examines the geographic genetic structure of the Patagonian blennie, Eleginops maclovinus, a notothenioid (Perciformes) endemic to South American temperate and sub-Antarctic waters, using mitochondrial DNA cytochrome b sequences. We found 58 haplotypes in the analysis of 261 individual sequences of 833 base pairs in length. Among-population variance was very low (1.62%) and many haplotypes were shared between several populations across the species geographic range. Genetic differentiation was not consistent with a simple model of isolation by distance, possibly suggesting a lack of equilibrium between gene flow and local genetic drift. The analysis of mismatch distributions, neutrality tests, and the Bayesian Skyline Plot showed a pattern consistent with a recent population expansion event that may have taken place during the Middle Pleistocene.</t>
  </si>
  <si>
    <t>[Ceballos, Santiago Guillermo; Victorio, Mariela Fernanda; Fernandez, Daniel Alfredo] CADIC, RA-9410 Ushuaia, Tierra Fuego, Argentina; [Lessa, Enrique Pablo] Univ Republica, Fac Ciencias, Secc Evoluc, Montevideo 4225, Uruguay</t>
  </si>
  <si>
    <t>Universidad de la Republica, Uruguay</t>
  </si>
  <si>
    <t>Ceballos, SG (corresponding author), CADIC, Bernardo A Houssay 200, RA-9410 Ushuaia, Tierra Fuego, Argentina.</t>
  </si>
  <si>
    <t>sgceballos@gmail.com</t>
  </si>
  <si>
    <t>; Lessa, Enrique/D-8894-2011</t>
  </si>
  <si>
    <t>Fernandez, Daniel Alfredo/0000-0002-3367-4138; Lessa, Enrique/0000-0001-9750-4093</t>
  </si>
  <si>
    <t>Agencia Nacional de Promocion Cientifica y Tecnologica [PICT906]; Proyectos Federales de Innovacion Productiva (PFIP) [1622/07]</t>
  </si>
  <si>
    <t>Agencia Nacional de Promocion Cientifica y Tecnologica(ANPCyTSpanish Government); Proyectos Federales de Innovacion Productiva (PFIP)</t>
  </si>
  <si>
    <t>This work was founded by grants from the Agencia Nacional de Promocion Cientifica y Tecnologica (PICT906) and Proyectos Federales de Innovacion Productiva 2007 (PFIP 1622/07). We would like to specially thank Roberto Licandeo for sampling support. We also thank Juan Federico Ponce (CADIC-CONICET), Maria Natalia Paso Viola (MACN-CONICET), Alejandro D'Anatro and Carolina Abud from Universidad de la Republica, Montevideo, Ururguay, for their constant technical support and advice.</t>
  </si>
  <si>
    <t>10.1007/s00227-011-1830-4</t>
  </si>
  <si>
    <t>913BN</t>
  </si>
  <si>
    <t>WOS:000301846400004</t>
  </si>
  <si>
    <t>Robinson, KL; Treiman, AH; Joy, KH</t>
  </si>
  <si>
    <t>Robinson, Katharine L.; Treiman, Allan H.; Joy, Katherine H.</t>
  </si>
  <si>
    <t>Basaltic fragments in lunar feldspathic meteorites: Connecting sample analyses to orbital remote sensing</t>
  </si>
  <si>
    <t>ALEXANDRA RANGE 93069; MARE BASALTS; PECORA ESCARPMENT-02007; REGOLITH BRECCIA; GEOCHEMISTRY; SURFACE; CRUST; PETROLOGY; MOON; PETROGRAPHY</t>
  </si>
  <si>
    <t>The feldspathic lunar meteorites contain rare fragments of crystalline basalts. We analyzed 16 basalt fragments from four feldspathic lunar meteorites (Allan Hills [ALHA] 81005, MacAlpine Hills [MAC] 88104/88105, Queen Alexandra Range [QUE] 93069, Miller Range [MIL] 07006) and utilized literature data for another (Dhofar [Dho] 1180). We compositionally classify basalt fragments according to their magmas estimated TiO2 contents, which we derive for crystalline basalts from pyroxene TiO2 and the mineral-melt Ti distribution coefficient. Overall, most of the basalt fragments are low-Ti basalts (16% TiO2), with a significant proportion of very-low-Ti basalts (&lt;1% TiO2). Only a few basalt clasts were high-Ti or intermediate Ti types (&gt;10% TiO2 and 610% TiO2, respectively). This distribution of basalt TiO2 abundances is nearly identical to that obtained from orbital remote sensing of the moon (both UV-Vis from Clementine, and gamma ray from Lunar Prospector). However, the distribution of TiO2 abundances is unlike those of the Apollo and Luna returned samples: we observe a paucity of high-Ti basalts. The compositional types of basalt differs from meteorite to meteorite, which implies that all basalt subtypes are not randomly distributed on the Moon, i.e., the basalt fragments in each meteorite probably represent basalts in the neighborhood of the meteorite launch site. These differences in basalt chemistry and classifications may be useful in identifying the source regions of some feldspathic meteorites. Some of the basalt fragments probably originate from ancient cryptomaria, and so may hold clues to the petrogenesis of the Moons oldest volcanism.</t>
  </si>
  <si>
    <t>[Robinson, Katharine L.; Treiman, Allan H.; Joy, Katherine H.] NASA, Lunar Sci Inst, Ctr Lunar Sci &amp; Explorat, Washington, DC 20546 USA; [Robinson, Katharine L.; Treiman, Allan H.; Joy, Katherine H.] Univ Space Res Assoc, Lunar &amp; Planetary Inst, Houston, TX 77058 USA; [Joy, Katherine H.] Joint UCL Birkbeck Res Sch Earth Sci, Ctr Planetary Sci UCL Birkbeck, London WCIE 6BT, England; [Joy, Katherine H.] Nat Hist Museum, Dept Mineral, IARC, London SW7 5BD, England</t>
  </si>
  <si>
    <t>National Aeronautics &amp; Space Administration (NASA); Universities Space Research Association (USRA); Imperial College London; Natural History Museum London</t>
  </si>
  <si>
    <t>Robinson, KL (corresponding author), Univ Hawaii Manoa, HIGP UHNAI, 1680 E W Rd, Honolulu, HI 96822 USA.</t>
  </si>
  <si>
    <t>krobinson@higp.hawaii.edu</t>
  </si>
  <si>
    <t>Robinson, Katharine L./0000-0003-4750-724X; Joy, Katherine/0000-0003-4992-8750</t>
  </si>
  <si>
    <t>NASA [NNX08AH78G]; Leverhulme Trust; NASA [100997, NNX08AH78G] Funding Source: Federal RePORTER; Science and Technology Facilities Council [ST/G003068/1] Funding Source: researchfish; STFC [ST/G003068/1] Funding Source: UKRI</t>
  </si>
  <si>
    <t>NASA(National Aeronautics &amp; Space Administration (NASA)); Leverhulme Trust(Leverhulme Trust); NASA(National Aeronautics &amp; Space Administration (NASA)); Science and Technology Facilities Council(UK Research &amp; Innovation (UKRI)Science &amp; Technology Facilities Council (STFC)); STFC(UK Research &amp; Innovation (UKRI)Science &amp; Technology Facilities Council (STFC))</t>
  </si>
  <si>
    <t>Thin sections used in our study were loaned by the Antarctic Meteorite Curatorial Facility, Johnson Space Center. We are grateful to Anne Peslier, Loan Le, Kent Ross, GeorgAnn Robinson, John Spratt, and Anton Kearsley for assistance with electron microprobe and SEM analyses, and to Juliane Gross for her advice and help. We thank Drs Ryan Zeigler and Carle Pieters for their helpful reviews. This project was started in an LPI Summer Internship to the first author, and was continued under support from NASA Cosmochemistry grant NNX08AH78G to the second author. K. H. J. would like to thank the Leverhulme Trust and Ian Crawford for supporting research at the NHM London. Lunar and Planetary Institute Contribution # 1656.</t>
  </si>
  <si>
    <t>10.1111/j.1945-5100.2012.01344.x</t>
  </si>
  <si>
    <t>WOS:000302073300006</t>
  </si>
  <si>
    <t>Brown, DS; Jarman, SN; Symondson, WOC</t>
  </si>
  <si>
    <t>Brown, David S.; Jarman, Simon N.; Symondson, William O. C.</t>
  </si>
  <si>
    <t>Pyrosequencing of prey DNA in reptile faeces: analysis of earthworm consumption by slow worms</t>
  </si>
  <si>
    <t>MOLECULAR ECOLOGY RESOURCES</t>
  </si>
  <si>
    <t>Anguis fragilis; molecular diagnostics; next-generation sequencing; prey choice; reptile diets</t>
  </si>
  <si>
    <t>DIET; DIVERSITY; GENOME; IDENTIFICATION; COMMUNITIES; PREDATORS; ALIGNMENT; PENGUINS; SIZE</t>
  </si>
  <si>
    <t>Little quantitative ecological information exists on the diets of most invertebrate feeding reptiles, particularly nocturnal or elusive species that are difficult to observe. In the UK and elsewhere, reptiles are legally required to be relocated before land development can proceed, but without knowledge of their dietary requirements, the suitability of receptor sites cannot be known. Here, we tested the ability of non-invasive DNA-based molecular diagnostics (454 pyrosequencing) to analyse reptile diets, with the specific aims of determining which earthworm species are exploited by slow worms (the legless lizard Anguis fragilis) and whether they feed on the deeper-living earthworm species that only come to the surface at night. Slow worm faecal samples from four different habitats were analysed using earthworm-specific PCR primers. We found that 86% of slow worms (N = 80) had eaten earthworms. In lowland heath and marshy/acid grassland, Lumbricus rubellus, a surface-dwelling epigeic species, dominated slow worm diet. In two other habitats, riverside pasture and calciferous coarse grassland, diet was dominated by deeper-living anecic and endogeic species. We conclude that all species of earthworm are exploited by these reptiles and lack of specialization allows slow worms to thrive in a wide variety of habitats. Pyrosequencing of prey DNA in faeces showed promise as a practical, rapid and relatively inexpensive means of obtaining detailed and valuable ecological information on the diets of reptiles.</t>
  </si>
  <si>
    <t>[Brown, David S.; Symondson, William O. C.] Cardiff Univ, Cardiff Sch Biosci, Cardiff CF10 3AX, S Glam, Wales; [Jarman, Simon N.] Australian Antarctic Div, Kingston, Tas 7050, Australia</t>
  </si>
  <si>
    <t>Cardiff University; Australian Antarctic Division</t>
  </si>
  <si>
    <t>Brown, DS (corresponding author), Cardiff Univ, Cardiff Sch Biosci, Biomedical Sci Bldg,Museum Ave, Cardiff CF10 3AX, S Glam, Wales.</t>
  </si>
  <si>
    <t>brownds@cardiff.ac.uk</t>
  </si>
  <si>
    <t>Symondson, William OC/A-4476-2010; Brown, David S/L-6995-2016; Jarman, Simon/H-9265-2016</t>
  </si>
  <si>
    <t>Symondson, William/0000-0002-3343-4679; Jarman, Simon/0000-0002-0792-9686</t>
  </si>
  <si>
    <t>Natural Environment Research Council (NERC); Gillian Powell Memorial Travel Scholarship; Society for Experimental Biology</t>
  </si>
  <si>
    <t>Natural Environment Research Council (NERC)(UK Research &amp; Innovation (UKRI)Natural Environment Research Council (NERC)); Gillian Powell Memorial Travel Scholarship; Society for Experimental Biology</t>
  </si>
  <si>
    <t>This research was funded by the Natural Environment Research Council (NERC) with travel grants awarded from the Gillian Powell Memorial Travel Scholarship and the Society for Experimental Biology. Thanks go to the Herpetological Conservation Trust, the Countryside and Landscape Services of Caerphilly County Borough Council, the Flat Holm Project and Ecological Planning &amp; Research Ltd, for their assistance and/or for providing access to land.</t>
  </si>
  <si>
    <t>1755-098X</t>
  </si>
  <si>
    <t>1755-0998</t>
  </si>
  <si>
    <t>MOL ECOL RESOUR</t>
  </si>
  <si>
    <t>Mol. Ecol. Resour.</t>
  </si>
  <si>
    <t>10.1111/j.1755-0998.2011.03098.x</t>
  </si>
  <si>
    <t>887MA</t>
  </si>
  <si>
    <t>WOS:000299930300008</t>
  </si>
  <si>
    <t>Maas, EW; Simpson, AM; Martin, A; Thompson, S; Koh, EY; Davy, SK; Ryan, KG; O'Toole, RF</t>
  </si>
  <si>
    <t>Maas, E. W.; Simpson, A. M.; Martin, A.; Thompson, S.; Koh, E. Y.; Davy, S. K.; Ryan, K. G.; O'Toole, R. F.</t>
  </si>
  <si>
    <t>Phylogenetic analyses of bacteria in sea ice at Cape Hallett, Antarctica</t>
  </si>
  <si>
    <t>NEW ZEALAND JOURNAL OF MARINE AND FRESHWATER RESEARCH</t>
  </si>
  <si>
    <t>Antarctica; sea ice; bacterial community composition; 16S rRNA</t>
  </si>
  <si>
    <t>RIBOSOMAL-RNA GENES; MICROBIAL COMMUNITIES; SOUTHERN-OCEAN; PACK ICE; DIVERSITY; BIODIVERSITY; ABUNDANCE; ARCHAEA; MICROORGANISMS; CYANOBACTERIA</t>
  </si>
  <si>
    <t>Every year, an area of sea ice forms around the continent of Antarctica that is inhabited by communities of microbes. Although the microbial component of this habitat has been postulated to play an ecologically important role in the Southern Ocean, our understanding of the diversity of Antarctic sea-ice bacteria is limited. The aim of this study was to identify bacterial components present in sea ice at Cape Hallett. Total community DNA was isolated from sea-ice cores and the 16S ribosomal RNA genes were amplified by polymerase chain reaction (PCR) using a range of universal and targeted primer sets. PCR products were de-replicated using restriction fragment length polymorphism (RFLP) and distinct RFLP types were sequenced. The major bacterial classes identified consisted of alpha-proteobacteria, gamma-proteobacteria, Cytophaga-Flavobacteria-Bacteroides group and a small number of Gram-positive species. Our findings indicate that the bacterial component of sea ice at Cape Hallett is primarily heterotrophic. Cyanobacteria and Archaea were not detected using the methods and primer sets employed in this study. However, bacteria whose 16S rDNA sequences cluster with species that encode phototrophic genes were detected in our sea-ice samples. This raised the possibility that bacterial phototrophy may occur in Antarctic sea ice.</t>
  </si>
  <si>
    <t>[Simpson, A. M.; Martin, A.; Thompson, S.; Koh, E. Y.; Davy, S. K.; Ryan, K. G.; O'Toole, R. F.] Victoria Univ Wellington, Sch Biol Sci, Wellington, New Zealand; [Maas, E. W.] Natl Inst Water &amp; Atmospher Res Ltd, Wellington, New Zealand; [Martin, A.] Univ Tasmania, Inst Marine &amp; Antarctic Studies, Hobart, Tas 7001, Australia</t>
  </si>
  <si>
    <t>Victoria University Wellington; National Institute of Water &amp; Atmospheric Research (NIWA) - New Zealand; University of Tasmania</t>
  </si>
  <si>
    <t>O'Toole, RF (corresponding author), Victoria Univ Wellington, Sch Biol Sci, Wellington, New Zealand.</t>
  </si>
  <si>
    <t>ronan.otoole@vuw.ac.nz</t>
  </si>
  <si>
    <t>Martin, Andrew/F-5688-2013; O'Toole, Ronan F/J-7280-2014; Koh, Eileen/O-1104-2019; Ryan, Ken/F-5652-2013</t>
  </si>
  <si>
    <t>O'Toole, Ronan F/0000-0002-4579-4479; Koh, Eileen/0000-0002-9378-6334; Martin, Andrew/0000-0001-8260-5529; Ryan, Ken/0000-0001-7075-0112; Davy, Simon/0000-0003-3584-5356</t>
  </si>
  <si>
    <t>Antarctica New Zealand; Foundation for Research, Science and Technology [VICX0219, VICX0706]; Victoria University of Wellington, New Zealand</t>
  </si>
  <si>
    <t>Antarctica New Zealand; Foundation for Research, Science and Technology(New Zealand Foundation for Research, Science and Technology); Victoria University of Wellington, New Zealand</t>
  </si>
  <si>
    <t>We gratefully acknowledge the support of Antarctica New Zealand, the Foundation for Research, Science and Technology contracts VICX0219 and VICX0706, and the University Research Fund, Victoria University of Wellington, New Zealand.</t>
  </si>
  <si>
    <t>0028-8330</t>
  </si>
  <si>
    <t>1175-8805</t>
  </si>
  <si>
    <t>NEW ZEAL J MAR FRESH</t>
  </si>
  <si>
    <t>N. Z. J. Mar. Freshw. Res.</t>
  </si>
  <si>
    <t>10.1080/00288330.2011.579981</t>
  </si>
  <si>
    <t>Fisheries; Marine &amp; Freshwater Biology; Oceanography</t>
  </si>
  <si>
    <t>950UN</t>
  </si>
  <si>
    <t>WOS:000304675700002</t>
  </si>
  <si>
    <t>Saeed, I; Tang, SL; Halgamuge, SK</t>
  </si>
  <si>
    <t>Saeed, Isaam; Tang, Sen-Lin; Halgamuge, Saman K.</t>
  </si>
  <si>
    <t>Unsupervised discovery of microbial population structure within metagenomes using nucleotide base composition</t>
  </si>
  <si>
    <t>NUCLEIC ACIDS RESEARCH</t>
  </si>
  <si>
    <t>PHYLOGENETIC CLASSIFICATION; EVOLUTIONARY IMPLICATIONS; GENOMIC FRAGMENTS; DNA FRAGMENTS; SEQUENCES; COMMUNITIES; SIGNATURES; TAXONOMY; SAMPLES; BIASES</t>
  </si>
  <si>
    <t>An approach to infer the unknown microbial population structure within a metagenome is to cluster nucleotide sequences based on common patterns in base composition, otherwise referred to as binning. When functional roles are assigned to the identified populations, a deeper understanding of microbial communities can be attained, more so than gene-centric approaches that explore overall functionality. In this study, we propose an unsupervised, model-based binning method with two clustering tiers, which uses a novel transformation of the oligonucleotide frequency-derived error gradient and GC content to generate coarse groups at the first tier of clustering; and tetranucleotide frequency to refine these groups at the secondary clustering tier. The proposed method has a demonstrated improvement over PhyloPythia, S-GSOM, TACOA and TaxSOM on all three benchmarks that were used for evaluation in this study. The proposed method is then applied to a pyrosequenced metagenomic library of mud volcano sediment sampled in southwestern Taiwan, with the inferred population structure validated against complementary sequencing of 16S ribosomal RNA marker genes. Finally, the proposed method was further validated against four publicly available metagenomes, including a highly complex Antarctic whale-fall bone sample, which was previously assumed to be too complex for binning prior to functional analysis.</t>
  </si>
  <si>
    <t>[Saeed, Isaam; Halgamuge, Saman K.] Univ Melbourne, Melbourne Sch Engn, Dept Mech Engn, MERIT Theme Biomed Engn, Melbourne, Vic 3010, Australia; [Tang, Sen-Lin] Acad Sinica, Biodivers Res Ctr, Taipei 115, Taiwan</t>
  </si>
  <si>
    <t>Melbourne Genomics Health Alliance; University of Melbourne; Academia Sinica - Taiwan</t>
  </si>
  <si>
    <t>Saeed, I (corresponding author), Univ Melbourne, Melbourne Sch Engn, Dept Mech Engn, MERIT Theme Biomed Engn, Melbourne, Vic 3010, Australia.</t>
  </si>
  <si>
    <t>isaam.saeed@unimelb.edu.au; sltang@gate.sinica.edu.tw</t>
  </si>
  <si>
    <t>Halgamuge, Saman/A-8154-2008; SAEED, ISAAM/F-4492-2016</t>
  </si>
  <si>
    <t>SAEED, ISAAM/0000-0002-9360-414X; Halgamuge, Saman/0000-0002-2536-4930</t>
  </si>
  <si>
    <t>Australian Research Council [DP1096296]; National Science Council of Taiwan [NSC99-2627-M-002-010]; University of Melbourne; Australian Research Council [DP1096296] Funding Source: Australian Research Council</t>
  </si>
  <si>
    <t>Australian Research Council(Australian Research Council); National Science Council of Taiwan(Ministry of Science and Technology, Taiwan); University of Melbourne(University of Melbourne); Australian Research Council(Australian Research Council)</t>
  </si>
  <si>
    <t>Australian Research Council (grant number DP1096296); mud volcano metagenomics work was supported by the National Science Council of Taiwan (grant number NSC99-2627-M-002-010) Funding for open access charge: University of Melbourne.</t>
  </si>
  <si>
    <t>0305-1048</t>
  </si>
  <si>
    <t>1362-4962</t>
  </si>
  <si>
    <t>NUCLEIC ACIDS RES</t>
  </si>
  <si>
    <t>Nucleic Acids Res.</t>
  </si>
  <si>
    <t>e34</t>
  </si>
  <si>
    <t>10.1093/nar/gkr1204</t>
  </si>
  <si>
    <t>915JG</t>
  </si>
  <si>
    <t>gold, Green Published</t>
  </si>
  <si>
    <t>WOS:000302019900002</t>
  </si>
  <si>
    <t>Wirtz, N; Printzen, C; Lumbsch, HT</t>
  </si>
  <si>
    <t>Wirtz, Nora; Printzen, Christian; Lumbsch, H. Thorsten</t>
  </si>
  <si>
    <t>Using haplotype networks, estimation of gene flow and phenotypic characters to understand species delimitation in fungi of a predominantly Antarctic Usnea group (Ascomycota, Parmeliaceae)</t>
  </si>
  <si>
    <t>ORGANISMS DIVERSITY &amp; EVOLUTION</t>
  </si>
  <si>
    <t>Lichens; Usnea; Species delimitation; Cohesion species</t>
  </si>
  <si>
    <t>CLADISTIC-ANALYSIS; BETA-TUBULIN; PAIR CONCEPT; PHYLOGENETIC-RELATIONSHIPS; GENEALOGICAL APPROACH; MOLECULAR PHYLOGENY; MATING SYSTEMS; RIBOSOMAL DNA; SEQUENCE DATA; LECANORALES</t>
  </si>
  <si>
    <t>Species delimitations in the predominantly Antarctic and South American group of neuropogonoid species of the lichen-forming fungal genus Usnea are poorly understood. Morphological variability has been interpreted as a result of harsh ecological conditions, but preliminary molecular data have led to doubts about the current species delimitations in these lichenized fungi. We examined species boundaries using a phylogenetic approach and a cohesion species recognition method generating haplotype networks and looking at associations of phenotypic characters with clades found in the networks. In addition, we estimated gene flow among detected clades and currently circumscribed species. We identified several clades that were significantly associated with phenotypic characters, but did not necessarily agree with current species circumscriptions. In one case (U. aurantiaco-atra/ U. antarctica), network analysis and the estimation of gene flow provided no evidence of distinct species. The distinctness of another species pair (U. subantarctica/ U. trachycarpa) remains dubious, showing evidence for gene flow among currently accepted species.</t>
  </si>
  <si>
    <t>[Wirtz, Nora; Lumbsch, H. Thorsten] Field Museum, Dept Bot, Chicago, IL 60605 USA; [Printzen, Christian] Forsch Inst Senckenberg, Abt Bot &amp; Mol Evolut Forsch, D-60325 Frankfurt, Germany; [Printzen, Christian] Biodiversitat &amp; Klima Forschungszentrum, D-60325 Frankfurt, Germany</t>
  </si>
  <si>
    <t>Field Museum of Natural History (Chicago); Senckenberg Gesellschaft fur Naturforschung (SGN); Senckenberg Biodiversitat &amp; Klima- Forschungszentrum (BiK-F)</t>
  </si>
  <si>
    <t>Lumbsch, HT (corresponding author), Field Museum, Dept Bot, 1400 S Lake Shore Dr, Chicago, IL 60605 USA.</t>
  </si>
  <si>
    <t>tlumbsch@fieldmuseum.org</t>
  </si>
  <si>
    <t>Printzen, Christian/ABF-8242-2021; Lumbsch, Thorsten/K-3573-2012</t>
  </si>
  <si>
    <t>Lumbsch, Thorsten/0000-0003-1512-835X</t>
  </si>
  <si>
    <t>Women's Board of the Field Museum in Chicago; Deutsche Forschungsgemeinschaft (DFG); National Science Foundation [DEB-0949147]; DAAD (German Exchange Service); Women's Board of the Field Museum; Division Of Environmental Biology; Direct For Biological Sciences [0949147] Funding Source: National Science Foundation</t>
  </si>
  <si>
    <t>Women's Board of the Field Museum in Chicago; Deutsche Forschungsgemeinschaft (DFG)(German Research Foundation (DFG)); National Science Foundation(National Science Foundation (NSF)); DAAD (German Exchange Service); Women's Board of the Field Museum; Division Of Environmental Biology; Direct For Biological Sciences(National Science Foundation (NSF)NSF - Directorate for Biological Sciences (BIO))</t>
  </si>
  <si>
    <t>The authors would like to thank all colleagues who provided fresh lichen material for this study. N,W, is indebted to Maria Ines Messuti, Andres Diehl and Gernot Vobis (all S. C. de Bariloche, Argentina) for organizing and performing a field trip to Tierra del Fuego. N. W. and H. T. L. are grateful to Asuncion Cano and Angel Ramirez (Lima) for organizing and conducting a field trip to Huascaran NP in Peru and to the Women's Board of the Field Museum in Chicago for financially supporting the trip. Most of the laboratory work was done at the Pritzker Laboratory for Molecular Systematics at the Field Museum. Financial support for this project was allocated by the Deutsche Forschungsgemeinschaft (DFG grant to H. T. L. and C. P.), the National Science Foundation (DEB-0949147, PI: HTL), a scholarship of the DAAD (German Exchange Service) to N. W., and a grant of the Women's Board of the Field Museum.</t>
  </si>
  <si>
    <t>1439-6092</t>
  </si>
  <si>
    <t>1618-1077</t>
  </si>
  <si>
    <t>ORG DIVERS EVOL</t>
  </si>
  <si>
    <t>Org. Divers. Evol.</t>
  </si>
  <si>
    <t>10.1007/s13127-011-0066-y</t>
  </si>
  <si>
    <t>Evolutionary Biology; Zoology</t>
  </si>
  <si>
    <t>962FR</t>
  </si>
  <si>
    <t>WOS:000305527700002</t>
  </si>
  <si>
    <t>Smith, AB; Crame, JA</t>
  </si>
  <si>
    <t>Smith, Andrew B.; Crame, J. Alistair</t>
  </si>
  <si>
    <t>Echinoderm faunas from the Lower Cretaceous (Aptian-Albian) of Alexander Island, Antarctica</t>
  </si>
  <si>
    <t>PALAEONTOLOGY</t>
  </si>
  <si>
    <t>Cretaceous; Aptian-Albian; ophiuroids; echinoids; new taxa; taxonomy; Antarctica</t>
  </si>
  <si>
    <t>PENINSULA; BASIN; ECHINOIDS; DIVERSITY; BIVALVES; HISTORY</t>
  </si>
  <si>
    <t>Strata assigned to the Fossil Bluff Group on Alexander Island, Antarctica, contain Aptian to Albian high-latitude echinoderm faunas that lived at palaeolatitudes greater than 60 degrees south. The Pluto Glacier Formation, of essentially Aptian age, yields a deep-water assemblage that includes two ophiuroids, an ophiacanthid and a representative of the ophiolepidid genus Mesophiomusium, both represented by partially articulated specimens. The echinoid fauna includes a new genus of diadematoid, Australidiadema, and a new genus of disasteroid, Notidisaster, which extend the record of both groups into the southern hemisphere. The overlying Neptune Glacier Formation, of late Albian age, yields only spatangoids which are common but rarely well enough preserved to be identified even to genus level, although at least some belong to the genus Hemiaster.</t>
  </si>
  <si>
    <t>[Smith, Andrew B.] Nat Hist Museum, Dept Palaeontol, London SW7 5BD, England; [Crame, J. Alistair] British Antarctic Survey, Cambridge CB3 0ET, England</t>
  </si>
  <si>
    <t>Natural History Museum London; UK Research &amp; Innovation (UKRI); Natural Environment Research Council (NERC); NERC British Antarctic Survey</t>
  </si>
  <si>
    <t>Smith, AB (corresponding author), Nat Hist Museum, Dept Palaeontol, Cromwell Rd, London SW7 5BD, England.</t>
  </si>
  <si>
    <t>a.smith@nhm.ac.uk; jacr@bas.ac.uk</t>
  </si>
  <si>
    <t>Smith, Andrew B/B-9849-2009</t>
  </si>
  <si>
    <t>Natural Environment Research Council [bas0100026] Funding Source: researchfish; NERC [bas0100026] Funding Source: UKRI</t>
  </si>
  <si>
    <t>0031-0239</t>
  </si>
  <si>
    <t>1475-4983</t>
  </si>
  <si>
    <t>10.1111/j.1475-4983.2012.01129.x</t>
  </si>
  <si>
    <t>907RC</t>
  </si>
  <si>
    <t>WOS:000301434100005</t>
  </si>
  <si>
    <t>Vandenabeele, P; Jehlicka, J; Vítek, P; Edwards, HGM</t>
  </si>
  <si>
    <t>Vandenabeele, P.; Jehlicka, J.; Vitek, P.; Edwards, H. G. M.</t>
  </si>
  <si>
    <t>On the definition of Raman spectroscopic detection limits for the analysis of biomarkers in solid matrices</t>
  </si>
  <si>
    <t>PLANETARY AND SPACE SCIENCE</t>
  </si>
  <si>
    <t>Astrobiology; Raman spectroscopy; Limit of detection; Biomarkers</t>
  </si>
  <si>
    <t>IN-SITU; ASTROBIOLOGICAL EXPLORATION; ANTARCTIC HABITATS; BETA-CAROTENE; MARS; LIFE; IDENTIFICATION; TOOL; RELEVANCE; MISSIONS</t>
  </si>
  <si>
    <t>Raman spectroscopy is one of the techniques that is being advocated for adoption in astrobiology for the detection of extinct or extant life on planetary surfaces extraterrestrially. A discussion on the definition of the Raman spectroscopic limits of detection and the operational factors which influence the data observed is needed for the evaluation of the results. This research paper forms a starting point for the discussion of the meaning of detection limits of biomarker molecules - solids dispersed in solid matrices - and the consequences for astrobiological research as this will have implications on the analytical protocols and spectrometer design for remote field-operated spectrometers. (C) 2011 Elsevier Ltd. All rights reserved.</t>
  </si>
  <si>
    <t>[Vandenabeele, P.] Univ Ghent, Dept Archaeol, B-9000 Ghent, Belgium; [Jehlicka, J.; Vitek, P.] Charles Univ Prague, Inst Geochem Mineral &amp; Mineral Resources, Prague 12843 2, Czech Republic; [Edwards, H. G. M.] Univ Bradford, Sch Life Sci, Ctr Astrobiol &amp; Extremophiles Res, Bradford BD7 1DP, W Yorkshire, England</t>
  </si>
  <si>
    <t>Ghent University; Charles University Prague; University of Bradford</t>
  </si>
  <si>
    <t>Vandenabeele, P (corresponding author), Univ Ghent, Dept Archaeol, Sint Pietersnieuwstr 35, B-9000 Ghent, Belgium.</t>
  </si>
  <si>
    <t>peter.vandenabeele@UGent.be</t>
  </si>
  <si>
    <t>Vandenabeele, Peter/B-8904-2017; Vitek, Petr/R-8022-2016; Jehlicka, Jan/H-9357-2016</t>
  </si>
  <si>
    <t>Vandenabeele, Peter/0000-0001-5285-9835; Jehlicka, Jan/0000-0002-4294-876X</t>
  </si>
  <si>
    <t>Interuniversity Attraction Poles Programme - Belgian State - Belgian Science Policy; UK Space Agency [ST/I002677/1] Funding Source: researchfish</t>
  </si>
  <si>
    <t>Interuniversity Attraction Poles Programme - Belgian State - Belgian Science Policy(Belgian Federal Science Policy Office); UK Space Agency</t>
  </si>
  <si>
    <t>We would like to acknowledge the Interuniversity Attraction Poles Programme - Belgian State - Belgian Science Policy for their financial support of this research. We are grateful to Jacek Wierzchos (Museo Nacional de Ciencias Naturales, CSIC, Madrid, Spain) for providing the gypsum sample from the Atacama Desert for Raman study of endolithic organisms.</t>
  </si>
  <si>
    <t>0032-0633</t>
  </si>
  <si>
    <t>PLANET SPACE SCI</t>
  </si>
  <si>
    <t>Planet Space Sci.</t>
  </si>
  <si>
    <t>10.1016/j.pss.2011.12.006</t>
  </si>
  <si>
    <t>908DB</t>
  </si>
  <si>
    <t>WOS:000301469500006</t>
  </si>
  <si>
    <t>Lörz, AN; Linse, K; Smith, PJ; Steinke, D</t>
  </si>
  <si>
    <t>Loerz, Anne-Nina; Linse, Katrin; Smith, Peter J.; Steinke, Dirk</t>
  </si>
  <si>
    <t>First Molecular Evidence for Underestimated Biodiversity of Rhachotropis (Crustacea, Amphipoda), with Description of a New Species</t>
  </si>
  <si>
    <t>BIOLOGICAL IDENTIFICATIONS; DNA; BARCODE; DIET</t>
  </si>
  <si>
    <t>The crustacean genus Rhachotropis has a worldwide distribution and amongst the largest bathymetric range known from any amphipod genus. DNA barcoding of new material from around New Zealand and the Ross Sea indicated depth-related biogeographic patterns. New Zealand Rhachotropis do not form a monophyletic clade. Species from bathyal depths on the Chatham Rise, east of New Zealand, show lower sequence divergence to bathyal species from California and the Arctic than to abyssal New Zealand species. Species sampled in the Kermadec Trench, north of New Zealand below 5000 m, seem to be more closely related to Ross Sea abyssal species than to the New Zealand shelf species. The worldwide geographic and bathymetric distribution for all Rhachotropis species is presented here. Depth may have a greater influence on phylogeny than geographic distance. Molecular and morphological investigations of Rhachotropis specimens from the Chatham Rise, New Zealand revealed a species new to science which is described in detail, including scanning electron microscopy. This increases the number of described species of Rhachotropis to 60 worldwide.</t>
  </si>
  <si>
    <t>[Loerz, Anne-Nina] Natl Inst Water &amp; Atmospher Res, Wellington, New Zealand; [Linse, Katrin] British Antarctic Survey, Cambridge CB3 0ET, England; [Smith, Peter J.] Museum Victoria, Melbourne, Vic, Australia; [Steinke, Dirk] Univ Guelph, Biodivers Inst Ontario, Guelph, ON N1G 2W1, Canada</t>
  </si>
  <si>
    <t>National Institute of Water &amp; Atmospheric Research (NIWA) - New Zealand; UK Research &amp; Innovation (UKRI); Natural Environment Research Council (NERC); NERC British Antarctic Survey; Museum Victoria; University of Guelph</t>
  </si>
  <si>
    <t>Lörz, AN (corresponding author), Natl Inst Water &amp; Atmospher Res, Wellington, New Zealand.</t>
  </si>
  <si>
    <t>Anne-Nina.Loerz@niwa.co.nz</t>
  </si>
  <si>
    <t>Steinke, Dirk/D-4700-2009</t>
  </si>
  <si>
    <t>Steinke, Dirk/0000-0002-8992-575X; Linse, Katrin/0000-0003-3477-3047</t>
  </si>
  <si>
    <t>New Zealand Government [So001IPY, IPY2007-01]; Ministry of Fisheries Science Team; Ocean Survey 20/20 CAML Advisory Group (Land Information New Zealand, Ministry of Fisheries, Antarctica New Zealand, Ministry of Foreign Affairs and Trade, and National Institute of Water and Atmosphere Ltd); Foundation of Research and Science [BBDB1202]; Nippon Foundation; Canadian Centre for DNA Barcoding, from the Ontario Genomics Institute [2008-OGI-ICI-03]; Genome Canada; Ontario Ministry of Research and Innovation; Natural Sciences and Engineering Research Council of Canada; Alfred P. Sloan Foundation; British Antarctic Core program Polar Science for Planet Earth; Natural Environmental Research Council; National Institute of Water and Atmosphere Ltd.; Natural Environment Research Council [bas0100026] Funding Source: researchfish; NERC [bas0100026] Funding Source: UKRI</t>
  </si>
  <si>
    <t>New Zealand Government; Ministry of Fisheries Science Team; Ocean Survey 20/20 CAML Advisory Group (Land Information New Zealand, Ministry of Fisheries, Antarctica New Zealand, Ministry of Foreign Affairs and Trade, and National Institute of Water and Atmosphere Ltd); Foundation of Research and Science; Nippon Foundation(Nippon Foundation); Canadian Centre for DNA Barcoding, from the Ontario Genomics Institute; Genome Canada(Genome Canada); Ontario Ministry of Research and Innovation(Ministry of Research and Innovation, Ontario); Natural Sciences and Engineering Research Council of Canada(Natural Sciences and Engineering Research Council of Canada (NSERC)CGIAR); Alfred P. Sloan Foundation(Alfred P. Sloan Foundation); British Antarctic Core program Polar Science for Planet Earth; Natural Environmental Research Council(UK Research &amp; Innovation (UKRI)Natural Environment Research Council (NERC)); National Institute of Water and Atmosphere Ltd.; Natural Environment Research Council(UK Research &amp; Innovation (UKRI)Natural Environment Research Council (NERC)); NERC(UK Research &amp; Innovation (UKRI)Natural Environment Research Council (NERC))</t>
  </si>
  <si>
    <t>This research was funded by the New Zealand Government under the New Zealand International Polar Year - Census of Antarctic Marine Life Project (Phase 1: So001IPY; Phase 2: IPY2007-01). The authors gratefully acknowledge project governance provided by the Ministry of Fisheries Science Team and the Ocean Survey 20/20 CAML Advisory Group (Land Information New Zealand, Ministry of Fisheries, Antarctica New Zealand, Ministry of Foreign Affairs and Trade, and National Institute of Water and Atmosphere Ltd). ANL was also supported by the Foundation of Research and Science taxonomy project BBDB1202. The Kermadec trench specimen was collected during HADEEP 6 (KAH0910) funded by the Nippon Foundation. Sequencing was supported by funding to the International Barcode of Life Project (iBOL) through the Canadian Centre for DNA Barcoding, from the Ontario Genomics Institute (2008-OGI-ICI-03), Genome Canada, the Ontario Ministry of Research and Innovation, and the Natural Sciences and Engineering Research Council of Canada. DS was supported by funding from the Alfred P. Sloan Foundation to MarBOL. KL was supported by the British Antarctic Core program Polar Science for Planet Earth funded by the Natural Environmental Research Council. The funders had no role in study design, data collection and analysis, decision to publish, or preparation of the manuscript.; This study was partly funded by the National Institute of Water and Atmosphere Ltd., of whom ANL is also an employee. There are no patents, products in development or marketed products to declare. This does not alter the authors' adherence to all the PLoS ONE policies on sharing data and materials, as detailed online in the guide for authors.</t>
  </si>
  <si>
    <t>e32365</t>
  </si>
  <si>
    <t>10.1371/journal.pone.0032365</t>
  </si>
  <si>
    <t>928SU</t>
  </si>
  <si>
    <t>Green Published, gold, Green Accepted, Green Submitted</t>
  </si>
  <si>
    <t>WOS:000303005000023</t>
  </si>
  <si>
    <t>Sicinski, J; Pabis, K; Jazdzewski, K; Konopacka, A; Blazewicz-Paszkowycz, M</t>
  </si>
  <si>
    <t>Sicinski, Jacek; Pabis, Krzysztof; Jazdzewski, Krzysztof; Konopacka, Alicja; Blazewicz-Paszkowycz, Magdalena</t>
  </si>
  <si>
    <t>Macrozoobenthos of two Antarctic glacial coves: a comparison with non-disturbed bottom areas</t>
  </si>
  <si>
    <t>West Antarctic; South Shetland Islands; Soft bottom; Macrozoobenthos; Environmental gradients</t>
  </si>
  <si>
    <t>KING-GEORGE ISLAND; MARINE BENTHIC COMMUNITIES; ICE SCOUR DISTURBANCE; FAUNAL ASSOCIATIONS; ADELAIDE ISLAND; CLIMATE-CHANGE; ADMIRALTY BAY; IMPACT; SEA; SEDIMENTATION</t>
  </si>
  <si>
    <t>There are only few studies on shallow Antarctic benthic communities associated with habitats affected by intense mineral sedimentation inflow. The analysis of macrofaunal communities associated with two shallow, isolated glacial coves was performed in Admiralty Bay (King George Island) and compared with non-disturbed sites. Multivariate analyses (hierarchical classification, nMDS) clearly separated glacial cove communities (two assemblages) from the sites situated outside both basins (two assemblages). The community influenced by the streamflow of glacial discharge of meltwater situated in the area with sandy-clay-silt sediments had a very low species richness, diversity and abundance. It was dominated by eurytopic, motile deposit feeding polychaetes such as Mesospio moorei, Tharyx cincinnatus and Leitoscoloplos kerguelensis as well as the bivalve Yoldia eightsi. The second glacial community of the area located at a grater distance from the outlet of the stream was characterized by sandy-clay-silt and clay-silt deposits and showed also a low diversity and species richness. The most abundant here were peracarid crustaceans, with the dominant opportunistic feeder Cheirimedon femoratus. Community from the non-disturbed area with silty-clay-sand, and silty-sand sediments had higher species richness and diversity. The assemblage of fauna from the sandy bottom has values of those two indexes similar to those found in the disturbed areas.</t>
  </si>
  <si>
    <t>[Sicinski, Jacek; Pabis, Krzysztof; Blazewicz-Paszkowycz, Magdalena] Univ Lodz, Lab Polar Biol &amp; Oceanobiol, PL-90237 Lodz, Poland; [Jazdzewski, Krzysztof; Konopacka, Alicja] Univ Lodz, Lab Biogeog &amp; Invertebrate Ecol, PL-90237 Lodz, Poland</t>
  </si>
  <si>
    <t>University of Lodz; University of Lodz</t>
  </si>
  <si>
    <t>Pabis, K (corresponding author), Univ Lodz, Lab Polar Biol &amp; Oceanobiol, Banacha 12-16, PL-90237 Lodz, Poland.</t>
  </si>
  <si>
    <t>sicinski@biol.uni.lodz.pl; cataclysta@wp.pl; kryjaz@biol.uni.lodz.pl; alikon@biol.uni.lodz.pl; magdab@biol.uni.lodz.pl</t>
  </si>
  <si>
    <t>Błażewicz, Magdalena/J-5175-2017; Pabis, Krzysztof/O-8628-2017; Sicinski, Jacek/P-2033-2017</t>
  </si>
  <si>
    <t>Sicinski, Jacek/0000-0002-5235-3188; Blazewicz, Magdalena/0000-0002-4753-3424; Pabis, Krzysztof/0000-0002-9625-3453</t>
  </si>
  <si>
    <t>Polish Ministry of Science and Higher Education [7984/B/P01/2011/40]; University of Lodz; Polish Antarctic Station H. Arctowski</t>
  </si>
  <si>
    <t>Polish Ministry of Science and Higher Education(Ministry of Science and Higher Education, Poland); University of Lodz; Polish Antarctic Station H. Arctowski</t>
  </si>
  <si>
    <t>We would like to thank Dr J. Szczechura for the identification of ostracods and Dr W. Teodorczyk for the identification of isopods. Thanks are due as well to E. Janowska MSc for the technical help in sorting the materials. We also want to thank Brigitte Ebbe, Jan Marcin Weslawski and one anonymous reviewer for their valuable comments that helped to improve this article. The study was supported by a grant of Polish Ministry of Science and Higher Education No. 7984/B/P01/2011/40 as well as University of Lodz internal funds. The sampling program was carried out with a support from the Polish Antarctic Station H. Arctowski.</t>
  </si>
  <si>
    <t>10.1007/s00300-011-1081-3</t>
  </si>
  <si>
    <t>WOS:000301452600004</t>
  </si>
  <si>
    <t>Chong, CW; Convey, P; Pearce, DA; Tan, IKP</t>
  </si>
  <si>
    <t>Chong, C. W.; Convey, P.; Pearce, D. A.; Tan, I. K. P.</t>
  </si>
  <si>
    <t>Assessment of soil bacterial communities on Alexander Island (in the maritime and continental Antarctic transitional zone)</t>
  </si>
  <si>
    <t>DGGE; T-RFLP; Cloning; Bacterial diversity; pH</t>
  </si>
  <si>
    <t>SP NOV.; GEN. NOV.; TERRESTRIAL ECOSYSTEMS; MICROBIAL COMMUNITIES; FUNGAL COMMUNITIES; DOMINANT BACTERIA; VICTORIA LAND; T-RFLP; DIVERSITY; PH</t>
  </si>
  <si>
    <t>Despite an increasing number of Antarctic soil diversity assessments, understanding of the bacterial community composition in the arid soil environments of the maritime/continental Antarctic transitional zone remains lacking. Most documented microbiological studies had focused on either the wetter environments of the Antarctic Peninsula/Scotia arc or the exceptionally arid deserts of the Dry Valleys of continental Antarctica. In this study, soil bacterial diversity from three relatively arid sites on Alexander Island and the physicochemical parameters that might inXuence it were assessed. In general, the study sites exhibited levels of pH, hydration and metal content different from previous reports of maritime or continental Antarctic soil habitats. Although the soil from Alexander Island exhibited similar phylum-level bacterial taxonomic composition to those of other cold and arid environments, each study site was found to harbour significantly different bacterial assemblages. The latter finding was supported by three complementary molecular methods selected to address different elements of diversity. Our analyses of the measured parameters suggest that the differences in bacterial communities were best explained by soil pH and copper content. Using these data, we suggest that soil pH might play an important role in structuring bacterial assemblage patterns across polar soils.</t>
  </si>
  <si>
    <t>[Chong, C. W.; Tan, I. K. P.] Univ Malaya, Fac Sci, Inst Biol Sci, Kuala Lumpur 50603, Malaysia; [Convey, P.; Pearce, D. A.] British Antarctic Survey, NERC, Cambridge CB3 0ET, England</t>
  </si>
  <si>
    <t>Universiti Malaya; UK Research &amp; Innovation (UKRI); Natural Environment Research Council (NERC); NERC British Antarctic Survey</t>
  </si>
  <si>
    <t>Chong, CW (corresponding author), Univ Malaya, Fac Sci, Inst Biol Sci, Kuala Lumpur 50603, Malaysia.</t>
  </si>
  <si>
    <t>cchhoonngg81@yahoo.com</t>
  </si>
  <si>
    <t>Chong, Chun Wie/ABG-7676-2020; Convey, Peter/AAV-5728-2020; Tan, Irene Kit Ping/B-8661-2010</t>
  </si>
  <si>
    <t>Chong, Chun Wie/0000-0002-6881-8883; Convey, Peter/0000-0001-8497-9903; Tan, Irene Kit Ping/0000-0001-9601-5810; Pearce, David/0000-0001-5292-4596</t>
  </si>
  <si>
    <t>NERC [bas0100025] Funding Source: UKRI; Natural Environment Research Council [bas0100025] Funding Source: researchfish</t>
  </si>
  <si>
    <t>10.1007/s00300-011-1084-0</t>
  </si>
  <si>
    <t>WOS:000301452600006</t>
  </si>
  <si>
    <t>Nakai, R; Abe, T; Baba, T; Imura, S; Kagoshima, H; Kanda, H; Kanekiyo, A; Kohara, Y; Koi, A; Nakamura, K; Narita, T; Niki, H; Yanagihara, K; Naganuma, T</t>
  </si>
  <si>
    <t>Nakai, Ryosuke; Abe, Takashi; Baba, Tomoya; Imura, Satoshi; Kagoshima, Hiroshi; Kanda, Hiroshi; Kanekiyo, Atsuko; Kohara, Yuji; Koi, Akiko; Nakamura, Keiko; Narita, Takanori; Niki, Hironori; Yanagihara, Katsuhiko; Naganuma, Takeshi</t>
  </si>
  <si>
    <t>Microflorae of aquatic moss pillars in a freshwater lake, East Antarctica, based on fatty acid and 16S rRNA gene analyses</t>
  </si>
  <si>
    <t>Antarctic lake; Moss pillars; Biodiversity; Fatty acid; 16S rRNA gene; Bacteria</t>
  </si>
  <si>
    <t>BACTERIAL DIVERSITY; SEDIMENTS; PROTEIN</t>
  </si>
  <si>
    <t>Aquatic mosses in the genera Bryum and Leptobryum form unique tower-like moss pillars underwater in some Antarctic lakes, in association with algae and cyanobacteria. These are communities with a two-layer structure comprising an oxidative exterior and reductive interior. Although habitats and photosynthetic properties of moss pillars have been reported, microfloral composition of the two-layer structure has not been described. Here we report fatty acid analysis of one moss pillar and molecular phylogenetic analysis, based on the 16S rRNA gene, of this and one other moss pillar. Cluster analysis of the phospholipid fatty acid composition showed three groups corresponding to the exterior, upper interior, and lower interior of the pillar. This suggested that species composition differed by section, with the exterior dominated by photosynthetic organisms such as mosses, algae, and cyanobacteria, the upper interior primarily containing gram-positive bacteria and anaerobic sulfate-reducing bacteria, and the lower interior dominated by gram-negative bacteria. Molecular phylogenetic analysis revealed that Proteobacteria dominate the moss pillar as a whole; cyanobacteria were found on the exterior and the gram-positive obligate anaerobe Clostridium in the interior, while gram-positive sulfate-reducing bacteria were present in the lowest part of the interior. Nitrogen-fixing bacteria and denitrifying bacteria were found in all sections. Thus, fatty acid analysis and genetic analysis showed similar patterns. These findings suggest that microorganisms of different phylogenetic groups inhabit different sections of a single moss pillar and form a microbial community that performs biogeochemical cycling to establish and maintain a structure in an oxidation-reduction gradient between exterior and interior.</t>
  </si>
  <si>
    <t>[Nakai, Ryosuke; Kanekiyo, Atsuko; Koi, Akiko; Nakamura, Keiko; Naganuma, Takeshi] Hiroshima Univ, Grad Sch Biosphere Sci, Higashihiroshima 7398528, Japan; [Nakai, Ryosuke] Japan Soc Promot Sci, Chiyoda Ku, Tokyo 1028471, Japan; [Abe, Takashi] Nagahama Inst Biosci &amp; Technol, Nagahama, Shiga 5260829, Japan; [Baba, Tomoya; Kagoshima, Hiroshi; Yanagihara, Katsuhiko] Transdisciplinary Res Integrat Ctr, Minato Ku, Tokyo 1050001, Japan; [Imura, Satoshi; Kanda, Hiroshi] Natl Inst Polar Res, Tachikawa, Tokyo 1908518, Japan; [Kagoshima, Hiroshi; Kohara, Yuji; Niki, Hironori] Natl Inst Genet, Mishima, Shizuoka 4118540, Japan; [Narita, Takanori] Nihon Univ, Dept Vet Med, Fujisawa, Kanagawa 2528510, Japan</t>
  </si>
  <si>
    <t>Hiroshima University; Japan Society for the Promotion of Science; Research Organization of Information &amp; Systems (ROIS); National Institute of Polar Research (NIPR) - Japan; Research Organization of Information &amp; Systems (ROIS); National Institute of Genetics (NIG) - Japan; Nihon University</t>
  </si>
  <si>
    <t>Naganuma, T (corresponding author), Hiroshima Univ, Grad Sch Biosphere Sci, 1-4-4 Kagamiyama, Higashihiroshima 7398528, Japan.</t>
  </si>
  <si>
    <t>takn@hiroshima-u.ac.jp</t>
  </si>
  <si>
    <t>Naganuma, Takeshi/AAX-7064-2021; BABA, Tomoya/H-2317-2013; Narita, Takanori/F-1092-2011; Nakai, Ryosuke/O-6217-2015</t>
  </si>
  <si>
    <t>Naganuma, Takeshi/0000-0003-1925-9461; BABA, Tomoya/0000-0001-8986-5905; Nakai, Ryosuke/0000-0002-3078-6695; Narita, Takanori/0000-0003-0295-5014; Niki, Hironori/0000-0002-5391-6595</t>
  </si>
  <si>
    <t>National Polar Research Institute; Transdisciplinary Research Integration Center, Research Organization of Information and Systems, Japan; Grants-in-Aid for Scientific Research [23247012, 11J30005, 23710242, 23510239] Funding Source: KAKEN</t>
  </si>
  <si>
    <t>National Polar Research Institute; Transdisciplinary Research Integration Center, Research Organization of Information and Systems, Japan; Grants-in-Aid for Scientific Research(Ministry of Education, Culture, Sports, Science and Technology, Japan (MEXT)Japan Society for the Promotion of ScienceGrants-in-Aid for Scientific Research (KAKENHI))</t>
  </si>
  <si>
    <t>We gratefully acknowledge the members of the 42nd Japanese Antarctic Research Expedition (JARE). We thank Kazuko Ohishi and Tadasu Shin-i for their excellent technical help. This study was supported by the National Polar Research Institute and the Transdisciplinary Research Integration Center, Research Organization of Information and Systems, Japan. The study was conducted as part of Microbiological and Ecological Responses to Global Environmental Changes in Polar Regions (MERGE) during the International Polar Year of 2007-2008.</t>
  </si>
  <si>
    <t>10.1007/s00300-011-1090-2</t>
  </si>
  <si>
    <t>WOS:000301452600009</t>
  </si>
  <si>
    <t>Pereira-Medrano, AG; Margesin, R; Wright, PC</t>
  </si>
  <si>
    <t>Pereira-Medrano, Ana G.; Margesin, Rosa; Wright, Phillip C.</t>
  </si>
  <si>
    <t>Proteome characterization of the unsequenced psychrophile Pedobacter cryoconitis using 15N metabolic labeling, tandem mass spectrometry, and a new bioinformatic workflow</t>
  </si>
  <si>
    <t>PROTEOMICS</t>
  </si>
  <si>
    <t>Bioinformatics; De novo sequencing; LC-MS; MS; 15N metabolic labelling; Pedobacter cryoconitis</t>
  </si>
  <si>
    <t>METHANOCOCCOIDES-BURTONII; COLD ADAPTATION; LOW-TEMPERATURE; RAPID IDENTIFICATION; ANTARCTIC ARCHAEON; PROTEINS; MICROORGANISMS; SEQUENCE; ALGORITHMS; CONFIDENCE</t>
  </si>
  <si>
    <t>Organisms without a sequenced genome and lacking a complete protein database encounter an added level of complexity to protein identification and quantitation. De novo sequencing, new bioinformatics tools, and mass spectrometry (MS) techniques allow for advances in this area. Here, the proteomic characterization of an unsequenced psychrophilic bacterium, Pedobacter cryoconitis, is presented employing a novel workflow based on 15N metabolic labelling, 2DE, MS/MS, and bioinformatics tools. Two bioinformatics pipelines, based on nitrogen constraint (N-constraint), ortholog searching, and de novo peptide sequencing with N-constraint similarity database search, are compared based on proteome coverage and throughput. Results demonstrate the effect of different growth temperatures (1 degrees C, 20 degrees C) and different carbon sources (glucose, maltose) on the proteome. Seventy-six and 69 proteins were identified and validated from the glucose- and maltose-grown bacterium, respectively, from which 21 and 22 were differentially expressed at different growth temperatures. Differentially expressed proteins are involved in stress response and carbohydrate metabolism, with higher expression at 20 degrees C than at 1 degrees C, while antioxidants were upregulated at 1 degrees C. This study provides an alternative workflow to identify, validate, and quantify proteins from unsequenced organisms distantly related to other species in the protein database. Furthermore, it provides further understanding on bacterial adaptation mechanisms to cold environments, and a comparative proteomic analyses with other psychrophilic microorganisms.</t>
  </si>
  <si>
    <t>[Wright, Phillip C.] Univ Sheffield, ChELSI Inst, Dept Chem &amp; Biol Engn, Biol &amp; Environm Syst Grp, Sheffield S1 3JD, S Yorkshire, England; [Margesin, Rosa] Univ Innsbruck, Inst Mikrobiol, A-6020 Innsbruck, Austria</t>
  </si>
  <si>
    <t>University of Sheffield; University of Innsbruck</t>
  </si>
  <si>
    <t>Wright, PC (corresponding author), Univ Sheffield, ChELSI Inst, Dept Chem &amp; Biol Engn, Biol &amp; Environm Syst Grp, Mappin St, Sheffield S1 3JD, S Yorkshire, England.</t>
  </si>
  <si>
    <t>P.C.Wright@Sheffield.ac.uk</t>
  </si>
  <si>
    <t>Wright, Phillip/0000-0002-8834-0426; Pereira-O'Callaghan, Ana/0000-0002-3529-8092</t>
  </si>
  <si>
    <t>University of Sheffield; United Kingdom's Engineering and Physical Science Research Council (EPSRC) [GR/S84347/01, EP/E036252/1, GR/A11311/02]; UK / Austria; British Council / Bundesministerium fur Bildung, Wissenschaft und Kunst; EPSRC [EP/E036252/1] Funding Source: UKRI; Engineering and Physical Sciences Research Council [GR/S84347/01, EP/E036252/1, GR/A11311/02] Funding Source: researchfish</t>
  </si>
  <si>
    <t>University of Sheffield; United Kingdom's Engineering and Physical Science Research Council (EPSRC)(UK Research &amp; Innovation (UKRI)Engineering &amp; Physical Sciences Research Council (EPSRC)); UK / Austria; British Council / Bundesministerium fur Bildung, Wissenschaft und Kunst; EPSRC(UK Research &amp; Innovation (UKRI)Engineering &amp; Physical Sciences Research Council (EPSRC)); Engineering and Physical Sciences Research Council(UK Research &amp; Innovation (UKRI)Engineering &amp; Physical Sciences Research Council (EPSRC))</t>
  </si>
  <si>
    <t>We would like to thank The University of Sheffield's Ph.D. Scholarship Programme and the United Kingdom's Engineering and Physical Science Research Council (EPSRC) for funding (Grant GR/S84347/01 and EP/E036252/1), for an Advanced Research Fellowship for P. C. W. (GR/A11311/02), Travel costs of P. C. W. and R. M. were supported by the Academic Research Collaboration Programme (UK / Austria; British Council / Bundesministerium fur Bildung, Wissenschaft und Kunst).</t>
  </si>
  <si>
    <t>1615-9853</t>
  </si>
  <si>
    <t>1615-9861</t>
  </si>
  <si>
    <t>Proteomics</t>
  </si>
  <si>
    <t>10.1002/pmic.201100159</t>
  </si>
  <si>
    <t>Biochemical Research Methods; Biochemistry &amp; Molecular Biology</t>
  </si>
  <si>
    <t>931PW</t>
  </si>
  <si>
    <t>WOS:000303232800004</t>
  </si>
  <si>
    <t>Johnson, JS; Everest, JD; Leat, PT; Golledge, NR; Rood, DH; Stuart, FM</t>
  </si>
  <si>
    <t>Johnson, Joanne S.; Everest, Jeremy D.; Leat, Philip T.; Golledge, Nicholas R.; Rood, Dylan H.; Stuart, Finlay M.</t>
  </si>
  <si>
    <t>The deglacial history of NW Alexander Island, Antarctica, from surface exposure dating</t>
  </si>
  <si>
    <t>QUATERNARY RESEARCH</t>
  </si>
  <si>
    <t>Cosmogenic nuclides; Erratics; Ice sheet; Refugia; Wilkins Ice Shelf; Last glacial maximum</t>
  </si>
  <si>
    <t>QUATERNARY GLACIAL HISTORY; VI ICE SHELF; COSMOGENIC HE-3; MARGUERITE BAY; DRY VALLEYS; PENINSULA; RETREAT; BE-10; RATES; WEST</t>
  </si>
  <si>
    <t>Recent changes along the margins of the Antarctic Peninsula, such as the collapse of the Wilkins Ice Shelf, have highlighted the effects of climatic warming on the Antarctic Peninsula Ice Sheet (APIS). However, such changes must be viewed in a long-term (millennial-scale) context if we are to understand their significance for future stability of the Antarctic ice sheets. To address this, we present nine new cosmogenic Be-10 exposure ages from sites on NW Alexander Island and Rothschild Island (adjacent to the Wilkins Ice Shelf) that provide constraints on the timing of thinning of the Alexander Island ice cap since the last glacial maximum. All but one of the Be-10 ages are in the range 10.2-21.7 ka, showing a general trend of progressive ice-sheet thinning since at least 22 ka until 10 ka. The data also provide a minimum estimate (490 m) for ice-cap thickness on NW Alexander Island at the last glacial maximum. Cosmogenic He-3 ages from a rare occurrence of mantle xenoliths on Rothschild Island yield variable ages up to 46 ka, probably reflecting exhumation by periglacial processes. (C) 2011 University of Washington. Published by Elsevier Inc. All rights reserved.</t>
  </si>
  <si>
    <t>[Johnson, Joanne S.; Leat, Philip T.] British Antarctic Survey, Cambridge CB3 0ET, England; [Everest, Jeremy D.; Golledge, Nicholas R.] British Geol Survey, Edinburgh EH9 3LA, Midlothian, Scotland; [Golledge, Nicholas R.] Victoria Univ Wellington, Antarctic Res Ctr, Wellington 6140, New Zealand; [Rood, Dylan H.] Lawrence Livermore Natl Lab, Ctr Accelerator Mass Spectrometry, Livermore, CA 94550 USA; [Stuart, Finlay M.] Scottish Univ Environm Res Ctr, E Kilbride G75 0QF, Lanark, Scotland</t>
  </si>
  <si>
    <t>UK Research &amp; Innovation (UKRI); Natural Environment Research Council (NERC); NERC British Antarctic Survey; UK Research &amp; Innovation (UKRI); Natural Environment Research Council (NERC); NERC British Geological Survey; Victoria University Wellington; United States Department of Energy (DOE); Lawrence Livermore National Laboratory; Scottish Universities Research &amp; Reactor Center</t>
  </si>
  <si>
    <t>Johnson, JS (corresponding author), British Antarctic Survey, Madingley Rd, Cambridge CB3 0ET, England.</t>
  </si>
  <si>
    <t>jsj@bas.ac.uk</t>
  </si>
  <si>
    <t>Stuart, Finlay M/E-7417-2010</t>
  </si>
  <si>
    <t>Johnson, Joanne/0000-0003-4537-4447; Golledge, Nicholas/0000-0001-7676-8970; Stuart, Finlay/0000-0002-6395-7868</t>
  </si>
  <si>
    <t>US Department of Energy by Lawrence Livermore National Laboratory [DE-AC52-07NA27344]; Natural Environment Research Council; Antarctic Science Ltd; NERC [bas0100026, bgs05002, bas0100027] Funding Source: UKRI; Natural Environment Research Council [bas0100026, bgs05002, bas0100027] Funding Source: researchfish</t>
  </si>
  <si>
    <t>US Department of Energy by Lawrence Livermore National Laboratory(United States Department of Energy (DOE)); Natural Environment Research Council(UK Research &amp; Innovation (UKRI)Natural Environment Research Council (NERC)); Antarctic Science Ltd; NERC(UK Research &amp; Innovation (UKRI)Natural Environment Research Council (NERC)); Natural Environment Research Council(UK Research &amp; Innovation (UKRI)Natural Environment Research Council (NERC))</t>
  </si>
  <si>
    <t>We thank the Captain, Officers and crew of HMS Endurance, and BAS field assistants Mark Gorin and Roger Stilwell for their support during Antarctic fieldwork. BAS technicians Mike Tabecki and Hilary Blagbrough crushed the rock samples, Adrian Fox provided aerial photographs, and Lydia Gibson (University of Cambridge) donated the mantle xenoliths from her PhD project. The work was performed in part under the auspices of the US Department of Energy by Lawrence Livermore National Laboratory under contract DE-AC52-07NA27344. This paper is the result of a collaborative study between the British Geological Survey and the British Antarctic Survey as part of the BAS 'Polar Science for Planet Earth' programme, funded by the Natural Environment Research Council. The work was also supported by an Antarctic Science Ltd Bursary to JSJ. We thank Jim Knox, Alan Gillespie, Adam Lewis and an anonymous reviewer for their constructive comments.</t>
  </si>
  <si>
    <t>0033-5894</t>
  </si>
  <si>
    <t>1096-0287</t>
  </si>
  <si>
    <t>QUATERNARY RES</t>
  </si>
  <si>
    <t>Quat. Res.</t>
  </si>
  <si>
    <t>10.1016/j.yqres.2011.11.012</t>
  </si>
  <si>
    <t>911BY</t>
  </si>
  <si>
    <t>WOS:000301693500008</t>
  </si>
  <si>
    <t>Erdei, B; Utescher, T; Hably, L; Tamás, J; Roth-Nebelsick, A; Grein, M</t>
  </si>
  <si>
    <t>Erdei, Boglarka; Utescher, Torsten; Hably, Lilla; Tamas, Julia; Roth-Nebelsick, Anita; Grein, Michaela</t>
  </si>
  <si>
    <t>Early Oligocene Continental Climate of the Palaeogene Basin (Hungary and Slovenia) and the Surrounding Area</t>
  </si>
  <si>
    <t>TURKISH JOURNAL OF EARTH SCIENCES</t>
  </si>
  <si>
    <t>Early Oligocene; Palaeogene basin; fossil flora; palaeoclimate; morphometry; carbon dioxide</t>
  </si>
  <si>
    <t>CARBON-DIOXIDE CONCENTRATIONS; ATMOSPHERIC CO2; STOMATAL DENSITY; LEAF MORPHOLOGY; WORLD MAP; TERTIARY; EOCENE; L.; EVOLUTION; LEAVES</t>
  </si>
  <si>
    <t>This paper concentrates on the Early Oligocene palaeoclimate of the southern part of Eastern and Central Europe and gives a detailed climatological analysis, combined with leaf-morphological studies and modelling of the palaeoatmospheric CO2 level using stomatal and delta C-13 data. Climate data are calculated using the Coexistence Approach for Kiscellian floras of the Palaeogene Basin (Hungary and Slovenia) and coeval assemblages from Central and Southeastern Europe. Potential microclimatic or habitat variations are considered using morphometric analysis of fossil leaves from Hungarian, Slovenian and Italian floras. Reconstruction of CO2 is performed by applying a recently introduced mechanistic model. Results of climate analysis indicate distinct latitudinal and longitudinal climate patterns for various variables which agree well with reconstructed palaeogeography and vegetation. Calculated climate variables in general suggest a warm and frost-free climate with low seasonal variation of temperature. A difference in temperature parameters is recorded between localities from Central and Southeastern Europe, manifested mainly in the mean temperature of the coldest month. Results of morphometric analysis suggest microclimatic or habitat difference among studied floras. Extending the scarce information available on atmospheric CO2 levels during the Oligocene, we provide data for a well-defined time-interval. Reconstructed atmospheric CO2 levels agree well with threshold values for Antarctic ice sheet growth suggested by recent modelling studies. The successful application of the mechanistic model for the reconstruction of atmospheric CO2 levels raises new possibitities for future climate inference from macro-flora studies.</t>
  </si>
  <si>
    <t>[Erdei, Boglarka; Hably, Lilla; Tamas, Julia] Hungarian Nat Hist Museum, Dept Bot, H-1476 Budapest, Hungary; [Utescher, Torsten] Univ Bonn, Steinmann Inst, D-53115 Bonn, Germany; [Roth-Nebelsick, Anita; Grein, Michaela] State Museum Nat Hist Stuttgart SMNS, D-70191 Stuttgart, Germany</t>
  </si>
  <si>
    <t>University of Bonn</t>
  </si>
  <si>
    <t>Erdei, B (corresponding author), Hungarian Nat Hist Museum, Dept Bot, POB 222, H-1476 Budapest, Hungary.</t>
  </si>
  <si>
    <t>erdei@bot.nhmus.hu</t>
  </si>
  <si>
    <t>Hably, Lilla/L-1555-2018</t>
  </si>
  <si>
    <t>Hably, Lilla/0000-0002-0775-9584</t>
  </si>
  <si>
    <t>Hungarian Scientific Research Fund (OTKA) [T37200]</t>
  </si>
  <si>
    <t>Hungarian Scientific Research Fund (OTKA)(Orszagos Tudomanyos Kutatasi Alapprogramok (OTKA))</t>
  </si>
  <si>
    <t>The study was supported by the Hungarian Scientific Research Fund (OTKA, T37200). This study is a contribution to the NECLIME (Neogene Climate Evolution in Eurasia) network.</t>
  </si>
  <si>
    <t>Tubitak Scientific &amp; Technological Research Council Turkey</t>
  </si>
  <si>
    <t>ANKARA</t>
  </si>
  <si>
    <t>ATATURK BULVARI NO 221, KAVAKLIDERE, TR-06100 ANKARA, TURKIYE</t>
  </si>
  <si>
    <t>1300-0985</t>
  </si>
  <si>
    <t>TURK J EARTH SCI</t>
  </si>
  <si>
    <t>Turk. J. Earth Sci.</t>
  </si>
  <si>
    <t>10.3906/yer-1005-29</t>
  </si>
  <si>
    <t>902IE</t>
  </si>
  <si>
    <t>WOS:000301031000002</t>
  </si>
  <si>
    <t>Yu, T; Barchetta, S; Pucciarelli, S; La Terza, A; Miceli, C</t>
  </si>
  <si>
    <t>Yu, Ting; Barchetta, Sabrina; Pucciarelli, Sandra; La Terza, Antonietta; Miceli, Cristina</t>
  </si>
  <si>
    <t>A Novel Robust Heat-inducible Promoter for Heterologous Gene Expression in Tetrahymena thermophila</t>
  </si>
  <si>
    <t>PROTIST</t>
  </si>
  <si>
    <t>Cytoplasmic Hsp70; inducible promoter; heterologous expression; Tetrahymena thermophila</t>
  </si>
  <si>
    <t>PROTEIN-SYNTHESIS; SHOCK; HSP70; STRESS; RNA; PYRIFORMIS; CELLS</t>
  </si>
  <si>
    <t>An increasing amount of data has revealed the importance of inducible promoters in ciliate research and in ciliate-related industries. However, knowledge about these promoters and related genes is relatively sparse. Here we report a novel inducible promoter from a Tetrahymena cytoplasmic Hsp70 gene member, HSP70-2. The reported promoter was able to induce the endogenous gene up to similar to 9000-fold after a short heat shock treatment and this remarkable feature has been retained when a relatively short region of the promoter was introduced into a reporter construct followed by transformation. During the recovery period following a short heat shock, both the mRNA and protein levels of the reporter gene were maintained high up to two hours. A constant heat shock treatment to the transformed cells led to a stabilization of the reporter mRNA up to at least six hours and the reporter protein continued to accumulate up to around three hours. The promoter strength appears to be similar to that of the cadmium-induced metallothionein gene ( MTT1) promoter. Therefore, the HSP70-2 promoter represents an attractive alternative for the over-expression of proteins in Tetrahymena, and the promoter-reporter gene construct used in this study is an ideal tool to help in understanding the regulation mechanisms of heat shock genes in ciliates. (C) 2011 Elsevier GmbH. All rights reserved.</t>
  </si>
  <si>
    <t>[Yu, Ting; Barchetta, Sabrina; Pucciarelli, Sandra; La Terza, Antonietta; Miceli, Cristina] Univ Camerino, Sch Biosci &amp; Biotechnol, I-62032 Camerino, Italy; [Yu, Ting] Chinese Acad Sci, Inst Hydrobiol, Wuhan, Peoples R China</t>
  </si>
  <si>
    <t>University of Camerino; Chinese Academy of Sciences; Institute of Hydrobiology, CAS</t>
  </si>
  <si>
    <t>Yu, T (corresponding author), Univ Camerino, Sch Biosci &amp; Biotechnol, I-62032 Camerino, Italy.</t>
  </si>
  <si>
    <t>yu.ting@unicam.it</t>
  </si>
  <si>
    <t>Yu, Ting/A-3674-2013</t>
  </si>
  <si>
    <t>La Terza, Antonietta/0000-0002-1244-1503; Miceli, Cristina/0000-0002-7829-8471; Pucciarelli, Sandra/0000-0003-4178-2689</t>
  </si>
  <si>
    <t>Italian Ministry of University and Research (MIUR)</t>
  </si>
  <si>
    <t>Italian Ministry of University and Research (MIUR)(Ministry of Education, Universities and Research (MIUR))</t>
  </si>
  <si>
    <t>This work was financially supported by grant PRIN-2006 from the Italian Ministry of University and Research (MIUR) to C. M. We are also grateful to the MIUR for the grant obtained in the framework of the Interlink Project for the Internationalisation of the Italian University System used to sustain the mobility between China and Italy and between Italy and the USA (for training on the Tetrahymena model) of T.Y. and S. B. We also thank our partners in the Interlink Project, Professor Eduardo Orias (University of California, Santa Barbara) and Dr. Wei Miao (Institute of Hydrobiology, Chinese Academy of Sciences) for the valuable discussion of our results and suggestions on experimental procedures, and Professor Theodore Clark (Cornell University) for his precious opinions on the design of the work. Finally, we thank the Italian National Programme for Antarctic Research (PNRA) for the availability of instruments obtained in the frame of that programme.</t>
  </si>
  <si>
    <t>ELSEVIER GMBH</t>
  </si>
  <si>
    <t>MUNICH</t>
  </si>
  <si>
    <t>HACKERBRUCKE 6, 80335 MUNICH, GERMANY</t>
  </si>
  <si>
    <t>1434-4610</t>
  </si>
  <si>
    <t>1618-0941</t>
  </si>
  <si>
    <t>Protist</t>
  </si>
  <si>
    <t>10.1016/j.protis.2011.07.003</t>
  </si>
  <si>
    <t>885WT</t>
  </si>
  <si>
    <t>WOS:000299812800009</t>
  </si>
  <si>
    <t>Marcus, SL; Dickey, JO; Fukumori, I; de Viron, O</t>
  </si>
  <si>
    <t>Marcus, S. L.; Dickey, J. O.; Fukumori, I.; de Viron, O.</t>
  </si>
  <si>
    <t>Detection of the Earth rotation response to a rapid fluctuation of Southern Ocean circulation in November 2009</t>
  </si>
  <si>
    <t>OF-DAY VARIATIONS; LENGTH; SIGNALS</t>
  </si>
  <si>
    <t>At seasonal and shorter periods the solid Earth and its overlying geophysical fluids form a closed dynamical system, which (except for tidal forcing) conserves its total angular momentum. While atmospheric effects dominate changes in the Earth's rate of rotation and hence length-of-day (LOD) on these time scales, the addition of oceanic angular momentum (OAM) estimates has been shown to improve closure of the LOD budget in a statistical sense. Here we demonstrate, for the first time, the signature of a specific, sub-monthly ocean current fluctuation on the Earth's rotation rate, coinciding with recently-reported anomalies which developed in southeast Pacific surface temperature and bottom pressure fields during late 2009. Our results show that concurrent variations in the Antarctic Circumpolar Current (ACC), which saw a sharp drop and recovery in zonal transport during a two-week period in November, were strong enough to cause a detectable change in LOD following the removal of atmospheric angular momentum (AAM) computed from the Modern Era Retrospective Analysis for Research and Applications (MERRA) database. The strong OAM variations driving the LOD-AAM changes were diagnosed from ocean state estimates of the Consortium for Estimating the Circulation and Climate of the Ocean (ECCO) and involved roughly equal contributions from the current and pressure terms, with in situ confirmation for the latter provided by tide-corrected bottom pressure recorder data from the South Drake Passage site of the Antarctic Circumpolar Current Levels by Altimetry and Island Measurements (ACCLAIM) network. Citation: Marcus, S. L., J. O. Dickey, I. Fukumori, and O. de Viron (2012), Detection of the Earth rotation response to a rapid fluctuation of Southern Ocean circulation in November 2009, Geophys. Res. Lett., 39, L04605, doi:10.1029/2011GL050671.</t>
  </si>
  <si>
    <t>[Marcus, S. L.; Dickey, J. O.; Fukumori, I.] CALTECH, Jet Prop Lab, Pasadena, CA 91109 USA; [de Viron, O.] Univ Paris Diderot, IPGP, PRES Sorbonne Paris Cite, F-75005 Paris, France</t>
  </si>
  <si>
    <t>California Institute of Technology; National Aeronautics &amp; Space Administration (NASA); NASA Jet Propulsion Laboratory (JPL); Universite Paris Cite</t>
  </si>
  <si>
    <t>Marcus, SL (corresponding author), CALTECH, Jet Prop Lab, 4800 Oak Grove Dr, Pasadena, CA 91109 USA.</t>
  </si>
  <si>
    <t>steven.marcus@jpl.nasa.gov</t>
  </si>
  <si>
    <t>Fukumori, Ichiro/AAY-9005-2020; de Viron, Olivier/N-6647-2014; de Viron, Olivier/F-8564-2010</t>
  </si>
  <si>
    <t>Fukumori, Ichiro/0000-0002-0882-6400; Marcus, Steven/0000-0002-5763-6961; de Viron, Olivier/0000-0003-3112-9686</t>
  </si>
  <si>
    <t>MERRA data used in this study have been provided by the Global Modeling and Assimilation Office (GMAO) at NASA Goddard Space Flight Center through the NASA GES DISC online archive. We thank Chris Hughes of the U.K. National Oceanography Centre and University of Liverpool for assistance in acquiring and processing the ACCLAIM bottom pressure recorder data, and three anonymous reviewers whose comments helped to improve the manuscript. The contribution of OdV to this study is IPGP contribution 3269. The work of S. L. M., J.O.D. and I. F. described in this paper was carried out at the Jet Propulsion Laboratory, California Institute of Technology, under contract with NASA. J.O.D. would like to thank Universite Paris Diderot and Institut de Physique du Globe de Paris for their gracious hospitality during her May and June 2011 visit.</t>
  </si>
  <si>
    <t>FEB 28</t>
  </si>
  <si>
    <t>L04605</t>
  </si>
  <si>
    <t>10.1029/2011GL050671</t>
  </si>
  <si>
    <t>903OQ</t>
  </si>
  <si>
    <t>WOS:000301127800003</t>
  </si>
  <si>
    <t>Near, TJ; Dornburg, A; Kuhn, KL; Eastman, JT; Pennington, JN; Patarnello, T; Zane, L; Fernández, DA; Jones, CD</t>
  </si>
  <si>
    <t>Near, Thomas J.; Dornburg, Alex; Kuhn, Kristen L.; Eastman, Joseph T.; Pennington, Jillian N.; Patarnello, Tomaso; Zane, Lorenzo; Fernandez, Daniel A.; Jones, Christopher D.</t>
  </si>
  <si>
    <t>Ancient climate change, antifreeze, and the evolutionary diversification of Antarctic fishes</t>
  </si>
  <si>
    <t>Notothenioidei; Icefish; Percomorpha; molecular clock; buoyancy</t>
  </si>
  <si>
    <t>NOTOTHENIOID FISHES; ICE-SHEET; SOUTHERN-OCEAN; DIVERSITY; BUOYANCY; PERCIFORMES; ADAPTATION; RADIATION; TEMPO; RATES</t>
  </si>
  <si>
    <t>The Southern Ocean around Antarctica is among the most rapidly warming regions on Earth, but has experienced episodic climate change during the past 40 million years. It remains unclear how ancient periods of climate change have shaped Antarctic biodiversity. The origin of antifreeze glycoproteins (AFGPs) in Antarctic notothenioid fishes has become a classic example of how the evolution of a key innovation in response to climate change can drive adaptive radiation. By using a time-calibrated molecular phylogeny of notothenioids and reconstructed paleoclimate, we demonstrate that the origin of AFGP occurred between 42 and 22 Ma, which includes a period of global cooling approximately 35 Ma. However, the most species-rich lineages diversified and evolved significant ecological differences at least 10 million years after the origin of AFGPs, during a second cooling event in the Late Miocene (11.6-5.3 Ma). This pattern indicates that AFGP was not the sole trigger of the notothenioid adaptive radiation. Instead, the bulk of the species richness and ecological diversity originated during the Late Miocene and into the Early Pliocene, a time coincident with the origin of polar conditions and increased ice activity in the Southern Ocean. Our results challenge the current understanding of the evolution of Antarctic notothenioids suggesting that the ecological opportunity that underlies this adaptive radiation is not linked to a single trait, but rather to a combination of freeze avoidance offered by AFGPs and subsequent exploitation of new habitats and open niches created by increased glacial and ice sheet activity.</t>
  </si>
  <si>
    <t>[Near, Thomas J.] Yale Univ, Peabody Museum Nat Hist, New Haven, CT 06520 USA; [Near, Thomas J.; Dornburg, Alex; Kuhn, Kristen L.; Pennington, Jillian N.] Yale Univ, Dept Ecol &amp; Evolutionary Biol, New Haven, CT 06520 USA; [Eastman, Joseph T.] Ohio Univ, Coll Osteopath Med, Dept Biomed Sci, Athens, OH 45701 USA; [Pennington, Jillian N.] Yale Univ, Ezra Stiles Coll, New Haven, CT 06520 USA; [Patarnello, Tomaso] Univ Padua, Dept Publ Hlth Comparat Pathol &amp; Vet Hyg, I-35020 Legnaro, Italy; [Zane, Lorenzo] Univ Padua, Dept Biol, I-35131 Padua, Italy; [Fernandez, Daniel A.] Ctr Austral Invest Cient, RA-9410 Ushuaia, Argentina; [Jones, Christopher D.] NOAA, Antarctic Ecosyst Res Div, SW Fisheries Sci Ctr, Natl Marine Fisheries Serv, La Jolla, CA 92037 USA</t>
  </si>
  <si>
    <t>Yale University; Yale University; University System of Ohio; Ohio University; Yale University; University of Padua; University of Padua; National Oceanic Atmospheric Admin (NOAA) - USA</t>
  </si>
  <si>
    <t>Near, TJ (corresponding author), Yale Univ, Peabody Museum Nat Hist, New Haven, CT 06520 USA.</t>
  </si>
  <si>
    <t>thomas.near@yale.edu</t>
  </si>
  <si>
    <t>Eastman, Joseph T./O-6150-2019; Eastman, Joseph T/A-9786-2008; Zane, Lorenzo/G-6249-2010; Dornburg, Alex/CAF-1206-2022; Near, Thomas J./K-1204-2012</t>
  </si>
  <si>
    <t>Eastman, Joseph T./0000-0003-3868-261X; Zane, Lorenzo/0000-0002-6963-2132; Near, Thomas J./0000-0002-7398-6670; PATARNELLO, Tomaso/0000-0003-1794-5791; Fernandez, Daniel Alfredo/0000-0002-3367-4138</t>
  </si>
  <si>
    <t>Antarctic fishes; University of Illinois; National Science Foundation (NSF) [OPP 01-32032, ANT-0839007, DEB-0716155, DEB-1061806, ANT-0436190]; Direct For Biological Sciences; Division Of Environmental Biology [1110552] Funding Source: National Science Foundation; Direct For Biological Sciences; Division Of Environmental Biology [1061806] Funding Source: National Science Foundation; Directorate For Geosciences; Office of Polar Programs (OPP) [0839007] Funding Source: National Science Foundation</t>
  </si>
  <si>
    <t>Antarctic fishes; University of Illinois; National Science Foundation (NSF)(National Science Foundation (NSF)); Direct For Biological Sciences; Division Of Environmental Biology(National Science Foundation (NSF)NSF - Directorate for Biological Sciences (BIO)); Direct For Biological Sciences; Division Of Environmental Biology(National Science Foundation (NSF)NSF - Directorate for Biological Sciences (BIO)); Directorate For Geosciences; Office of Polar Programs (OPP)(National Science Foundation (NSF)NSF - Directorate for Geosciences (GEO))</t>
  </si>
  <si>
    <t>We thank A. L. DeVries and C.-H. C. Cheng for supporting our initial studies of Antarctic fishes. Field and laboratory support was provided by H. W. Detrich, J. Kendrick, K.-H. Kock, J. A. Moore, and A. L. Stewart. A. L. DeVries and C.-H. C. Cheng (University of Illinois), G. Lecointre (Museum National d'Histoire Naturelle, Paris, France), and C. D. Roberts (Museum of New Zealand Te Papa Tongarewa) provided critical specimens. K. L. Prudic, M. E. Alfaro, J. M. Beaulieu, M. J. Donoghue, R. I. Eytan, A. M. Near, and J. C. Oliver provided comments on previous versions of this manuscript. Fieldwork was facilitated through the United States Antarctic Marine Living Resources Program and the officers and crew of the RV Yuzhmorgeologiya, and the 2004 ICEFISH cruise aboard the RVIB Nathaniel B. Palmer, which was funded through National Science Foundation (NSF) Grant OPP 01-32032 (to H. William Detrich III). This research was supported by NSF Grants ANT-0839007 (to T.J.N.), DEB-0716155 (to T.J.N.), DEB-1061806 (to T.J.N.), and ANT-0436190 (to J.T.E.).</t>
  </si>
  <si>
    <t>10.1073/pnas.1115169109</t>
  </si>
  <si>
    <t>899PL</t>
  </si>
  <si>
    <t>WOS:000300828200051</t>
  </si>
  <si>
    <t>Ray, D; Rajan, S; Ravindra, R</t>
  </si>
  <si>
    <t>Ray, Dwijesh; Rajan, S.; Ravindra, Rasik</t>
  </si>
  <si>
    <t>Role of subducting component and sub-arc mantle in arc petrogenesis: Andaman volcanic arc</t>
  </si>
  <si>
    <t>Arc lavas; petrogenesis; subduction component; trace element ratio</t>
  </si>
  <si>
    <t>ELEMENT; BASIN; SEDIMENT; BARREN; DACITE; FLUID; CRUST; SEA</t>
  </si>
  <si>
    <t>Geochemical proxies, especially the trace element ratios of arc lavas from Barren and Narcondam Islands of the Andaman-Nicobar Islands group, display dissimilar characteristics. Narcondam lavas (mostly andesitic) are typically characterized by high Ba/La, Ba/Nb and Th/Nd ratios, reflective of the imprint of substantial subduction component in the form of sediment fluid and melt. On the other hand, Barren lavas (mostly basaltic) show relatively high Ba/Th ratios, indicative of fluid-induced subduction component, mainly signature-inducing fluid component, derived from altered ocean crust.</t>
  </si>
  <si>
    <t>[Ray, Dwijesh; Rajan, S.; Ravindra, Rasik] Natl Ctr Antarctic &amp; Ocean Res, Goa 403804, India</t>
  </si>
  <si>
    <t>Ray, D (corresponding author), PLANEX, Phys Res Lab, Ahmadabad 380009, Gujarat, India.</t>
  </si>
  <si>
    <t>dwijesh@rediffmail.com</t>
  </si>
  <si>
    <t>INCOIS, Hyderabad</t>
  </si>
  <si>
    <t>We thank Dr Shailesh Nayak, Secretary, Ministry of Earth Sciences (MoES), GoI, for keen interest in the studies being taken up by NCAOR in the Andaman and Nicobar Subduction Zone. We also thank the Director, INCOIS, Hyderabad for financial support. The Indian Coast Guard, New Delhi and A&amp;N Headquarters, Port Blair and the captain and crew of ICGS Lakshmi Bai are acknowledged for logistics support extended while carrying out the studies on the Barren and Narcondam islands. Comments from an anonymous reviewer helped improve the manuscript. This is NCAOR contribution No. 01/2012.</t>
  </si>
  <si>
    <t>FEB 25</t>
  </si>
  <si>
    <t>906FK</t>
  </si>
  <si>
    <t>WOS:000301330100022</t>
  </si>
  <si>
    <t>Bromley, T; Allan, W; Martin, R; Fletcher, SEM; Lowe, DC; Struthers, H; Moss, R</t>
  </si>
  <si>
    <t>Bromley, T.; Allan, W.; Martin, R.; Fletcher, S. E. Mikaloff; Lowe, D. C.; Struthers, H.; Moss, R.</t>
  </si>
  <si>
    <t>Shipboard measurements and modeling of the distribution of CH4 and 13CH4 in the western Pacific</t>
  </si>
  <si>
    <t>C-13/C-12 ISOTOPIC-RATIOS; INTERANNUAL GROWTH-RATE; ATMOSPHERIC METHANE; CONVERGENCE ZONE; CARBON-DIOXIDE; MIXING-RATIO; AIR; C-13; IMPACT; CO2</t>
  </si>
  <si>
    <t>We present observations of methane (CH4) mixing ratio and C-13/C-12 isotopic ratios in CH4 (delta C-13) data from a collaborative shipboard project using bulk carrier ships sailing between Nelson, New Zealand, and Osaka, Japan, in the western Pacific Ocean. Measurements of the CH4 mixing ratio and delta C-13 in CH4 were obtained from large clean-air samples collected in each 2.5 degrees to 5 degrees of latitude between 30 degrees S and 30 degrees N on eight voyages from 2004 to 2007. The data show large variations in CH4 mixing ratio in the tropical western Pacific, and data analysis suggests that these large variations are related to the positions and strengths of the South Pacific Convergence Zone and the Intertropical Convergence Zone, with variability in the sources playing a much smaller role. These measurements are compared with results from a modified version of the Unified Model (UMeth) general circulation model along two transects, one similar to the ship transects and another 18.75 degrees to the east. Although UMeth was run to a steady state with the same sources and sinks each year, the gradient structures varied considerably from year to year, supporting our conclusion that variability in transport is a major driver for the observed variations in CH4. Simulations forced with an idealized representation of the El Nino-Southern Oscillation (ENSO) suggest that a large component of the observed variability in latitudinal gradients of CH4 and its delta C-13 arises from intrinsic variability in the climate system that does not occur on ENSO time scales.</t>
  </si>
  <si>
    <t>[Bromley, T.; Allan, W.; Martin, R.; Fletcher, S. E. Mikaloff; Moss, R.] Natl Inst Water &amp; Atmospher Res, Wellington 6021, New Zealand; [Lowe, D. C.] Victoria Univ Wellington, Antarctic Res Ctr, Wellington 6140, New Zealand; [Struthers, H.] Stockholm Univ, Dept Meteorol, SE-10691 Stockholm, Sweden; [Struthers, H.] Stockholm Univ, Dept Appl Environm Sci, SE-10691 Stockholm, Sweden; [Struthers, H.] Stockholm Univ, Bert Bolin Ctr Climate Res, SE-10691 Stockholm, Sweden</t>
  </si>
  <si>
    <t>National Institute of Water &amp; Atmospheric Research (NIWA) - New Zealand; Victoria University Wellington; Stockholm University; Stockholm University; Stockholm University</t>
  </si>
  <si>
    <t>Bromley, T (corresponding author), Natl Inst Water &amp; Atmospher Res, 301 Evans Bay Parade,Private Bag 14904, Wellington 6021, New Zealand.</t>
  </si>
  <si>
    <t>a.bromley@niwa.co.nz</t>
  </si>
  <si>
    <t>Mikaloff Fletcher, Sara/0000-0003-0741-0320</t>
  </si>
  <si>
    <t>New Zealand Foundation for Research Science and Technology [CO1X0703]</t>
  </si>
  <si>
    <t>New Zealand Foundation for Research Science and Technology(New Zealand Foundation for Research, Science and Technology)</t>
  </si>
  <si>
    <t>We thank Sander Houweling (National Institute for Space Research, Netherlands) for providing the GAMeS scenario fields and James Renwick and Olaf Morgenstern (NIWA) for fruitful discussions about this work. In addition, we would like to express our gratitude to the Toyofuji Shipping Company for providing passage and facilities on board Transfuture 5 and her captain and crew for welcoming us on board. We also thank Y. Nojiri and Shigeru Kariya of NIES for logistical support. Funding from the New Zealand Foundation for Research Science and Technology under contract CO1X0703 supported this research.</t>
  </si>
  <si>
    <t>FEB 24</t>
  </si>
  <si>
    <t>D04307</t>
  </si>
  <si>
    <t>10.1029/2011JD016494</t>
  </si>
  <si>
    <t>899DZ</t>
  </si>
  <si>
    <t>WOS:000300796700002</t>
  </si>
  <si>
    <t>Jacob, T; Wahr, J; Pfeffer, WT; Swenson, S</t>
  </si>
  <si>
    <t>Jacob, Thomas; Wahr, John; Pfeffer, W. Tad; Swenson, Sean</t>
  </si>
  <si>
    <t>Recent contributions of glaciers and ice caps to sea level rise</t>
  </si>
  <si>
    <t>MASS CHANGES; GRACE; GRAVITY</t>
  </si>
  <si>
    <t>Glaciers and ice caps (GICs) are important contributors to present-day global mean sea level rise(1-4). Most previous global mass balance estimates for GICs rely on extrapolation of sparse mass balance measurements(1,2,4) representing only a small fraction of the GIC area, leaving their overall contribution to sea level rise unclear. Here we show that GICs, excluding the Greenland and Antarctic peripheral GICs, lost mass at a rate of 148 +/- 30 Gt yr(-1) from January 2003 to December 2010, contributing 0.41 +/- 0.08 mm yr(-1) to sea level rise. Our results are based on a global, simultaneous inversion of monthly GRACE-derived satellite gravity fields, from which we calculate the mass change over all ice-covered regions greater in area than 100 km(2). The GIC rate for 2003-2010 is about 30 per cent smaller than the previous mass balance estimate that most closely matches our study period(2). The high mountains of Asia, in particular, show a mass loss of only 4 +/- 20 Gt yr(-1) for 2003-2010, compared with 47-55 Gt yr(-1) in previously published estimates(2,5). For completeness, we also estimate that the Greenland and Antarctic ice sheets, including their peripheral GICs, contributed 1.06 +/- 0.19 mm yr(-1) to sea level rise over the same time period. The total contribution to sea level rise from all ice-covered regions is thus 1.48 +/- 0.26 mm yr(-1), which agrees well with independent estimates of sea level rise originating from land ice loss and other terrestrial sources(6).</t>
  </si>
  <si>
    <t>[Jacob, Thomas; Wahr, John] Univ Colorado, Dept Phys, Boulder, CO 80309 USA; [Jacob, Thomas; Wahr, John] Univ Colorado, Cooperat Inst Environm Studies, Boulder, CO 80309 USA; [Pfeffer, W. Tad] Univ Colorado, Inst Arctic &amp; Alpine Res, Boulder, CO 80309 USA; [Pfeffer, W. Tad] Univ Colorado, Dept Civil Environm &amp; Architectural Engn, Boulder, CO 80309 USA; [Swenson, Sean] Natl Ctr Atmospher Res, Boulder, CO 80305 USA</t>
  </si>
  <si>
    <t>University of Colorado System; University of Colorado Boulder; University of Colorado System; University of Colorado Boulder; University of Colorado System; University of Colorado Boulder; University of Colorado System; University of Colorado Boulder; National Center Atmospheric Research (NCAR) - USA</t>
  </si>
  <si>
    <t>Wahr, J (corresponding author), Univ Colorado, Dept Phys, Boulder, CO 80309 USA.</t>
  </si>
  <si>
    <t>john.wahr@gmail.com</t>
  </si>
  <si>
    <t>Jacob, Thomas/AAJ-9417-2020</t>
  </si>
  <si>
    <t>Jacob, Thomas/0000-0001-9819-5165</t>
  </si>
  <si>
    <t>NASA [NNX08AF02G, NNXI0AR66G]; NASA [102864, NNX08AF02G] Funding Source: Federal RePORTER</t>
  </si>
  <si>
    <t>NASA(National Aeronautics &amp; Space Administration (NASA)); NASA(National Aeronautics &amp; Space Administration (NASA))</t>
  </si>
  <si>
    <t>We thank Geruo A for providing the glacial isostatic adjustment model, and G. Cogley, G. Kaser, I. Velicogna, T. Perron and M. Tamisiea for comments. This work was partially supported by NASA grants NNX08AF02G and NNXI0AR66G, and by NASA's 'Making Earth Science Data Records for Use in Research Environments (MEaSUREs) Program'.</t>
  </si>
  <si>
    <t>FEB 23</t>
  </si>
  <si>
    <t>10.1038/nature10847</t>
  </si>
  <si>
    <t>898VM</t>
  </si>
  <si>
    <t>WOS:000300770500048</t>
  </si>
  <si>
    <t>Flores, H; van Franeker, JA; Siegel, V; Haraldsson, M; Strass, V; Meesters, EH; Bathmann, U; Wolff, WJ</t>
  </si>
  <si>
    <t>Flores, Hauke; van Franeker, Jan Andries; Siegel, Volker; Haraldsson, Matilda; Strass, Volker; Meesters, Erik Hubert; Bathmann, Ulrich; Wolff, Willem Jan</t>
  </si>
  <si>
    <t>The Association of Antarctic Krill Euphausia superba with the Under-Ice Habitat</t>
  </si>
  <si>
    <t>NW WEDDELL SEA; PACK-ICE; LAZAREV SEA; TROPHIC RELATIONSHIPS; COMMUNITY STRUCTURE; FORAGING BEHAVIOR; ELEPHANT ISLAND; ENERGY BUDGETS; SOUTH SHETLAND; FATTY-ACIDS</t>
  </si>
  <si>
    <t>The association of Antarctic krill Euphausia superba with the under-ice habitat was investigated in the Lazarev Sea (Southern Ocean) during austral summer, autumn and winter. Data were obtained using novel Surface and Under Ice Trawls (SUIT), which sampled the 0-2 m surface layer both under sea ice and in open water. Average surface layer densities ranged between 0.8 individuals m(-2) in summer and autumn, and 2.7 individuals m(-2) in winter. In summer, under-ice densities of Antarctic krill were significantly higher than in open waters. In autumn, the opposite pattern was observed. Under winter sea ice, densities were often low, but repeatedly far exceeded summer and autumn maxima. Statistical models showed that during summer high densities of Antarctic krill in the 0-2 m layer were associated with high ice coverage and shallow mixed layer depths, among other factors. In autumn and winter, density was related to hydrographical parameters. Average under-ice densities from the 0-2 m layer were higher than corresponding values from the 0-200 m layer collected with Rectangular Midwater Trawls (RMT) in summer. In winter, under-ice densities far surpassed maximum 0-200 m densities on several occasions. This indicates that the importance of the ice-water interface layer may be under-estimated by the pelagic nets and sonars commonly used to estimate the population size of Antarctic krill for management purposes, due to their limited ability to sample this habitat. Our results provide evidence for an almost year-round association of Antarctic krill with the under-ice habitat, hundreds of kilometres into the ice-covered area of the Lazarev Sea. Local concentrations of postlarval Antarctic krill under winter sea ice suggest that sea ice biota are important for their winter survival. These findings emphasise the susceptibility of an ecological key species to changing sea ice habitats, suggesting potential ramifications on Antarctic ecosystems induced by climate change.</t>
  </si>
  <si>
    <t>[Flores, Hauke; van Franeker, Jan Andries; Meesters, Erik Hubert] Inst Marine Resources &amp; Ecosyst Studies IMARES, Texel, Netherlands; [Siegel, Volker] Johann Heinrich von Thunen Inst Sea Fisheries, Hamburg, Germany; [Haraldsson, Matilda] Univ Gothenburg, Dept Marine Ecol, Fiskebackskil, Sweden; [Flores, Hauke; Strass, Volker; Bathmann, Ulrich] Alfred Wegener Inst Polar &amp; Marine Res AWI, Bremerhaven, Germany; [Wolff, Willem Jan] Univ Groningen, Ctr Ecol &amp; Evolutionary Studies, Haren, Netherlands</t>
  </si>
  <si>
    <t>Wageningen University &amp; Research; Johann Heinrich von Thunen Institute; University of Gothenburg; Helmholtz Association; Alfred Wegener Institute, Helmholtz Centre for Polar &amp; Marine Research; University of Groningen</t>
  </si>
  <si>
    <t>Flores, H (corresponding author), Alfred Wegener Inst Polar &amp; Marine Res AWI, Bremerhaven, Germany.</t>
  </si>
  <si>
    <t>hauke.flores@awi.de</t>
  </si>
  <si>
    <t>Flores, Hauke/ABD-1888-2020; Bathmann, Ulrich/ISV-4351-2023</t>
  </si>
  <si>
    <t>Flores, Hauke/0000-0003-1617-5449; Meesters, Erik/0000-0002-3877-1164; Strass, Volker/0000-0002-7539-1400</t>
  </si>
  <si>
    <t>Netherlands AntArctic Programme (NAAP) [851.20.011]; Dutch Ministry for Economic Affairs, Agriculture and Innovation [WOT-04-003-002]; German LAKRIS [BMBF MGS 03F046A]</t>
  </si>
  <si>
    <t>Netherlands AntArctic Programme (NAAP); Dutch Ministry for Economic Affairs, Agriculture and Innovation; German LAKRIS</t>
  </si>
  <si>
    <t>This study was supported by the Netherlands AntArctic Programme (NAAP Project nr. 851.20.011), the Dutch Ministry for Economic Affairs, Agriculture and Innovation (Statutory Research Tasks Nature and Environment, Project no WOT-04-003-002), and the German LAKRIS project (BMBF MGS 03F046A). The funders had no role in study design, data collection and analysis, decision to publish, or preparation of the manuscript.</t>
  </si>
  <si>
    <t>e31775</t>
  </si>
  <si>
    <t>10.1371/journal.pone.0031775</t>
  </si>
  <si>
    <t>927NZ</t>
  </si>
  <si>
    <t>WOS:000302916100034</t>
  </si>
  <si>
    <t>Clilverd, MA; Rodger, CJ; Rae, IJ; Brundell, JB; Thomson, NR; Cobbett, N; Verronen, PT; Menk, FW</t>
  </si>
  <si>
    <t>Clilverd, Mark A.; Rodger, Craig J.; Rae, I. Jonathan; Brundell, James B.; Thomson, Neil R.; Cobbett, Neil; Verronen, Pekka T.; Menk, Frederick W.</t>
  </si>
  <si>
    <t>Combined THEMIS and ground-based observations of a pair of substorm-associated electron precipitation events</t>
  </si>
  <si>
    <t>PARTICLE-PRECIPITATION; DYNAMICS; RECONNECTION; EXPANSION; INJECTION</t>
  </si>
  <si>
    <t>Using ground-based subionospheric radio wave propagation data from two very low frequency (VLF) receiver sites, riometer absorption data, and THEMIS satellite observations, we examine in detail energetic electron precipitation (EEP) characteristics associated with two substorm precipitation events that occurred on 28 May 2010. In an advance on the analysis undertaken by Clilverd et al. (2008), we use phase observations of VLF radio wave signals to describe substorm-driven EEP characteristics more accurately than before. Using a &gt;30 keV electron precipitation flux of 5.6 x 10(7) el. cm(-2) sr(-1) s(-1) and a spectral gradient consistent with that observed by THEMIS, it was possible to accurately reproduce the peak observed riometer absorption at Macquarie Island (L = 5.4) and the associated NWC radio wave phase change observed at Casey, Antarctica, during the second, larger substorm. The flux levels were near to 80% of the peak fluxes observed in a similar substorm as studied by Clilverd et al. (2008). During the initial stages of the second substorm, a latitude region of 5 &lt; L &lt; 9 was affected by electron precipitation. Both substorms showed expansion of the precipitation region to 4 &lt; L &lt; 12 more than 30 min after the injection. While both substorms occurred at similar local times, with electron precipitation injections into approximately the same geographical region, the second expanded in an eastward longitude more slowly, suggesting the involvement of lower-energy electron precipitation. Each substorm region expanded westward at a rate slower than that exhibited eastward. This study shows that it is possible to successfully combine these multi-instrument observations to investigate the characteristics of substorms.</t>
  </si>
  <si>
    <t>[Clilverd, Mark A.; Cobbett, Neil] British Antarctic Survey, Cambridge CB3 0ET, England; [Rodger, Craig J.; Brundell, James B.; Thomson, Neil R.] Univ Otago, Dept Phys, Dunedin 9054, New Zealand; [Rae, I. Jonathan] Univ Alberta, Dept Phys, Edmonton, AB, Canada; [Verronen, Pekka T.] Finnish Meteorol Inst, FIN-00101 Helsinki, Finland; [Menk, Frederick W.] Univ Newcastle, Sch Math &amp; Phys Sci, Callaghan, NSW 2308, Australia</t>
  </si>
  <si>
    <t>UK Research &amp; Innovation (UKRI); Natural Environment Research Council (NERC); NERC British Antarctic Survey; University of Otago; University of Alberta; Finnish Meteorological Institute; University of Newcastle</t>
  </si>
  <si>
    <t>Clilverd, MA (corresponding author), British Antarctic Survey, Madingley Rd, Cambridge CB3 0ET, England.</t>
  </si>
  <si>
    <t>Verronen, P. T./AIE-0203-2022; Verronen, Pekka T/G-6658-2014; Rodger, Craig/A-1501-2011; Rae, Jonathan/D-8132-2013; Menk, Frederick/A-2640-2009; Brundell, James/F-3196-2013</t>
  </si>
  <si>
    <t>Verronen, P. T./0000-0002-3479-9071; Rae, Jonathan/0000-0002-2637-4786; Menk, Frederick/0000-0002-1154-6223; Brundell, James/0000-0002-8753-4720; Rodger, Craig J./0000-0002-6770-2707</t>
  </si>
  <si>
    <t>Australian Antarctic Division project [ASAC 1324]; Antarctica New Zealand [K060]; NASA [NAS5-02099]; Canadian Space Agency; European Union [263218]; Natural Environment Research Council [bas0100023] Funding Source: researchfish; NERC [bas0100023] Funding Source: UKRI</t>
  </si>
  <si>
    <t>Australian Antarctic Division project; Antarctica New Zealand; NASA(National Aeronautics &amp; Space Administration (NASA)); Canadian Space Agency(Canadian Space Agency); European Union(European Union (EU)); Natural Environment Research Council(UK Research &amp; Innovation (UKRI)Natural Environment Research Council (NERC)); NERC(UK Research &amp; Innovation (UKRI)Natural Environment Research Council (NERC))</t>
  </si>
  <si>
    <t>The authors would like to acknowledge the support of the Australian Antarctic Division project ASAC 1324 for the Casey data and, in particular, the assistance of Ian Phillips. We would also like to acknowledge the use of the AAD data system for the provision of the Macquarie Island Riometer data (http://www.ips.gov.au/World_Data_Centre/1/8). The Scott Base experiment is supported by Antarctica New Zealand, event K060. We acknowledge NASA contract NAS5-02099 and V. Angelopoulos for the use of data from the THEMIS mission. Specifically, we thank D. Larson and R. P. Lin for use of the SST data. I.J.R. is funded by the Canadian Space Agency. The research leading to these results has received funding from the European Union Seventh Framework Programme (FP7/2007-2013) under grant agreement 263218.</t>
  </si>
  <si>
    <t>FEB 22</t>
  </si>
  <si>
    <t>A02313</t>
  </si>
  <si>
    <t>10.1029/2011JA016933</t>
  </si>
  <si>
    <t>899NQ</t>
  </si>
  <si>
    <t>WOS:000300823100002</t>
  </si>
  <si>
    <t>Salazar-Vallejo, SI</t>
  </si>
  <si>
    <t>Salazar-Vallejo, Sergio I.</t>
  </si>
  <si>
    <t>Revision of Flabelligera Sars, 1829 (Polychaeta: Flabelligeridae)</t>
  </si>
  <si>
    <t>Siphonostoma; Pherusa; hard-bottoms; soft-bottoms</t>
  </si>
  <si>
    <t>ANNELIDA; ISOPODA</t>
  </si>
  <si>
    <t>Flabelligera Sars, 1829 is the type genus for Flabelligeridae de Saint-Joseph, 1894 and includes species common in temperate or cold waters in the world oceans. Together with Flabelliderma Hartman, 1969 they are the only genera whose neurohooks have multiarticulate handles and bending crests. However, Flabelliderma species differ because they form large notopodial lobes, and often have dorsal sediment tubercles. The revision of all type and non-type materials resulted in the distinction of five body patterns within Flabelligera; they can be recognized on the basis of body shape, tunic development, parapodial position, notopodial alignment, and shape of neurohooks. Flabelligera is restricted and four genera are proposed: Annenkova (neurohooks with crests tapered, apparently segmented), Flabegraviera (notopodia in laterally descending series, notochaetae and neurochaetae in cylindrical sheaths, markedly longer than body width), Flabehlersia(body fusiform, notopodia ventrolateral) and Flabesymbios (body papillae not covered by tunic, notopodia dorsal with papillae in fan-shaped pattern, neuropodia ventral). Flabelligera contains 16 species with three newly described and a replacement name is proposed: F. haswelli n. n. pro F. affine Haswell, F. nuniezi n. sp. from the Northeastern Atlantic and Mediterranean Sea, F. orensanzi n. sp. from the Southwestern Atlantic, and F. salazarae n. sp. from the Eastern tropical Pacific. Annenkova is monotypic: A. mastigophora (Annenkova, 1952) n. comb. from the Northwestern Pacific. Flabegraviera contains F. mundata (Gravier, 1906) n. comb. and F. profunda n. sp. both from the Antarctic. Flabehlersia includes two species: F. induta (Ehlers, 1897) n. comb. from Tierra del Fuego and F. persimilis (Annenkova-Chlopina 1924) n. comb. from the Northwestern Pacific. Flabesymbios contains two species living on Northeastern Pacific sea-urchins: F. commensalis (Moore, 1909) n. comb. on Strongylocentrotus and F. roberti n. sp. on Centrostephanus.</t>
  </si>
  <si>
    <t>CONACYT, Dept Ecol Acuat, Colegio Frontera Sur, Chetmal 77000, Quintana Roo, Mexico</t>
  </si>
  <si>
    <t>El Colegio de la Frontera Sur (ECOSUR)</t>
  </si>
  <si>
    <t>Salazar-Vallejo, SI (corresponding author), CONACYT, Dept Ecol Acuat, Colegio Frontera Sur, Apdo Postal 424, Chetmal 77000, Quintana Roo, Mexico.</t>
  </si>
  <si>
    <t>ssalazar@ecosur.mx</t>
  </si>
  <si>
    <t>Ecosur; Fulbright Foundation; IRFA; MNHN</t>
  </si>
  <si>
    <t>In my previous revisions of flabelligerid genera, I have already acknowledged the kind support of several colleagues during my sabbatical leave, which was split between Washington, Los Angeles, and Angers. For this research, I wholeheartedly thank the following curators and collection managers for their generous support by sending/facilitating materials: Angelika Brandt and Gisela Wegener (ZMH), Anna Filippova (then at Moscow University), Anna Zhadan (Moscow University), Ardis Johnson (MCZ), Birger Neuhaus (ZMB), Danny Eibye-Jacobsen (ZMUC), Elin Sigvaldadottir and Karin Sindemark (SMNH), Emma Sherlock and Miranda Lowe (BMNH), Fredrik Pleijel (then at MNHN), Galina Buzhinskaja (ZIRAS), Gary Rosenberg (ANSP), Kristian Fauchald and Goeff Keel (USNM), Leslie Harris, Kathy Omura and Kirk Fitzhugh (LACM-AHF), Marie-Noelle Helleout and Tarik Meziane (MNHN), Nataliya Budadeva and Andy Gebruk (SIORAS), Norma Emilia Gonz~lez (ECOSUR), Penny Berents and Patricia Hutchings (AM), and Tore Hoisater and Jon Anders Kongsrud (ZMUB). The careful reading by Nancy Maciolek and an anonymous reviewer resulted in a much improved document. Living specimens were collected and sent by Shane Anderson, University of California, Santa Barbara, during a visit to LACM-AHF. Housing was kindly facilitated by Len Hirsch and Kristian Fauchald in Washington, Leslie Harris and David Ocker in Los Angeles, Patrick Gillet in Angers, Galina Buzhinskaja in Saint Petersburg, and Florine Ballif in Paris. Funding was provided by Ecosur, the Fulbright Foundation, IRFA, and MNHN.</t>
  </si>
  <si>
    <t>899TJ</t>
  </si>
  <si>
    <t>WOS:000300838800001</t>
  </si>
  <si>
    <t>Mark, FC; Lucassen, M; Strobel, A; Barrera-Oro, E; Koschnick, N; Zane, L; Patarnello, T; Pörtner, HO; Papetti, C</t>
  </si>
  <si>
    <t>Mark, Felix C.; Lucassen, Magnus; Strobel, Anneli; Barrera-Oro, Esteban; Koschnick, Nils; Zane, Lorenzo; Patarnello, Tomaso; Poertner, Hans O.; Papetti, Chiara</t>
  </si>
  <si>
    <t>Mitochondrial Function in Antarctic Nototheniids with ND6 Translocation</t>
  </si>
  <si>
    <t>SOUTH SHETLAND ISLANDS; CYTOCHROME-C-OXIDASE; FISH TREMATOMUS-BERNACCHII; LIMITED THERMAL TOLERANCE; COMPLEX-I; COLD ADAPTATION; PAGOTHENIA-BORCHGREVINKI; TEMPERATURE ADAPTATION; MUSCLE MITOCHONDRIA; OXYGEN-CONSUMPTION</t>
  </si>
  <si>
    <t>Fish of the suborder Notothenioidei have successfully radiated into the Southern Ocean and today comprise the dominant fish sub-order in Antarctic waters in terms of biomass and species abundance. During evolution in the cold and stable Antarctic climate, the Antarctic lineage of notothenioids developed several unique physiological adaptations, which make them extremely vulnerable to the rapid warming of Antarctic waters currently observed. Only recently, a further phenomenon exclusive to notothenioid fish was reported: the translocation of the mitochondrial gene encoding the NADH Dehydrogenase subunit 6 (ND6), an indispensable part of complex I in the mitochondrial electron transport system. This study investigated the potential physiological consequences of ND6 translocation for the function and thermal sensitivity of the electron transport system in isolated liver mitochondria of the two nototheniid species Notothenia coriiceps and Notothenia rossii, with special attention to the contributions of complex I (NADH DH) and complex II (Succinate DH) to oxidative phosphorylation. Furthermore, enzymatic activities of NADH: Cytochrome c Oxidoreductase and Cytochrome C Oxidase were measured in membrane-enriched tissue extracts. During acute thermal challenge (0-15 degrees C), capacities of mitochondrial respiration and enzymatic function in the liver could only be increased until 9 degrees C. Mitochondrial complex I (NADH Dehydrogenase) was fully functional but displayed a higher thermal sensitivity than the other complexes of the electron transport system, which may specifically result from its unique amino acid composition, revealing a lower degree of stability in notothenioids in general. We interpret the translocation of ND6 as functionally neutral but the change in amino acid sequence as adaptive and supportive of cold stenothermy in Antarctic nototheniids. From these findings, an enhanced sensitivity to ocean warming can be deduced for Antarctic notothenioid fish.</t>
  </si>
  <si>
    <t>[Mark, Felix C.; Lucassen, Magnus; Strobel, Anneli; Koschnick, Nils; Poertner, Hans O.; Papetti, Chiara] Alfred Wegener Inst Polar &amp; Marine Res, Bremerhaven, Germany; [Zane, Lorenzo; Papetti, Chiara] Univ Padua, Dept Biol, Padua, Italy; [Barrera-Oro, Esteban] Consejo Nacl Invest Cient &amp; Tecn, RA-1033 Buenos Aires, DF, Argentina; [Barrera-Oro, Esteban] Inst Antartico Argentino, Buenos Aires, DF, Argentina; [Patarnello, Tomaso] Univ Padua, Dept Publ Hlth Comparat Pathol &amp; Vet Hyg, Legnaro, Italy</t>
  </si>
  <si>
    <t>Helmholtz Association; Alfred Wegener Institute, Helmholtz Centre for Polar &amp; Marine Research; University of Padua; Consejo Nacional de Investigaciones Cientificas y Tecnicas (CONICET); Instituto Antartico Argentino; University of Padua</t>
  </si>
  <si>
    <t>Mark, FC (corresponding author), Alfred Wegener Inst Polar &amp; Marine Res, Bremerhaven, Germany.</t>
  </si>
  <si>
    <t>fmark@awi.de</t>
  </si>
  <si>
    <t>Lucassen, Magnus/E-8433-2011; Strobel, Anneli/S-5853-2016; Pörtner, Hans-O./K-9429-2016; Mark, Felix Christopher/P-4759-2016; Lucassen, Magnus/ABA-8396-2021; Zane, Lorenzo/G-6249-2010; Pörtner, Hans-O./ISU-9397-2023</t>
  </si>
  <si>
    <t>Pörtner, Hans-O./0000-0001-6535-6575; Mark, Felix Christopher/0000-0002-5586-6704; Lucassen, Magnus/0000-0003-4276-4781; Zane, Lorenzo/0000-0002-6963-2132; Papetti, Chiara/0000-0002-4567-459X; PATARNELLO, Tomaso/0000-0003-1794-5791</t>
  </si>
  <si>
    <t>EMBO [ASTF 363-2008]; DFG [PO273/13-1, LU1463/1-2]; Helmholtz Association; Italian National Programme for Antarctic Research (PNRA)</t>
  </si>
  <si>
    <t>EMBO(European Molecular Biology Organization (EMBO)); DFG(German Research Foundation (DFG)); Helmholtz Association(Helmholtz Association); Italian National Programme for Antarctic Research (PNRA)</t>
  </si>
  <si>
    <t>CP was supported by EMBO grant ASTF 363-2008. AS, HOP and FCM appreciate funding from DFG grant PO273/13-1, and ML from DFG grant LU1463/1-2. The study is a contribution to the PACES research program (work package 1.6) of the Alfred Wegener Institute funded by the Helmholtz Association. It was also supported by the Italian National Programme for Antarctic Research (PNRA). The funders had no role in study design, data collection and analysis, decision to publish, or preparation of the manuscript.</t>
  </si>
  <si>
    <t>FEB 21</t>
  </si>
  <si>
    <t>e31860</t>
  </si>
  <si>
    <t>10.1371/journal.pone.0031860</t>
  </si>
  <si>
    <t>926ZM</t>
  </si>
  <si>
    <t>WOS:000302873700111</t>
  </si>
  <si>
    <t>Lenaerts, JTM; van den Broeke, MR; van de Berg, WJ; van Meijgaard, E; Munneke, PK</t>
  </si>
  <si>
    <t>Lenaerts, J. T. M.; van den Broeke, M. R.; van de Berg, W. J.; van Meijgaard, E.; Munneke, P. Kuipers</t>
  </si>
  <si>
    <t>A new, high-resolution surface mass balance map of Antarctica (1979-2010) based on regional atmospheric climate modeling</t>
  </si>
  <si>
    <t>SNOW ACCUMULATION; PART 1</t>
  </si>
  <si>
    <t>A new, high resolution (27 km) surface mass balance (SMB) map of the Antarctic ice sheet is presented, based on output of a regional atmospheric climate model that includes snowdrift physics and is forced by the most recent reanalysis data from the European Centre for Medium-Range Weather Forecasts (ECMWF), ERA-Interim (1979-2010). The SMB map confirms high accumulation zones in the western Antarctic Peninsula (&gt;1500 mm y(-1)) and coastal West Antarctica (&gt;1000 mm y(-1)), and shows low SMB values in large parts of the interior ice sheet (&lt;25 mm y(-1)). The location and extent of ablation areas are modeled realistically. The modeled SMB is in good agreement with +/-750 in-situ SMB measurements (R = 0.88), without a need for post-calibration. The average ice sheet-integrated SMB (including ice shelves) is estimated at 2418 +/- 181 Gt y(-1). Snowfall shows modest interannual variability (sigma = 114 Gt y(-1)), but a pronounced seasonal cycle (sigma = 30 Gt mo(-1)), with a winter maximum. The main ablation process is drifting snow sublimation, which also peaks in winter but with little interannual variability (sigma = 9 Gt y(-1)). Citation: Lenaerts, J. T. M., M. R. van den Broeke, W. J. van de Berg, E. van Meijgaard, and P. Kuipers Munneke (2012), A new, high-resolution surface mass balance map of Antarctica (1979-2010) based on regional atmospheric climate modeling, Geophys. Res. Lett., 39, L04501, doi:10.1029/2011GL050713.</t>
  </si>
  <si>
    <t>[Lenaerts, J. T. M.; van den Broeke, M. R.; van de Berg, W. J.; Munneke, P. Kuipers] Univ Utrecht, Inst Marine &amp; Atmospher Res Utrecht, NL-3584 CC Utrecht, Netherlands; [van Meijgaard, E.] Royal Netherlands Meteorol Inst, NL-3730 AE De Bilt, Netherlands</t>
  </si>
  <si>
    <t>Utrecht University; Royal Netherlands Meteorological Institute</t>
  </si>
  <si>
    <t>Lenaerts, JTM (corresponding author), Univ Utrecht, Inst Marine &amp; Atmospher Res Utrecht, 5 Princetonpl, NL-3584 CC Utrecht, Netherlands.</t>
  </si>
  <si>
    <t>van de Berg, Willem Jan/H-4385-2011; Lenaerts, Jan/D-9423-2012; Van den Broeke, Michiel R./F-7867-2011</t>
  </si>
  <si>
    <t>van de Berg, Willem Jan/0000-0002-8232-2040; Lenaerts, Jan/0000-0003-4309-4011; Van den Broeke, Michiel R./0000-0003-4662-7565; Kuipers Munneke, Peter/0000-0001-5555-3831</t>
  </si>
  <si>
    <t>We thank two anonymous reviewers for their valuable comments. This work was supported by funding from the ice2sea programme from the European Union 7th Framework Programme, grant 226375. Ice2sea contribution 061.</t>
  </si>
  <si>
    <t>L04501</t>
  </si>
  <si>
    <t>10.1029/2011GL050713</t>
  </si>
  <si>
    <t>899DG</t>
  </si>
  <si>
    <t>WOS:000300794400004</t>
  </si>
  <si>
    <t>Lukianova, R; Mursula, K; Kozlovsky, A</t>
  </si>
  <si>
    <t>Lukianova, Renata; Mursula, Kalevi; Kozlovsky, Alexander</t>
  </si>
  <si>
    <t>Response of the polar magnetic field intensity to the exceptionally high solar wind streams in 2003</t>
  </si>
  <si>
    <t>AURORAL ELECTROJET</t>
  </si>
  <si>
    <t>The exceptionally high solar wind stream activity in 2003 caused a record intensity in the auroral electrojet currents, leading to a major reduction of the horizontal field at auroral latitudes and to a notable strengthening of the vertical geomagnetic field in the polar cap. This strengthening is clearly visible in the observatory annual values as a significant deflection in the corresponding secular variation. A similar but weaker deflection also occurs during the strongest high speed stream years of the earlier solar cycles, e. g., in 1983 and 1994. We also found that, in addition to the disturbed times, the westward electrojet was often enhanced even during the most quiet times of the strongest high speed stream years. The quiet time level was more disturbed in 2003 than in other high speed stream years, when an exceptionally clear signal was seen in the polar cap Z intensity even in the annual mean curve in this year. We exclude other current systems like the ring current or the DPY current as possible explanations. Citation: Lukianova, R., K. Mursula, and A. Kozlovsky (2012), Response of the polar magnetic field intensity to the exceptionally high solar wind streams in 2003, Geophys. Res. Lett., 39, L04101, doi:10.1029/2011GL050420.</t>
  </si>
  <si>
    <t>[Lukianova, Renata] Arctic &amp; Antarctic Res Inst, St Petersburg 19939, Russia; [Lukianova, Renata] Moscow Space Res Inst, Moscow 117810, Russia; [Mursula, Kalevi] Univ Oulu, Dept Phys, FI-90014 Oulu, Finland; [Kozlovsky, Alexander] Univ Oulu, Sodankyla Geophys Observ, FI-99600 Oulu, Finland</t>
  </si>
  <si>
    <t>Arctic &amp; Antarctic Research Institute; Russian Academy of Sciences; Space Research Institute of the Russian Academy of Sciences; University of Oulu; University of Oulu</t>
  </si>
  <si>
    <t>Lukianova, R (corresponding author), Arctic &amp; Antarctic Res Inst, 38 Bering Str, St Petersburg 19939, Russia.</t>
  </si>
  <si>
    <t>renata@aari.nw.ru</t>
  </si>
  <si>
    <t>Mursula, Kalevi/L-8952-2014; Lukianova, Renata/K-3293-2012</t>
  </si>
  <si>
    <t>Mursula, Kalevi/0000-0003-4892-5056; Lukianova, Renata/0000-0003-2343-9174; Kozlovsky, Alexander/0000-0003-1468-7600</t>
  </si>
  <si>
    <t>Academy of Finland [128189, 252405, 140329]; Thule Institute of the University of Oulu; Academy of Finland (AKA) [140329, 252405, 128189] Funding Source: Academy of Finland (AKA)</t>
  </si>
  <si>
    <t>Academy of Finland(Research Council of Finland); Thule Institute of the University of Oulu; Academy of Finland (AKA)(Research Council of Finland)</t>
  </si>
  <si>
    <t>We acknowledge the financial support by the Academy of Finland (projects 128189, 252405 and 140329) and by the Thule Institute of the University of Oulu. The annual magnetic data were obtained from the British Geological Survey (http://www.geomag.bgs.ac.uk), the monthly magnetic data from the WDC Edinburgh (http://www.wdc.bgs.ac.uk), the AL/AU indices and list of the most quiet and disturbed days from the WDC Kyoto (http://wdc.kugi.kyoto-u.ac.jp), and the solar wind speed from NASA/GSFC OMNI data base (http://omniweb.gsfc.nasa.gov).</t>
  </si>
  <si>
    <t>L04101</t>
  </si>
  <si>
    <t>10.1029/2011GL050420</t>
  </si>
  <si>
    <t>WOS:000300794400003</t>
  </si>
  <si>
    <t>McKay, R; Naish, T; Powell, R; Barrett, P; Scherer, R; Talarico, F; Kyle, P; Monien, D; Kuhn, G; Jackolski, C; Williams, T</t>
  </si>
  <si>
    <t>McKay, Robert; Naish, Tim; Powell, Ross; Barrett, Peter; Scherer, Reed; Talarico, Franco; Kyle, Philip; Monien, Donata; Kuhn, Gerhard; Jackolski, Chris; Williams, Trevor</t>
  </si>
  <si>
    <t>Pleistocene variability of Antarctic Ice Sheet extent in the Ross Embayment</t>
  </si>
  <si>
    <t>Pleistocene; West Antarctic Ice Sheet; Palaeoclimatology; Sequence stratigraphy</t>
  </si>
  <si>
    <t>SEA-LEVEL; SEDIMENTARY PROCESSES; HOLOCENE RETREAT; BENEATH; SHELF; COLLAPSE; SYSTEM; TILL; DEFORMATION; GREENLAND</t>
  </si>
  <si>
    <t>Cores acquired by the ANDRILL McMurdo Ice Shelf Project (AND-1B) provide the basis for a new sedimentation model for glacimarine depositional sequences that reflect cyclic glacial-interglacial fluctuations of a marine-based ice sheet in the western Ross Embayment over the past 2.0 Ma. Notwithstanding periodic erosion during advances of the ice sheet, uncertainties inherent to the sedimentological interpretation, and a limited number of chronological datums, it is clear that subglacial to grounding-zone sedimentation was dominant at the AND-1B site during the Late Pleistocene with interglacials being represented only by thin intervals of ice-shelf sediment. Each sequence is characterised by subglacial, massive diamictite that pass upwards into glacimarine diamictites and mudstones. This provides the first direct evidence that the marine-based Antarctic Ice Sheet has oscillated between a grounded and floating state at least 7 times in the Ross Embayment over the last 780ka, implying a Milankovitch orbital influence. An unconformity in AND-1B, that spans most (similar to 200 kyr) of the Mid-Pleistocene Transition is inferred to represent widespread expansion of a marine-based ice sheet in the Ross Embayment at 0.8 Ma. Prior to 1.0 Ma, interglacial periods are characterised by open-water conditions at the drill site with high abundances of volcanoclastic deposits and occasional diatomaceous sediments. These may have responded to precession (similar to 20-kyr) or obliquity (similar to 40-kyr) orbital control. The occurrence of 6.7 m of phonolitic glass reworked from Mt Erebus in interglacial deposits beneath Last Glacial Maximum till requires open ocean or ice shelf conditions in the western Ross Sea around the drill site within the past 250 ka and implies a Ross Ice Shelf similar to or less extensive than today during Marine Isotope Stage 7 or 5. (C) 2011 Elsevier Ltd. All rights reserved.</t>
  </si>
  <si>
    <t>[McKay, Robert; Naish, Tim; Barrett, Peter] Victoria Univ Wellington, Antarctic Res Ctr, Wellington, New Zealand; [Powell, Ross; Scherer, Reed; Jackolski, Chris] No Illinois Univ, Dept Geol &amp; Environm Geosci, De Kalb, IL 60115 USA; [Talarico, Franco] Univ Siena, Dipartimento Sci Terra, I-53100 Siena, Italy; [Kyle, Philip] New Mexico Inst Min &amp; Technol, Socorro, NM USA; [Monien, Donata; Kuhn, Gerhard] Alfred Wegener Inst Polar &amp; Marine Res, Bremerhaven, Germany; [Williams, Trevor] Lamont Doherty Earth Observ, New York, NY USA</t>
  </si>
  <si>
    <t>Victoria University Wellington; Northern Illinois University; University of Siena; New Mexico Institute of Mining Technology; Helmholtz Association; Alfred Wegener Institute, Helmholtz Centre for Polar &amp; Marine Research; Columbia University</t>
  </si>
  <si>
    <t>McKay, R (corresponding author), Victoria Univ Wellington, Antarctic Res Ctr, POB 600, Wellington, New Zealand.</t>
  </si>
  <si>
    <t>Williams, Trevor/L-7670-2014; McKay, Robert/N-2449-2015; talarico, franco/G-9472-2012</t>
  </si>
  <si>
    <t>McKay, Robert/0000-0002-5602-6985; Naish, Tim/0000-0002-1185-9932; Kuhn, Gerhard/0000-0001-6069-7485; talarico, franco/0000-0002-7254-4301</t>
  </si>
  <si>
    <t>US National Science Foundation; NZ Foundation for Research Science and Technology; Royal Society of New Zealand; Italian Antarctic Research Programme; German Research Foundation; Alfred Wegener Institute for Polar and Marine Research; Office of Polar Programs (OPP); Directorate For Geosciences [0838817] Funding Source: National Science Foundation</t>
  </si>
  <si>
    <t>US National Science Foundation(National Science Foundation (NSF)); NZ Foundation for Research Science and Technology(New Zealand Foundation for Research, Science and Technology); Royal Society of New Zealand(Royal Society of New Zealand); Italian Antarctic Research Programme; German Research Foundation(German Research Foundation (DFG)); Alfred Wegener Institute for Polar and Marine Research; Office of Polar Programs (OPP); Directorate For Geosciences(National Science Foundation (NSF)NSF - Directorate for Geosciences (GEO))</t>
  </si>
  <si>
    <t>The scientific studies for ANDRILL are jointly supported by the US National Science Foundation, the NZ Foundation for Research Science and Technology and the Royal Society of New Zealand Marsden Fund, the Italian Antarctic Research Programme, the German Research Foundation and the Alfred Wegener Institute for Polar and Marine Research. We thank Michael Hambrey and John Hiemstra for constructive reviews that helped significantly improve this paper.</t>
  </si>
  <si>
    <t>1873-457X</t>
  </si>
  <si>
    <t>10.1016/j.quascirev.2011.12.012</t>
  </si>
  <si>
    <t>912UE</t>
  </si>
  <si>
    <t>WOS:000301826100008</t>
  </si>
  <si>
    <t>Nielsdóttir, MC; Bibby, TS; Moore, CM; Hinz, DJ; Sanders, R; Whitehouse, M; Korb, R; Achterberg, EP</t>
  </si>
  <si>
    <t>Nielsdottir, Maria C.; Bibby, Thomas S.; Moore, C. Mark; Hinz, Dania J.; Sanders, Richard; Whitehouse, Michael; Korb, Rebecca; Achterberg, Eric P.</t>
  </si>
  <si>
    <t>Seasonal and spatial dynamics of iron availability in the Scotia Sea</t>
  </si>
  <si>
    <t>Iron; Iron stress; Scotia Sea; South Georgia; South Orkney; High nutrient low chlorophyll; HNLC</t>
  </si>
  <si>
    <t>EXPORT EXPERIMENT CROZEX; SOUTHERN-OCEAN; PHYTOPLANKTON BLOOM; DISSOLVED IRON; FERTILIZATION EXPERIMENT; COMMUNITY STRUCTURE; LIGHT INTERACTIONS; KERGUELEN-ISLANDS; ANTARCTIC WATERS; NORTH-ATLANTIC</t>
  </si>
  <si>
    <t>The Southern Ocean is the world's largest high nutrient low chlorophyll (HNLC) region. However, satellite images highlight several areas associated with island chains and shallow topographic features which display high phytoplankton biomass. Here we present the first study of seasonal variations in phytoplankton biomass and iron availability in the Scotia Sea over both austral spring and summer seasons. Based on dissolved iron (dFe) and Chlorophyll a (Chl a) concentrations, the study area is be divided into three regions: North of South Georgia, south of South Georgia and the vicinity of South Orkney Islands. The Scotia Sea to the south of South Georgia exhibited low dFe concentrations (&lt;0.027-0.05 nM) in surface waters during both the spring and summer seasons. Nevertheless, nitrate concentrations were considerably lower in spring compared to summer (difference similar to 8 mu M). Summer Chl a concentrations were similar to 1.4 mg m(-3) and in situ phytoplankton populations displayed evidence of iron stress, suggesting the development of seasonal iron limitation. Surface water dFe concentrations in the South Georgia bloom waters (north of the islands) were elevated and slightly lower during spring than summer (0.20 nM compared to 0.31 nM, P &gt; 0.05). Nitrate concentrations were 16 mu M lower in summer compared to spring, whilst Chl a standing stocks remained high. Enhanced dFe (similar to 0.25 nM) and Chl a concentrations were furthermore observed in the vicinity of the South Orkney Islands, located in the southern Scotia Sea. Iron addition experiments showed that in situ phytoplankton were iron replete spring and summer north of South Georgia and in the vicinity of South Orkney Islands during summer. We thus suggest that increased iron supply in high productivity areas including the area north of South Georgia and the South Orkney Islands, was sustained by a continuous benthic supply from their shelf systems, with a potential additional input from seasonally retreating sea ice in the South Orkney system. (C) 2011 Elsevier B.V. All rights reserved.</t>
  </si>
  <si>
    <t>[Nielsdottir, Maria C.; Bibby, Thomas S.; Moore, C. Mark; Hinz, Dania J.; Achterberg, Eric P.] Univ Southampton, Sch Ocean &amp; Earth Sci, Natl Oceanog Ctr, Southampton SO14 3ZH, Hants, England; [Whitehouse, Michael; Korb, Rebecca] British Antarctic Survey, Cambridge CB3 0ET, England</t>
  </si>
  <si>
    <t>NERC National Oceanography Centre; University of Southampton; UK Research &amp; Innovation (UKRI); Natural Environment Research Council (NERC); NERC British Antarctic Survey</t>
  </si>
  <si>
    <t>Nielsdóttir, MC (corresponding author), Univ Southampton, Sch Ocean &amp; Earth Sci, Natl Oceanog Ctr, European Way, Southampton SO14 3ZH, Hants, England.</t>
  </si>
  <si>
    <t>mnie@soton.ac.uk</t>
  </si>
  <si>
    <t>Bibby, Thomas S/C-9159-2014; Sanders, Richard J/B-8717-2012; Achterberg, Eric P/C-5820-2009</t>
  </si>
  <si>
    <t>Sanders, Richard J/0000-0002-6884-7131; Bibby, Thomas/0000-0003-1743-473X; Moore, Mark/0000-0002-9541-6046</t>
  </si>
  <si>
    <t>National Oceanography Centre, Southampton; Antarctic Funding Initiative [CGS8/27, CGS9/34]; NERC [noc010009, bas0100025] Funding Source: UKRI; Natural Environment Research Council [bas0100025, noc010009] Funding Source: researchfish</t>
  </si>
  <si>
    <t>National Oceanography Centre, Southampton; Antarctic Funding Initiative; NERC(UK Research &amp; Innovation (UKRI)Natural Environment Research Council (NERC)); Natural Environment Research Council(UK Research &amp; Innovation (UKRI)Natural Environment Research Council (NERC))</t>
  </si>
  <si>
    <t>This work was supported by a PhD studentship grant to MCN by the National Oceanography Centre, Southampton and by the Antarctic Funding Initiative under the Collaborative Gearing Scheme (CGS8/27 and CGS9/34) to RK, EA, MCN, TSB, CMM, MJW. The authors wish to thank the SeaWiFS programme for the satellite data, the officers, crew and entire scientific compliment aboard the R.R.S. James Clark Ross during cruises JR161 and JR177. We are particularly grateful to Rachel Shreeve and Geraint Tarling as principal scientists respectively, Min Gordon for Chlorophyll data, Dave Pond for help with the handling of Go-Flo bottles, Stuart Painter and Hugh Venables for assistance with production of the figures. We would also like to thank the two anonymous reviewers whose comments have substantially improved the manuscript.</t>
  </si>
  <si>
    <t>FEB 20</t>
  </si>
  <si>
    <t>10.1016/j.marchem.2011.12.004</t>
  </si>
  <si>
    <t>914QM</t>
  </si>
  <si>
    <t>WOS:000301966500008</t>
  </si>
  <si>
    <t>Fricker, HA; Padman, L</t>
  </si>
  <si>
    <t>Fricker, Helen Amanda; Padman, Laurie</t>
  </si>
  <si>
    <t>Thirty years of elevation change on Antarctic Peninsula ice shelves from multimission satellite radar altimetry</t>
  </si>
  <si>
    <t>GROUNDING ZONE; MASS-BALANCE; SHEET; SURFACE; GREENLAND; LARSEN; TEMPERATURE; SEA; STABILITY; ACCURACY</t>
  </si>
  <si>
    <t>We use data acquired between 1978 and 2008 by four satellite radar altimeter missions (Seasat, ERS-1, ERS-2 and Envisat) to determine multidecadal elevation change rates (dh(i)/dt) for six major Antarctic Peninsula (AP) ice shelves. In areas covered by the Seasat orbit (to 72.16 degrees S), regional-averaged 30-year trends were negative (surface lowering), with rates between -0.03 and -0.16 m a(-1). Surface lowering preceded the start of near-continuous radar altimeter operations that began with ERS-1 in 1992. The average rate of lowering for the first 14 years of the period was typically smaller than the 30-year average; the exception was the southern Wilkins Ice Shelf, which experienced negligible lowering between 2000 and 2008, when a series of large calving events began. Analyses of the continuous ERS/Envisat time series (to 81.5 degrees) for 1992-2008 reveal a period of strong negative dhi/dt on most ice shelves between 1992 and 1995. Based on prior studies of regional atmospheric and oceanic conditions, we hypothesize that the observed elevation changes on Larsen C Ice Shelf are driven primarily by firn compaction while the western AP ice shelves are responding to changes in both surface mass balance and basal melt rates. Our time series also show that large changes in dh(i)/dt can occur on interannual time scales, reinforcing the importance of long time series altimetry to separate long-term trends associated with climate change from interannual to interdecadal natural variability.</t>
  </si>
  <si>
    <t>[Fricker, Helen Amanda] Univ Calif San Diego, Scripps Inst Oceanog, Inst Geophys &amp; Planetary Phys, La Jolla, CA 92093 USA; [Padman, Laurie] Earth &amp; Space Res, Corvallis, OR 97333 USA</t>
  </si>
  <si>
    <t>Fricker, HA (corresponding author), Univ Calif San Diego, Scripps Inst Oceanog, Inst Geophys &amp; Planetary Phys, 9500 Gilman Dr, La Jolla, CA 92093 USA.</t>
  </si>
  <si>
    <t>hafricker@ucsd.edu</t>
  </si>
  <si>
    <t>Padman, Laurence/AAH-3808-2021</t>
  </si>
  <si>
    <t>Fricker, Helen Amanda/0000-0002-0921-1432; Padman, Laurence/0000-0003-2010-642X</t>
  </si>
  <si>
    <t>NASA [NNX06AD40G, NNX10AG19G]; NASA [NNX10AG19G, 134135] Funding Source: Federal RePORTER</t>
  </si>
  <si>
    <t>We thank Jay Zwally's Ice Altimetry group at the NASA Goddard Space Flight Center for processing, archiving and distributing their RA data sets for all satellite radar altimeter missions (see http://icesat4.gsfc.nasa.gov); Jairo Santana and Helen (Blue) Cornejo were particularly helpful as we delved deep into the data sets. We thank Glenn Hyland of the Australian Antarctic Division for the original RA crossover code. We also thank Bruce Haines, Tim Urban, Curt Davis and Fernando Paolo for advice on applying intersatellite biases. The detailed comments from three reviewers greatly improved the manuscript. This work was funded by NASA Awards NNX06AD40G and NNX10AG19G. This paper is ESR contribution 145.</t>
  </si>
  <si>
    <t>FEB 17</t>
  </si>
  <si>
    <t>C02026</t>
  </si>
  <si>
    <t>10.1029/2011JC007126</t>
  </si>
  <si>
    <t>899OL</t>
  </si>
  <si>
    <t>WOS:000300825500001</t>
  </si>
  <si>
    <t>Garrett, S; Rosenthal, JJC</t>
  </si>
  <si>
    <t>Garrett, Sandra; Rosenthal, Joshua J. C.</t>
  </si>
  <si>
    <t>RNA Editing Underlies Temperature Adaptation in K+ Channels from Polar Octopuses</t>
  </si>
  <si>
    <t>SQUID GIANT-AXON; POTASSIUM CHANNELS; CRYSTAL-STRUCTURE; T1 DOMAIN; INACTIVATION; CONDUCTANCE; ACTIVATION; INTERFACE; SODIUM</t>
  </si>
  <si>
    <t>To operate in the extreme cold, ion channels from psychrophiles must have evolved structural changes to compensate for their thermal environment. A reasonable assumption would be that the underlying adaptations lie within the encoding genes. Here, we show that delayed rectifier K+ channel genes from an Antarctic and a tropical octopus encode channels that differ at only four positions and display very similar behavior when expressed in Xenopus oocytes. However, the transcribed messenger RNAs are extensively edited, creating functional diversity. One editing site, which recodes an isoleucine to a valine in the channel's pore, greatly accelerates gating kinetics by destabilizing the open state. This site is extensively edited in both Antarctic and Arctic species, but mostly unedited in tropical species. Thus adenosine-to-inosine RNA editing can respond to the physical environment.</t>
  </si>
  <si>
    <t>[Garrett, Sandra; Rosenthal, Joshua J. C.] Univ Puerto Rico, Inst Neurobiol, San Juan, PR 00901 USA; [Rosenthal, Joshua J. C.] Univ Puerto Rico, Dept Biochem, San Juan, PR 00936 USA</t>
  </si>
  <si>
    <t>University of Puerto Rico; University of Puerto Rico</t>
  </si>
  <si>
    <t>Rosenthal, JJC (corresponding author), Univ Puerto Rico, Inst Neurobiol, Med Sci Campus, San Juan, PR 00901 USA.</t>
  </si>
  <si>
    <t>rosenthal.joshua@gmail.com</t>
  </si>
  <si>
    <t>National Institutes of Health (NIH) Ruth L. Kirschstein National Research Service [FNS064774A, NIH 2 U54 NS039405-06, NIH R01 NS064259NIH]; National Science Foundation (NSF) [IBN-0344070]; Research Centers in Minority Institutions [G12 RR 03051]</t>
  </si>
  <si>
    <t>National Institutes of Health (NIH) Ruth L. Kirschstein National Research Service(United States Department of Health &amp; Human ServicesNational Institutes of Health (NIH) - USA); National Science Foundation (NSF)(National Science Foundation (NSF)); Research Centers in Minority Institutions(United States Department of Health &amp; Human ServicesNational Institutes of Health (NIH) - USANIH National Center for Research Resources (NCRR))</t>
  </si>
  <si>
    <t>We are grateful to T. de Lange Wenneck and the Norwegian Institute of Marine Research for the invitation to collect Arctic cephalopods aboard the RV Jan Mayen. We thank C. DeVries for samples of Pareledone. This work was supported by the National Institutes of Health (NIH) Ruth L. Kirschstein National Research Service Predoctoral Fellow Award FNS064774A, NIH 2 U54 NS039405-06, NIH R01 NS064259NIH, and the National Science Foundation (NSF) IBN-0344070. Part of the work was conducted in the Molecular Biology Core Facility at the Institute of Neurobiology that is supported by Research Centers in Minority Institutions grant G12 RR 03051. Kv1 sequences have been submitted to GenBank. The accession nos. are as follows: JQ246406, Pareledone sp.; JQ246407, Octopus vulgaris; JQ246408, Octopus digueti; JQ246409, Octopus defilippi; JQ246410, Octopus bimaculata; JQ246411, Bathypolypus arcticus; JQ246412, Benthoctopus piscatorum; JQ246413, Octopus rubescens. S. C. G. performed all experiments, participated in designing experiments, collected Arctic samples, and wrote the manuscript. J.J.C.R. participated in designing experiments; collected Antarctic, temperate, and tropical samples; and edited the manuscript.</t>
  </si>
  <si>
    <t>10.1126/science.1212795</t>
  </si>
  <si>
    <t>893LC</t>
  </si>
  <si>
    <t>WOS:000300356400042</t>
  </si>
  <si>
    <t>Adhikari, L; Wang, ZE; Deng, M</t>
  </si>
  <si>
    <t>Adhikari, Loknath; Wang, Zhien; Deng, Min</t>
  </si>
  <si>
    <t>Seasonal variations of Antarctic clouds observed by CloudSat and CALIPSO satellites</t>
  </si>
  <si>
    <t>SOUTHERN-HEMISPHERE CYCLONES; SEA-ICE; RADAR MEASUREMENTS; ROSS SEA; PART II; MICROPHYSICAL PROPERTIES; CLIMATOLOGICAL ASPECTS; RADIATIVE PROPERTIES; DECADAL VARIABILITY; SYNOPTIC ACTIVITY</t>
  </si>
  <si>
    <t>[1] The multiyear lidar and radar measurements obtained from the Cloud-Aerosol Lidar and Infrared Pathfinder Satellite Observation (CALIPSO) and CloudSat between June 2006 and May 2010 were used to investigate the seasonal and interannual variabilities of the vertical and horizontal cloud distributions, cloud top height above ground (H-top) thickness (CTH), effective radius (r(e)), and ice water content (IWC) over the southern high latitudes poleward of 60 degrees S. The collocated lidar and radar data were used to derive the cloud mask, which was used to classify the clouds into four classes according to the cloud base height above ground (H-base) and CTH. The Amundsen/Bellingshausen Sea region showed the highest cloud occurrence (&gt;80%) and Antarctic Plateau had lowest cloud occurrence (&lt;30%). The low-level clouds accounted for more than 60% of the total cloudiness, and their occurrence was greater during summer than during winter, but deep and high-level cloud occurrence, CTH, and H-top were greater during winter than during summer. CTH and H-top of deep and high-level clouds were greater over ocean than over land, but both CTH and H-top of low-level clouds were greater over land than over ocean. The mean IWCs for high-level clouds over land and ocean were 0.85 (2.0) and 1.3 (3.1) mg/kg, respectively, and the mean r(e) over land and ocean were 18.0 (22.1) and 21.5 (26.4) mu m, respectively, for winter (summer). The study provides a high-quality data set of cloud properties over the Antarctic region to improve our understanding and model simulations of Antarctic clouds.</t>
  </si>
  <si>
    <t>[Adhikari, Loknath; Wang, Zhien; Deng, Min] Univ Wyoming, Dept Atmospher Sci, Laramie, WY 82071 USA</t>
  </si>
  <si>
    <t>University of Wyoming</t>
  </si>
  <si>
    <t>Adhikari, L (corresponding author), Univ Wyoming, Dept Atmospher Sci, 1000 E Univ Ave, Laramie, WY 82071 USA.</t>
  </si>
  <si>
    <t>loknath@uwyo.edu</t>
  </si>
  <si>
    <t>Deng, Min/JJC-3585-2023; Wang, Zhien/AAB-1528-2021; Wang, Zhien/AAN-2341-2020; Wang, Zhien/F-4857-2011</t>
  </si>
  <si>
    <t>Deng, Min/0000-0002-6076-282X; Wang, Zhien/0000-0003-3871-3834</t>
  </si>
  <si>
    <t>NASA [NNX07AQ83G, NNX10AN18G]; NASA [128708, NNX10AN18G] Funding Source: Federal RePORTER</t>
  </si>
  <si>
    <t>This research was funded by NASA grants NNX07AQ83G and NNX10AN18G. Many thanks go to CALIPSO PIs Dave Winkler and Charles Trepte, CloudSat PIs Graeme Stephens and Deborah Vane, and the CALIPSO/CloudSat data group. NCEP_Reanalysis 2 data were provided by the NOAA/OAR/ESRL PSD, Boulder, Colorado, from their Web site at http://www.esrl.noaa.gov/psd/. We are also grateful to the anonymous reviewers whose comments led to the improvements in this paper.</t>
  </si>
  <si>
    <t>FEB 16</t>
  </si>
  <si>
    <t>D04202</t>
  </si>
  <si>
    <t>10.1029/2011JD016719</t>
  </si>
  <si>
    <t>899NB</t>
  </si>
  <si>
    <t>WOS:000300821600003</t>
  </si>
  <si>
    <t>Cortese, G; Gersonde, R; Maschner, K; Medley, P</t>
  </si>
  <si>
    <t>Cortese, G.; Gersonde, R.; Maschner, K.; Medley, P.</t>
  </si>
  <si>
    <t>Glacial-interglacial size variability in the diatom Fragilariopsis kerguelensis: Possible iron/dust controls?</t>
  </si>
  <si>
    <t>SOUTHERN-OCEAN; PHYTOPLANKTON BLOOM; IRON AVAILABILITY; SEA-ICE; CLIMATE; GROWTH; CYCLE; DEFICIENCY; LIMITATION; ATLANTIC</t>
  </si>
  <si>
    <t>The valve area of Fragilariopsis kerguelensis, the most abundant diatom species in the Southern Ocean, strongly changes in size in response to varying conditions in the surface ocean. We examined the link, both in two iron fertilization experiments and in sediment samples covering several glacial Terminations, between size variability in this species and environmental conditions across the Antarctic Polar Front, including sea ice extent, sea surface temperature, and the input of eolian dust. The iron fertilization experiments show valve area to be positively correlated with iron concentrations in ambient waters, which suggests the possibility of a causal relation between valve size of Fragilariopsis kerguelensis and ambient surface water iron concentration. Larger valves are usually found during glacial times and thus seem to be related to lower sea surface temperature and wider sea ice coverage. Moreover, our results indicate that there usually is a strong correlation between larger valve size and increased input of eolian dust to the Southern Ocean. However, this correlation, obvious for the fertilization experiments and for glacial Terminations I, II, III, and V, does not seem to be valid for Termination VI, where size appears to be inversely correlated to dust input.</t>
  </si>
  <si>
    <t>[Cortese, G.] GNS Sci, Dept Paleontol, Lower Hutt 5040, New Zealand; [Gersonde, R.] Alfred Wegener Inst Polar &amp; Marine Res, Geosci Div, D-27515 Bremerhaven, Germany; [Maschner, K.] German Oceanog Museum, D-18439 Stralsund, Germany; [Medley, P.] Univ Colorado, Cooperat Inst Res Environm Sci, Boulder, CO 80309 USA</t>
  </si>
  <si>
    <t>GNS Science - New Zealand; Helmholtz Association; Alfred Wegener Institute, Helmholtz Centre for Polar &amp; Marine Research; University of Colorado System; University of Colorado Boulder</t>
  </si>
  <si>
    <t>Cortese, G (corresponding author), GNS Sci, Dept Paleontol, 1 Fairway Dr,POB 30 368, Lower Hutt 5040, New Zealand.</t>
  </si>
  <si>
    <t>g.cortese@gns.cri.nz; rainer.gersonde@awi.de; katharina.maschner@meeresmuseum.de; pamela.medley@colorado.edu</t>
  </si>
  <si>
    <t>Cortese, Giuseppe/0000-0003-1780-3371</t>
  </si>
  <si>
    <t>New Zealand Foundation for Research, Science, and Technology (FRST); Research Center Ocean Margins, Bremen, Germany</t>
  </si>
  <si>
    <t>New Zealand Foundation for Research, Science, and Technology (FRST)(New Zealand Foundation for Research, Science and Technology); Research Center Ocean Margins, Bremen, Germany</t>
  </si>
  <si>
    <t>Research was funded by the New Zealand Foundation for Research, Science, and Technology (FRST) program Global Change Through Time and by the Research Center Ocean Margins, Bremen, Germany. The iron fertilization experiments samples were kindly provided by Philipp Assmy (AWI, Bremerhaven). Laboratory assistance and slide preparation by Ute Bock (AWI, Bremerhaven) is gratefully acknowledged. Four anonymous reviewers are thanked for providing excellent suggestions, which greatly improved the quality of the final manuscript.</t>
  </si>
  <si>
    <t>PA1208</t>
  </si>
  <si>
    <t>10.1029/2011PA002187</t>
  </si>
  <si>
    <t>899OY</t>
  </si>
  <si>
    <t>WOS:000300826900001</t>
  </si>
  <si>
    <t>Roscoe, HK; Feng, WH; Chipperfield, MP; Trainic, M; Shuckburgh, EF</t>
  </si>
  <si>
    <t>Roscoe, Howard K.; Feng, Wuhu; Chipperfield, Martyn P.; Trainic, Miriam; Shuckburgh, Emily F.</t>
  </si>
  <si>
    <t>The existence of the edge region of the Antarctic stratospheric vortex</t>
  </si>
  <si>
    <t>CHEMICAL-TRANSPORT MODEL; OZONE LOSS; POLAR VORTEX; EFFECTIVE DIFFUSIVITY; PERMEABILITY; COORDINATE; WINTER; AREA; NO2</t>
  </si>
  <si>
    <t>[1] New evidence from models, ozone measurements and balloon trajectories is presented that confirms the existence of a broad cohesive region of air at the edge of the Antarctic stratospheric vortex that is only weakly mixed with the core of the vortex. Comprehensive measurements by Antarctic ozonesondes in 2003 show quite different evolution in the edge region than in the core. With one exception, long duration balloons launched from Antarctica in spring 2005 remained confined to either the edge region of the vortex or its core. Calculations of effective diffusivity for 2003 and 2005 show similarly weak mixing in the edge region as earlier calculations for 1996. They again show that the edge region is a significant proportion of the area of the ozone hole. Its importance lies in the possibility that, unmixed, it can have more polar stratospheric clouds during the course of the 21st century, thereby delaying the recovery of the ozone hole.</t>
  </si>
  <si>
    <t>[Roscoe, Howard K.; Shuckburgh, Emily F.] British Antarctic Survey, Cambridge CB3 0ET, England; [Feng, Wuhu; Chipperfield, Martyn P.] Univ Leeds, Sch Earth &amp; Environm, Leeds LS2 9JT, W Yorkshire, England; [Trainic, Miriam] Univ London Imperial Coll Sci Technol &amp; Med, London SW1 2AZ, England</t>
  </si>
  <si>
    <t>UK Research &amp; Innovation (UKRI); Natural Environment Research Council (NERC); NERC British Antarctic Survey; University of Leeds; Imperial College London</t>
  </si>
  <si>
    <t>Roscoe, HK (corresponding author), British Antarctic Survey, Madingley Rd, Cambridge CB3 0ET, England.</t>
  </si>
  <si>
    <t>h.roscoe@bas.ac.uk</t>
  </si>
  <si>
    <t>FENG, WUHU/B-8327-2008; Chipperfield, Martyn/H-6359-2013</t>
  </si>
  <si>
    <t>FENG, WUHU/0000-0002-9907-9120; Chipperfield, Martyn/0000-0002-6803-4149; Shuckburgh, Emily/0000-0001-9206-3444</t>
  </si>
  <si>
    <t>EC [EVK2-2001-00129]; NERC [bas0100023, earth010004, bas0100028] Funding Source: UKRI; Natural Environment Research Council [bas0100023, bas0100028, earth010004, ncas10009] Funding Source: researchfish</t>
  </si>
  <si>
    <t>EC(European Union (EU)European Commission Joint Research Centre); NERC(UK Research &amp; Innovation (UKRI)Natural Environment Research Council (NERC)); Natural Environment Research Council(UK Research &amp; Innovation (UKRI)Natural Environment Research Council (NERC))</t>
  </si>
  <si>
    <t>We thank the large number of participants in the QUOBI project who launched ozonesondes from Antarctic sites. QUOBI was funded by EC contract EVK2-2001-00129. We also thank the members of the VORCORE project from CNRS, LMD, CNES and NSF; we especially thank Albert Herzog and Francois Vial of LMD for their enthusiasm, and for the supply of VORCORE balloon data including their equivalent latitudes.</t>
  </si>
  <si>
    <t>D04301</t>
  </si>
  <si>
    <t>10.1029/2011JD015940</t>
  </si>
  <si>
    <t>WOS:000300821600001</t>
  </si>
  <si>
    <t>Balcerzak, AK; Ferreira, SS; Trant, JF; Ben, RN</t>
  </si>
  <si>
    <t>Balcerzak, Anna K.; Ferreira, Sandra S.; Trant, John F.; Ben, Robert N.</t>
  </si>
  <si>
    <t>Structurally diverse disaccharide analogs of antifreeze glycoproteins and their ability to inhibit ice recrystallization</t>
  </si>
  <si>
    <t>BIOORGANIC &amp; MEDICINAL CHEMISTRY LETTERS</t>
  </si>
  <si>
    <t>Antifreeze glycoproteins; AFGP; Ice recrystallization inhibition; Carbohydrate hydration; Thermal hysteresis</t>
  </si>
  <si>
    <t>POINT-DEPRESSING GLYCOPROTEINS; ANTARCTIC FISHES; FREEZING RESISTANCE; HYDRATION; PROTEINS</t>
  </si>
  <si>
    <t>The beta-D-galactosyl-(1,3)-alpha-N-acetyl-D-galactosamine disaccharide is present in antifreeze glycoproteins (AFGPs). Analogs of this disaccharide including the beta-linked (1,3)-, (1,4)-, and (1,6)-galactosyl-N-acetyl galactosamine and the beta-(1,3)-galactosyl-galactoside were synthesized and evaluated for ice recrystallization inhibition (IRI) activity. The results from this study demonstrate that the beta-linked-(1,4) disaccharide exhibits more potent IRI activity than the native beta-linked-(1,3) disaccharide. The C2 N-acetyl group of the disaccharide does not affect IRI activity but in monosaccharides, the presence of the C2 N-acetyl group decreases IRI activity. The current study will facilitate the design of potent small-molecule ice recrystallization inhibitors. (C) 2011 Elsevier Ltd. All rights reserved.</t>
  </si>
  <si>
    <t>[Balcerzak, Anna K.; Ferreira, Sandra S.; Trant, John F.; Ben, Robert N.] Univ Ottawa, Dept Chem, Ottawa, ON K1N 6N5, Canada</t>
  </si>
  <si>
    <t>University of Ottawa</t>
  </si>
  <si>
    <t>Ben, RN (corresponding author), Univ Ottawa, Dept Chem, 10 Marie Curie, Ottawa, ON K1N 6N5, Canada.</t>
  </si>
  <si>
    <t>rben@uottawa.ca</t>
  </si>
  <si>
    <t>Trant, John/S-6788-2016</t>
  </si>
  <si>
    <t>Trant, John/0000-0002-4780-4968; Ben, Robert/0000-0002-4625-5389</t>
  </si>
  <si>
    <t>Natural Sciences and Engineering Research Council of Canada (NSERC); Canadian Blood Services (CBS); Canadian Institutes of Health Research (CIHR); Canadian Foundation Innovation (CFI)</t>
  </si>
  <si>
    <t>Natural Sciences and Engineering Research Council of Canada (NSERC)(Natural Sciences and Engineering Research Council of Canada (NSERC)); Canadian Blood Services (CBS); Canadian Institutes of Health Research (CIHR)(Canadian Institutes of Health Research (CIHR)); Canadian Foundation Innovation (CFI)(Canada Foundation for Innovation)</t>
  </si>
  <si>
    <t>The authors acknowledge the Natural Sciences and Engineering Research Council of Canada (NSERC), Canadian Blood Services (CBS), Canadian Institutes of Health Research (CIHR) and Canadian Foundation Innovation (CFI) for financial support.</t>
  </si>
  <si>
    <t>0960-894X</t>
  </si>
  <si>
    <t>1464-3405</t>
  </si>
  <si>
    <t>BIOORG MED CHEM LETT</t>
  </si>
  <si>
    <t>Bioorg. Med. Chem. Lett.</t>
  </si>
  <si>
    <t>FEB 15</t>
  </si>
  <si>
    <t>10.1016/j.bmcl.2011.12.097</t>
  </si>
  <si>
    <t>Chemistry, Medicinal; Chemistry, Organic</t>
  </si>
  <si>
    <t>Pharmacology &amp; Pharmacy; Chemistry</t>
  </si>
  <si>
    <t>894CP</t>
  </si>
  <si>
    <t>WOS:000300404900049</t>
  </si>
  <si>
    <t>Veretenenko, S; Ogurtsov, M</t>
  </si>
  <si>
    <t>Veretenenko, S.; Ogurtsov, M.</t>
  </si>
  <si>
    <t>Regional and temporal variability of solar activity and galactic cosmic ray effects on the lower atmosphere circulation</t>
  </si>
  <si>
    <t>Solar activity; Galactic cosmic rays; Lower atmosphere; Climate variability</t>
  </si>
  <si>
    <t>STRATOSPHERE; TROPOSPHERE; ASYMMETRY; PRESSURE; CLIMATE; CLOUDS</t>
  </si>
  <si>
    <t>In this work we studied the spatial and temporal structure of long-term effects of solar activity (SA) and galactic cosmic ray (GCR) variations on the lower atmosphere circulation as well as possible reasons for the peculiarities of this structure. The study revealed a strong latitudinal and regional dependence of SA/GCR effects on pressure variations in the lower troposphere which seems to be determined by specific features of baric systems formed in different regions. The temporal structure of SA/GCR effects on the troposphere circulation at high and middle latitudes is characterized by a roughly 60-year periodicity which is apparently due to the epochs of the large-scale atmospheric circulation. It is suggested that a possible mechanism of long-term effects of solar activity and cosmic ray variations on the troposphere circulation involves changes in the evolution of the polar vortex in the stratosphere of high latitudes, as well as planetary frontal zones. (C) 2011 COSPAR. Published by Elsevier Ltd. All rights reserved.</t>
  </si>
  <si>
    <t>[Veretenenko, S.; Ogurtsov, M.] Russian Acad Sci, AF Ioffe Phys Tech Inst, St Petersburg 194021, Russia</t>
  </si>
  <si>
    <t>Russian Academy of Sciences; St. Petersburg Scientific Centre of the Russian Academy of Sciences; Ioffe Physical Technical Institute</t>
  </si>
  <si>
    <t>Veretenenko, S (corresponding author), Russian Acad Sci, AF Ioffe Phys Tech Inst, Politekhnicheskaya 26, St Petersburg 194021, Russia.</t>
  </si>
  <si>
    <t>s.veretenenko@mail.ioffe.ru</t>
  </si>
  <si>
    <t>Ogurtsov, Maxim/H-9486-2014; Veretenenko, Svetlana/F-3341-2014</t>
  </si>
  <si>
    <t>Veretenenko, Svetlana/0000-0001-8968-0724</t>
  </si>
  <si>
    <t>RFBR [09-02-00083, 10-05-00129]; Russian Academy of Sciences; Finnish Academy of Sciences [N16]; St.Petersburg Scientific Center RAS</t>
  </si>
  <si>
    <t>RFBR(Russian Foundation for Basic Research (RFBR)); Russian Academy of Sciences(Russian Academy of Sciences); Finnish Academy of Sciences; St.Petersburg Scientific Center RAS</t>
  </si>
  <si>
    <t>Authors thank Dr. V.V. Ivanov, Dr. Z.M. Gudkovich (Arctic and Antarctic Research Institute, St.Petersburg) and Dr. Yu.N. Nagovitsyn (Central Astronomical Observatory, St.Petersburg) for discussion of the results. We are grateful to the referees for their helpful remarks. The work was partly supported by RFBR grants 09-02-00083 and 10-05-00129, the Program of exchange between Russian and Finnish Academies of Sciences (project N16) and St.Petersburg Scientific Center RAS.</t>
  </si>
  <si>
    <t>10.1016/j.asr.2011.11.020</t>
  </si>
  <si>
    <t>905YO</t>
  </si>
  <si>
    <t>WOS:000301312300015</t>
  </si>
  <si>
    <t>Carter, P; Vance, D; Hillenbrand, CD; Smith, JA; Shoosmith, DR</t>
  </si>
  <si>
    <t>Carter, P.; Vance, D.; Hillenbrand, C. D.; Smith, J. A.; Shoosmith, D. R.</t>
  </si>
  <si>
    <t>The neodymium isotopic composition of waters masses in the eastern Pacific sector of the Southern Ocean</t>
  </si>
  <si>
    <t>ATLANTIC DEEP-WATER; NORTH-ATLANTIC; ANTARCTIC PENINSULA; SEDIMENT DRIFT; BOTTOM WATER; ND; CIRCULATION; WEST; PROVENANCE; TRANSPORT</t>
  </si>
  <si>
    <t>The Antarctic Circumpolar Current is one of the key components of ocean circulation, and a knowledge of its isotopic composition is essential to the use of neodymium (Nd) isotopes to trace circulation now and in the past. Here we present 57 new analyses of the Nd isotopic composition of the water column in the eastern Pacific sector of the Southern Ocean, documenting both the variation in three dimensions as well as the controls on that variability. Nd isotopic data for the middle of the water column demonstrate the homogeneity of Circumpolar Deep Water (CDW) at an epsilon(Nd) value of -8.7 +/- 3 0.1. This homogeneity reflects the large Nd inventory in the ACC flow, and the degree to which this large inventory buffers the Nd characteristics of the ACC against extra-oceanic inputs from the continents, either via dust from the atmosphere or through dissolved and particulate material from the adjacent continents. CDW upwells onto the Amundsen Sea shelf and, even here, its Nd isotopic properties are close to conserved in the middle of the water column (eNd = -8.0 +/- 0.2 at 600 m). At the top and bottom of the shelf water column, however, the Nd isotopic and concentration characteristics are strongly modified (to eNd as high as -4.5). All the shelf water column data obtained here are consistent with net addition of Nd to bottom and surface waters with a contrasting isotopic composition that is matched by local sediment (eNd = -1 to -2), followed by conservative mixing of that water into intermediate levels. Mixing with this shelf composition also leads to significant modification of open ocean surface water (Nd isotopic shift around 1 epsilon unit) in the ACC as it flows eastwards. Modification of open ocean bottom waters by interaction with sediment is more subtle, but there is marked non-conservative removal of Nd accompanied by significant changes in isotopic composition in waters within 10 m of the seabed. The new data demonstrate the conservativity of Nd in the middle water column, especially for such large volume flows as the ACC. Though boundary exchange-type processes are clearly important in this region, and their imprint on both the shelf and open-ocean surface water is significant, there is no observable impact on the main core of CDW. This finding augurs well for the use of Nd isotopes as a conservative water-mass tracer now and in the past. For example, these data suggest that the only likely control on the temporal variability of southern-component deep water exported northwards into the Atlantic through the last glacial cycle is variations in the input of North Atlantic Deep Water in the Atlantic sector. On the other hand, the data also suggest caution in the use of sedimentary archives of bottom water Nd as records of deep water Nd isotopic characteristics, given the dramatic modification of bottom waters on the shelf and the more subtly non-conservative behaviour in the open ocean bottom water that are both suggestive of modification of the Nd characteristics of bottom waters by sediment. (C) 2011 Elsevier Ltd. All rights reserved.</t>
  </si>
  <si>
    <t>[Carter, P.; Vance, D.] Univ Bristol, Dept Earth Sci, Bristol Isotope Grp, Bristol BS8 1RJ, Avon, England; [Carter, P.] RWE Npower Renewables, Swindon SN5 8ZT, Wilts, England; [Hillenbrand, C. D.; Smith, J. A.; Shoosmith, D. R.] British Antarctic Survey, Cambridge CB3 0ET, England</t>
  </si>
  <si>
    <t>University of Bristol; AB Electrolux; UK Research &amp; Innovation (UKRI); Natural Environment Research Council (NERC); NERC British Antarctic Survey</t>
  </si>
  <si>
    <t>Vance, D (corresponding author), Univ Bristol, Dept Earth Sci, Bristol Isotope Grp, Wills Mem Bldg, Bristol BS8 1RJ, Avon, England.</t>
  </si>
  <si>
    <t>d.vance@bristol.ac.uk</t>
  </si>
  <si>
    <t>NERC; Antarctic Funding Initiative; NERC [bas0100027, bas0100028] Funding Source: UKRI; Natural Environment Research Council [bas0100028, bas0100027] Funding Source: researchfish</t>
  </si>
  <si>
    <t>NERC(UK Research &amp; Innovation (UKRI)Natural Environment Research Council (NERC)); Antarctic Funding Initiative; NERC(UK Research &amp; Innovation (UKRI)Natural Environment Research Council (NERC)); Natural Environment Research Council(UK Research &amp; Innovation (UKRI)Natural Environment Research Council (NERC))</t>
  </si>
  <si>
    <t>This research was supported by a NERC studentship to P.C. Participation by P.C. in cruise JR179 was supported by the Antarctic Funding Initiative. Ye Zhao helped us make the ODV section in Fig. 3. We thank Associate Editor Sidney Hemming for her efficient handling of the review process, and three anonymous reviewers for comments that improved the paper.</t>
  </si>
  <si>
    <t>10.1016/j.gca.2011.11.034</t>
  </si>
  <si>
    <t>882CQ</t>
  </si>
  <si>
    <t>WOS:000299539400003</t>
  </si>
  <si>
    <t>Gomez, N; Pollard, D; Mitrovica, JX; Huybers, P; Clark, PU</t>
  </si>
  <si>
    <t>Gomez, Natalya; Pollard, David; Mitrovica, Jerry X.; Huybers, Peter; Clark, Peter U.</t>
  </si>
  <si>
    <t>Evolution of a coupled marine ice sheet-sea level model</t>
  </si>
  <si>
    <t>GROUNDING LINES; MANTLE VISCOSITY; WEST ANTARCTICA; MASS-BALANCE; SHELF; COLLAPSE; STABILITY; GLACIER; SYSTEM; OCEAN</t>
  </si>
  <si>
    <t>We investigate the stability of marine ice sheets by coupling a gravitationally self-consistent sea level model valid for a self-gravitating, viscoelastically deforming Earth to a 1-D marine ice sheet-shelf model. The evolution of the coupled model is explored for a suite of simulations in which we vary the bed slope and the forcing that initiates retreat. We find that the sea level fall at the grounding line associated with a retreating ice sheet acts to slow the retreat; in simulations with shallow reversed bed slopes and/or small external forcing, the drop in sea level can be sufficient to halt the retreat. The rate of sea level change at the grounding line has an elastic component due to ongoing changes in ice sheet geometry, and a viscous component due to past ice and ocean load changes. When the ice sheet model is forced from steady state, on short timescales (</t>
  </si>
  <si>
    <t>[Gomez, Natalya; Mitrovica, Jerry X.; Huybers, Peter] Harvard Univ, Dept Earth &amp; Planetary Sci, Cambridge, MA 02138 USA; [Pollard, David] Penn State Univ, Earth &amp; Environm Syst Inst, University Pk, PA 16802 USA; [Clark, Peter U.] Oregon State Univ, Dept Geosci, Corvallis, OR 97331 USA</t>
  </si>
  <si>
    <t>Harvard University; Pennsylvania Commonwealth System of Higher Education (PCSHE); Pennsylvania State University; Pennsylvania State University - University Park; Oregon State University</t>
  </si>
  <si>
    <t>Gomez, N (corresponding author), Harvard Univ, Dept Earth &amp; Planetary Sci, 20 Oxford St, Cambridge, MA 02138 USA.</t>
  </si>
  <si>
    <t>ngomez@fas.harvard.edu</t>
  </si>
  <si>
    <t>Gomez, Natalya/AAU-4323-2020</t>
  </si>
  <si>
    <t>Gomez, Natalya/0000-0002-2463-7917; Huybers, Peter/0000-0002-3734-8145</t>
  </si>
  <si>
    <t>Harvard University; Natural Sciences and Engineering Research Council; U.S. National Science Foundation [OCE-1202632, OPP-1043018, OPP-0424589, OCE-0960787]; Canadian Institute for Advanced Research; NSF; Directorate For Geosciences; Division Of Ocean Sciences [0960787, 1060454] Funding Source: National Science Foundation; Office of Polar Programs (OPP); Directorate For Geosciences [1043517] Funding Source: National Science Foundation</t>
  </si>
  <si>
    <t>Harvard University; Natural Sciences and Engineering Research Council(Natural Sciences and Engineering Research Council of Canada (NSERC)); U.S. National Science Foundation(National Science Foundation (NSF)); Canadian Institute for Advanced Research(Canadian Institute for Advanced Research (CIFAR)); NSF(National Science Foundation (NSF)); Directorate For Geosciences; Division Of Ocean Sciences(National Science Foundation (NSF)NSF - Directorate for Geosciences (GEO)); Office of Polar Programs (OPP); Directorate For Geosciences(National Science Foundation (NSF)NSF - Directorate for Geosciences (GEO))</t>
  </si>
  <si>
    <t>The authors thank the reviewers and editors for their helpful comments and suggestions. The authors would also like to acknowledge support from Harvard University (NG, JXM, PH), the Natural Sciences and Engineering Research Council (NG), the U.S. National Science Foundation under grants OCE-1202632, OPP-1043018 and OPP-0424589 (DP) and grant OCE-0960787 (PH), the Canadian Institute for Advanced Research (JXM), and the Paleoclimate Program and the Antarctic Glaciology Program of the NSF (PUC).</t>
  </si>
  <si>
    <t>FEB 14</t>
  </si>
  <si>
    <t>F01013</t>
  </si>
  <si>
    <t>10.1029/2011JF002128</t>
  </si>
  <si>
    <t>899OG</t>
  </si>
  <si>
    <t>WOS:000300825000001</t>
  </si>
  <si>
    <t>Burns, G; Ortega-Martinez, O; Dupont, S; Thorndyke, MC; Peck, LS; Clark, MS</t>
  </si>
  <si>
    <t>Burns, Gavin; Ortega-Martinez, Olga; Dupont, Samuel; Thorndyke, Michael C.; Peck, Lloyd S.; Clark, Melody S.</t>
  </si>
  <si>
    <t>Intrinsic gene expression during regeneration in arm explants of Amphiura filiformis</t>
  </si>
  <si>
    <t>JOURNAL OF EXPERIMENTAL MARINE BIOLOGY AND ECOLOGY</t>
  </si>
  <si>
    <t>Autotomy; Axial patterning; Blastema; Echinoderm; Microarray; Proliferation</t>
  </si>
  <si>
    <t>SKELETAL-MUSCLE; SELENOPROTEIN-W; BINDING PROTEIN; WEST-COAST; OPHIUROIDEA; ECHINODERMATA; MIGRATION; DIFFERENTIATION; MECHANISMS; FREQUENCY</t>
  </si>
  <si>
    <t>The extensive regeneration ability of ophiuroids, particularly in relation to arm re-growth following amputation, is becoming increasingly recognized as a useful model system for understanding cellular differentiation and regeneration in a whole animal context. Amputated ophiuroid arms are referred to as explants. These are able to survive for several months in seawater and, when amputated at both ends (double amputated), can undergo partial regeneration at one end and wound healing at the other. As such, they present a simplified and controlled regenerating model system which can potentially provide clues as to the mechanism involved in the programming and polarity of cellular differentiation. In this first investigation of gene expression in an ophiuroid explant we used cDNA microarrays in the transcriptional profiling of the proximal, medial and distal sections of double amputated explants of the temperate brittle star Amphiura filiformis. The results demonstrated an active transcriptome with extensive differential gene expression focused at the original distal part of the arm explant where the regenerating blastema was located. The transcription profiles also revealed that expression patterns showed subtle differences in the levels of gene expression rather than the presence or absence of certain genes. The sections of arm under study were no longer attached to the whole animal and therefore reduced levels of activity of some transcripts e.g. ciboulot, a gene potentially involved in cell differentiation events such as neuronal development, suggest that transcript dosage and/or relative expression of certain gene combinations may play an important role in the progression of cellular differentiation events. Crown Copyright 2011 (C) Published by Elsevier BM. All rights reserved.</t>
  </si>
  <si>
    <t>[Burns, Gavin; Peck, Lloyd S.; Clark, Melody S.] British Antarctic Survey, Nat Environm Res Council, Cambridge CB3 0ET, England; [Ortega-Martinez, Olga; Dupont, Samuel] Univ Gothenburg, Dept Marine Ecol, Sven Loven Ctr Marine Sci, S-45034 Kristineberg, Fiskebackskil, Sweden; [Thorndyke, Michael C.] Royal Swedish Acad Sci, S-45034 Kristineberg, Fiskebackskil, Sweden; [Thorndyke, Michael C.] Sven Loven Ctr Marine Sci, Dept Marine Ecol, S-45034 Kristineberg, Fiskebackskil, Sweden</t>
  </si>
  <si>
    <t>UK Research &amp; Innovation (UKRI); Natural Environment Research Council (NERC); NERC British Antarctic Survey; University of Gothenburg; Royal Swedish Academy of Sciences</t>
  </si>
  <si>
    <t>Burns, G (corresponding author), British Antarctic Survey, Nat Environm Res Council, Madingley Rd, Cambridge CB3 0ET, England.</t>
  </si>
  <si>
    <t>gabu@bas.ac.uk</t>
  </si>
  <si>
    <t>Dupont, Sam T/F-5527-2013; Clark, Melody/D-7371-2014</t>
  </si>
  <si>
    <t>Ortega-Martinez, Olga/0000-0003-2734-6434; Clark, Melody/0000-0002-3442-3824</t>
  </si>
  <si>
    <t>EU [227799]; EU Network of Excellence, Marine Genomics Europe; EMBO; Linnaeus Centre for Marine Evolutionary Biology at the University of Gothenburg; Swedish Research Councils VR; Swedish Research Council Formas; Royal Swedish Academy of Sciences; NERC [bas0100025, dml011000] Funding Source: UKRI; Natural Environment Research Council [bas0100025, dml011000] Funding Source: researchfish</t>
  </si>
  <si>
    <t>EU(European Union (EU)); EU Network of Excellence, Marine Genomics Europe; EMBO(European Molecular Biology Organization (EMBO)); Linnaeus Centre for Marine Evolutionary Biology at the University of Gothenburg; Swedish Research Councils VR(Swedish Research Council); Swedish Research Council Formas(Swedish Research Council Formas); Royal Swedish Academy of Sciences; NERC(UK Research &amp; Innovation (UKRI)Natural Environment Research Council (NERC)); Natural Environment Research Council(UK Research &amp; Innovation (UKRI)Natural Environment Research Council (NERC))</t>
  </si>
  <si>
    <t>This paper was produced within the British Antarctic Survey Polar Sciences for Planet Earth core programme, Adaptations and Physiology Work Package. GB was funded via an EU FP7 research infrastructure initiative ASSEMBLE grant agreement no. 227799 to carry out the fieldwork and sampling at The Sven Loven Centre for Marine Sciences (Kristineberg). This work was partially funded by the EU Network of Excellence, Marine Genomics Europe. OOM was funded by an EMBO postdoctoral fellowship; SD by the Linnaeus Centre for Marine Evolutionary Biology at the University of Gothenburg (http://www.cemeb.science.gu.se), and supported by a Linnaeus-grant from the Swedish Research Councils VR and Formas. Also supported by funds to MT from Swedish Research Council VR and the Royal Swedish Academy of Sciences.[RH]</t>
  </si>
  <si>
    <t>0022-0981</t>
  </si>
  <si>
    <t>1879-1697</t>
  </si>
  <si>
    <t>J EXP MAR BIOL ECOL</t>
  </si>
  <si>
    <t>J. Exp. Mar. Biol. Ecol.</t>
  </si>
  <si>
    <t>FEB 10</t>
  </si>
  <si>
    <t>10.1016/j.jembe.2011.12.001</t>
  </si>
  <si>
    <t>Ecology; Marine &amp; Freshwater Biology</t>
  </si>
  <si>
    <t>902IJ</t>
  </si>
  <si>
    <t>WOS:000301031500016</t>
  </si>
  <si>
    <t>Sian, KC; Fang, TC; Cun, STW; Ling, FL</t>
  </si>
  <si>
    <t>Sian, Kuan Chee; Fang, Tien Chung; Cun, See Too Wei; Ling, Few Ling</t>
  </si>
  <si>
    <t>Sequence analysis and homology modeling of glyceraldehyde-3-phosphate dehydrogenase of an antarctic psychrophilic Pseudomonas sp.</t>
  </si>
  <si>
    <t>AFRICAN JOURNAL OF MICROBIOLOGY RESEARCH</t>
  </si>
  <si>
    <t>Cold adaptation; glyceraldehydes-3-phosphate dehydrogenase; psychrophilic Pseudomonas; homology modeling</t>
  </si>
  <si>
    <t>PROTEIN SECONDARY STRUCTURE; AMINO-ACID-SEQUENCE; STRUCTURE PREDICTION; D-GLYCERALDEHYDE-3-PHOSPHATE DEHYDROGENASE; ANGSTROM RESOLUTION; SPLINKERETTE PCR; BINDING DOMAINS; COLD ADAPTATION; SWISS-MODEL; NAD-BINDING</t>
  </si>
  <si>
    <t>Psychrophiles are organisms that thrive in cold environments and one of the cold adaptation strategies is the ability to synthesize cold-adapted enzymes. In this work, we analyzed and compared the amino acid sequence of glyceraldehydes-3-phosphate dehydrogenase (GAPDH) of an Antarctic bacterium, Pseudomonas sp. pi 9, to its mesophilic and thermophilic counterparts. GAPDH of Pseudomonas sp. pi 9 has higher compositions of cysteine, glutamine, serine and lower compositions of glutamic acid, lysine and valine when compared to the GAPDHs of mesophiles and thermophiles. In addition, tiny and small amino acids are also preferred by this psychrophilic bacterium. However, the aliphatic, charged, basic and acidic amino acid groups were avoided. A homology model of the Pseudomonas sp. pi 9 GAPDH is also presented in this report. The model could serve as a hypothetical psychrophilic GAPDH structure for further investigation into domains that showed deviations from the known mesophilic and thermophilic GAPDH structures.</t>
  </si>
  <si>
    <t>[Sian, Kuan Chee; Fang, Tien Chung; Cun, See Too Wei; Ling, Few Ling] Univ Sains Malaysia, Sch Hlth Sci, Kubang Kerian 16150, Kelantan, Malaysia</t>
  </si>
  <si>
    <t>Universiti Sains Malaysia</t>
  </si>
  <si>
    <t>Ling, FL (corresponding author), Univ Sains Malaysia, Sch Hlth Sci, Hlth Campus, Kubang Kerian 16150, Kelantan, Malaysia.</t>
  </si>
  <si>
    <t>fewling@kck.usm.my</t>
  </si>
  <si>
    <t>Too, Wei Cun See/C-9382-2016; Few, Ling Ling/E-1964-2012</t>
  </si>
  <si>
    <t>Fundamental Research Grant Scheme [203/PPSK/6171129]</t>
  </si>
  <si>
    <t>Fundamental Research Grant Scheme</t>
  </si>
  <si>
    <t>We wish to thank Professor Nazalan Najimudin and Dr. Rashidah Abdul Rahim for sharing their Antarctic bacterial isolates with us. This work was supported by Fundamental Research Grant Scheme 203/PPSK/6171129.</t>
  </si>
  <si>
    <t>ACADEMIC JOURNALS</t>
  </si>
  <si>
    <t>VICTORIA ISLAND</t>
  </si>
  <si>
    <t>P O BOX 5170-00200 NAIROBI, VICTORIA ISLAND, LAGOS 73023, NIGERIA</t>
  </si>
  <si>
    <t>1996-0808</t>
  </si>
  <si>
    <t>AFR J MICROBIOL RES</t>
  </si>
  <si>
    <t>Afr. J. Microbiol. Res.</t>
  </si>
  <si>
    <t>FEB 9</t>
  </si>
  <si>
    <t>10.5897/AJMR10.413</t>
  </si>
  <si>
    <t>938ZT</t>
  </si>
  <si>
    <t>WOS:000303773300004</t>
  </si>
  <si>
    <t>Moore, JC; Beaudon, E; Kang, SC; Divine, D; Isaksson, E; Pohjola, VA; van de Wal, RSW</t>
  </si>
  <si>
    <t>Moore, J. C.; Beaudon, E.; Kang, Shichang; Divine, D.; Isaksson, E.; Pohjola, V. A.; van de Wal, R. S. W.</t>
  </si>
  <si>
    <t>Statistical extraction of volcanic sulphate from nonpolar ice cores</t>
  </si>
  <si>
    <t>ATMOSPHERIC CIRCULATION; SNOW PITS; LOMONOSOVFONNA; SVALBARD; RECORD; CAP; ACCUMULATION; EVEREST; SIGNALS; VARIABILITY</t>
  </si>
  <si>
    <t>Ice cores from outside the Greenland and Antarctic ice sheets are difficult to date because of seasonal melting and multiple sources (terrestrial, marine, biogenic and anthropogenic) of sulfates deposited onto the ice. Here we present a method of volcanic sulfate extraction that relies on fitting sulfate profiles to other ion species measured along the cores in moving windows in log space. We verify the method with a well dated section of the Belukha ice core from central Eurasia. There are excellent matches to volcanoes in the preindustrial, and clear extraction of volcanic peaks in the post-1940 period when a simple method based on calcium as a proxy for terrestrial sulfate fails due to anthropogenic sulfate deposition. We then attempt to use the same statistical scheme to locate volcanic sulfate horizons within three ice cores from Svalbard and a core from Mount Everest. Volcanic sulfate is &lt; 5% of the sulfate budget in every core, and differences in eruption signals extracted reflect the large differences in environment between western, northern and central regions of Svalbard. The Lomonosovfonna and Vestfonna cores span about the last 1000 years, with good extraction of volcanic signals, while Holtedahlfonna which extends to about AD1700 appears to lack a clear record. The Mount Everest core allows clean volcanic signal extraction and the core extends back to about AD700, slightly older than a previous flow model has suggested. The method may thus be used to extract historical volcanic records from a more diverse geographical range than hitherto.</t>
  </si>
  <si>
    <t>[Moore, J. C.] Beijing Normal Univ, Coll Global Change &amp; Earth Syst Sci, Beijing 100875, Peoples R China; [Moore, J. C.; Beaudon, E.] Univ Lapland, Arctic Ctr, FI-96101 Rovaniemi, Finland; [Divine, D.] Univ Tromso, Dept Math &amp; Stat, N-9018 Tromso, Norway; [Isaksson, E.] Norwegian Polar Res Inst, N-9296 Tromso, Norway; [Kang, Shichang] Chinese Acad Sci, Key Lab Tibetan Environm Changes &amp; Land Surface P, Inst Tibetan Plateau Res, Beijing 100085, Peoples R China; [Moore, J. C.; Pohjola, V. A.] Uppsala Univ, Dept Earth Sci, SE-75236 Uppsala, Sweden; [van de Wal, R. S. W.] Univ Utrecht, Inst Marine &amp; Atmospher Res, NL-3508 TA Utrecht, Netherlands; [Kang, Shichang] Chinese Acad Sci, State Key Lab Cryospher Sci, Lanzhou, Peoples R China</t>
  </si>
  <si>
    <t>Beijing Normal University; University of Lapland; UiT The Arctic University of Tromso; Norwegian Polar Institute; Chinese Academy of Sciences; Institute of Tibetan Plateau Research, CAS; Uppsala University; Utrecht University; Chinese Academy of Sciences</t>
  </si>
  <si>
    <t>Moore, JC (corresponding author), Beijing Normal Univ, Coll Global Change &amp; Earth Syst Sci, 19 Xinjiekou Wai St, Beijing 100875, Peoples R China.</t>
  </si>
  <si>
    <t>john.moore.bnu@gmail.com</t>
  </si>
  <si>
    <t>Beaudon, Emilie/AAO-4260-2021; van de wal, roderik/D-1705-2011; Moore, John C/B-2868-2013; Kang, Shichang/I-6830-2018</t>
  </si>
  <si>
    <t>van de wal, roderik/0000-0003-2543-3892; Moore, John C/0000-0001-8271-5787; Kang, Shichang/0000-0003-2115-9005</t>
  </si>
  <si>
    <t>China's National Key Science Program for Global Change Research [2010CB950504, 2010CB951401]; NSFC [41076125]</t>
  </si>
  <si>
    <t>China's National Key Science Program for Global Change Research; NSFC(National Natural Science Foundation of China (NSFC))</t>
  </si>
  <si>
    <t>We thank three anonymous referees and Anja Eichler for constructive comments on the manuscript. This research is partially supported by China's National Key Science Program for Global Change Research (2010CB950504 and 2010CB951401) and NSFC 41076125.</t>
  </si>
  <si>
    <t>D03306</t>
  </si>
  <si>
    <t>10.1029/2011JD016592</t>
  </si>
  <si>
    <t>891QJ</t>
  </si>
  <si>
    <t>WOS:000300231400007</t>
  </si>
  <si>
    <t>Kearney, R; Farebrother, G</t>
  </si>
  <si>
    <t>Kearney, Robert; Farebrother, Graham</t>
  </si>
  <si>
    <t>Expand Australia's sustainable fisheries</t>
  </si>
  <si>
    <t>[Kearney, Robert] Univ Canberra, Canberra, ACT 2601, Australia; [Farebrother, Graham] Univ Tasmania, Inst Marine &amp; Antarctic Studies, Hobart, Tas 7001, Australia</t>
  </si>
  <si>
    <t>University of Canberra; University of Tasmania</t>
  </si>
  <si>
    <t>Kearney, R (corresponding author), Univ Canberra, Canberra, ACT 2601, Australia.</t>
  </si>
  <si>
    <t>bob.kearney@canberra.edu.au</t>
  </si>
  <si>
    <t>10.1038/482162c</t>
  </si>
  <si>
    <t>888HI</t>
  </si>
  <si>
    <t>WOS:000299994100020</t>
  </si>
  <si>
    <t>Vaughan, APM; Eagles, G; Flowerdew, MJ</t>
  </si>
  <si>
    <t>Vaughan, Alan P. M.; Eagles, Graeme; Flowerdew, Michael J.</t>
  </si>
  <si>
    <t>Evidence for a two-phase Palmer Land event from crosscutting structural relationships and emplacement timing of the Lassiter Coast Intrusive Suite, Antarctic Peninsula: Implications for mid-Cretaceous Southern Ocean plate configuration</t>
  </si>
  <si>
    <t>TECTONICS</t>
  </si>
  <si>
    <t>EASTERN ELLSWORTH LAND; MESOZOIC FORE-ARC; SHEAR ZONE; ALEXANDER-ISLAND; TECTONIC EVOLUTION; PACIFIC MARGIN; LATADY BASIN; GRAHAM LAND; DEFORMATION; GONDWANA</t>
  </si>
  <si>
    <t>New analysis of the relationships between geological structural data and radiometric ages for the Lassiter Coast Intrusive Suite indicate that the collisional mid-Cretaceous Palmer Land Event orogeny in the Antarctic Peninsula has had two kinematic phases, forming an intersection orocline, one of which can be related to Cretaceous Southern Ocean plate motions. Both are compressional phases along the Eastern Palmer Land Shear Zone: Phase 1 occurred at similar to 107 Ma with a principal paleostrain axis of 341 degrees, and is best expressed in southern Palmer Land although evident elsewhere on the Antarctic Peninsula; Phase 2 occurred at similar to 103 Ma with a principal paleostrain axis of 259.5 degrees, but is confined to between 68 degrees S and 74 degrees S. A peak in Lassiter Coast Intrusive Suite magma emplacement rate was coeval with Phase 1, whereas Phase 2 may have coincided with a lull. During Phase 1, the allochthonous Central and Western Domain terranes may have been transported to the Gondwana margin, represented by the para-autochthonous Eastern Domain, on board the Phoenix plate or on board the South American plate. The variable provenance indicators from the Central and Western terranes can be cited to support either, or a combination, of these scenarios. The convergence direction evident from Phase 2 structures cannot easily be reproduced in regional plate kinematic models. This, and the localized evidence for superposition of Phase 2 structures on Phase 1 structures suggests that Phase 2 is unlikely to have occurred solely in response to changes in the kinematics of the large plates considered.</t>
  </si>
  <si>
    <t>[Vaughan, Alan P. M.; Flowerdew, Michael J.] British Antarctic Survey, Cambridge CB3 0ET, England; [Eagles, Graeme] Univ London, Dept Earth Sci, Egham TW20 0EX, Surrey, England</t>
  </si>
  <si>
    <t>UK Research &amp; Innovation (UKRI); Natural Environment Research Council (NERC); NERC British Antarctic Survey; University of London; Royal Holloway University London</t>
  </si>
  <si>
    <t>Vaughan, APM (corresponding author), British Antarctic Survey, Madingley Rd, Cambridge CB3 0ET, England.</t>
  </si>
  <si>
    <t>alan.vaughan@bas.ac.uk; g.eagles@es.rhul.ac.uk</t>
  </si>
  <si>
    <t>Vaughan, Alan PM/B-7829-2010</t>
  </si>
  <si>
    <t>Flowerdew, Michael/0000-0002-9710-2593; Eagles, Graeme/0000-0001-5325-0810</t>
  </si>
  <si>
    <t>British Antarctic Survey Polar Science for Planet Earth as part of the Continental Interiors; NERC [bas0100026] Funding Source: UKRI; Natural Environment Research Council [bas0100026] Funding Source: researchfish</t>
  </si>
  <si>
    <t>British Antarctic Survey Polar Science for Planet Earth as part of the Continental Interiors; NERC(UK Research &amp; Innovation (UKRI)Natural Environment Research Council (NERC)); Natural Environment Research Council(UK Research &amp; Innovation (UKRI)Natural Environment Research Council (NERC))</t>
  </si>
  <si>
    <t>This research was funded from British Antarctic Survey Polar Science for Planet Earth core funds as part of the Continental Interiors and LTMS work packages of the Environmental Change and Evolution program. A. P. M. V. would like to thank BAS operations and logistics staff for support while in the field. G. E. thanks Royal Holloway, University of London, for funding. The authors would like to thank Dave Barbeau and Christine Siddoway for insightful and very constructive reviews and would also like to thank the Editor, Onno Oncken, for his assistance.</t>
  </si>
  <si>
    <t>0278-7407</t>
  </si>
  <si>
    <t>1944-9194</t>
  </si>
  <si>
    <t>Tectonics</t>
  </si>
  <si>
    <t>TC1010</t>
  </si>
  <si>
    <t>10.1029/2011TC003006</t>
  </si>
  <si>
    <t>891SL</t>
  </si>
  <si>
    <t>WOS:000300236800003</t>
  </si>
  <si>
    <t>Cabrerizo, A; Dachs, J; Barceló, D; Jonest, KC</t>
  </si>
  <si>
    <t>Cabrerizo, Ana; Dachs, Jordi; Barcelo, Damia; Jonest, Kevin C.</t>
  </si>
  <si>
    <t>Influence of Organic Matter Content and Human Activities on the Occurrence of Organic Pollutants in Antarctic Soils, Lichens, Grass, and Mosses</t>
  </si>
  <si>
    <t>POLYCYCLIC AROMATIC-HYDROCARBONS; KING GEORGE ISLAND; POLYCHLORINATED-BIPHENYLS; ORGANOCHLORINE PESTICIDES; ADELIE PENGUIN; VICTORIA-LAND; PAHS; PCBS; CONTAMINATION; ATMOSPHERE</t>
  </si>
  <si>
    <t>Banned pesticides such as HCB and p,p'-DDE, and other legacy and ongoing pollutants such as PCBs and PAHs, were measured in different vegetation types and soil samples collected at selected areas from Antarctic Peninsula (Deception and Livingstone Islands, Southern Shetlands). Two Antarctic expeditions (in 2005 and 2009) were carried Out to assess POPs levels at remote areas, and close to current and abandoned Antarctic research settlements, to assess potential sources of pollutants. Overall, the patterns in lichens, mosses, and grass were dominated by low molecular PCB congeners and PAHs and the presence of HCB and p,p'-DDE rather than heavier compounds, suggesting the importance of long-range atmospheric transport of POPs as the main vector for the introduction of these chemicals to Antarctica. Statistically significant correlations (p-level &lt; 0.05) between concentrations in vegetation of PCBs, p,p'-DDE, and the more volatile PAHs with lipid content were found with r(2) of 0.22-0.52 for PCBs, 0.42 for p,p'-DDE, and 0.44-0.72 for the more volatile PAHs. Thus, lipid content is an important factor controlling POPs in Antarctic lichens, mosses, and grass. A strong significant dependence of HCB (r(2) = 0.83), p,p'-DDE (r(2) = 0.60), and PCBs (r(2) = 0.36-0.47) concentrations in soil on its organic carbon content was also observed, indicating the important role of soil organic matter (SOM) in the retention of PCBs and OCPs in Polar Regions, where SOM content is low. Penguin colonies enhance the SOM content in some areas which is reflected in higher concentrations of all POPs, especially of persistent compounds such as DDE. Higher concentrations of PCBs and PAT-is found at the currently active Byers Camp (in an Antarctic Specially Protected Area) were explained by higher SOM content, thus indicating that Antarctic regulations are being successfully fulfilled in this small research area. On the other hand, PAHs in soils proximate to current Juan Carlos I research station show that even small human settlements are an important source of PAHs to the local environment. Therefore, even though the concentrations in Antarctica are low, there is evidence of local hotspots of contamination.</t>
  </si>
  <si>
    <t>[Cabrerizo, Ana; Dachs, Jordi; Barcelo, Damia] IDAEA CSIC, Dept Environm Chem, Barcelona 08034, Catalonia, Spain; [Jonest, Kevin C.] Univ Lancaster, Lancaster Environm Ctr, Lancaster LA1 4YQ, England</t>
  </si>
  <si>
    <t>Consejo Superior de Investigaciones Cientificas (CSIC); CSIC - Centro de Investigacion y Desarrollo Pascual Vila (CID-CSIC); CSIC - Instituto de Diagnostico Ambiental y Estudios del Agua (IDAEA); Lancaster University</t>
  </si>
  <si>
    <t>Cabrerizo, A (corresponding author), IDAEA CSIC, Dept Environm Chem, Jordi Girona 18-26, Barcelona 08034, Catalonia, Spain.</t>
  </si>
  <si>
    <t>ana.cabrerizo@idaea.csic.es; jordi.dachs@idaea.csic.es</t>
  </si>
  <si>
    <t>Jones, Kevin C/F-4296-2014; Cabrerizo, Ana/AAA-9050-2020; Cabrerizo, Ana/D-8256-2018</t>
  </si>
  <si>
    <t>Cabrerizo, Ana/0000-0002-5933-1483; Jones, Kevin Christopher/0000-0001-7108-9776; Dachs, Jordi/0000-0002-4237-169X</t>
  </si>
  <si>
    <t>Spanish Ministry of Science and Innovation through ATOS; Spanish Ministry of Science and Innovation; UTM; Natural Environment Research Council [ceh010010] Funding Source: researchfish</t>
  </si>
  <si>
    <t>Spanish Ministry of Science and Innovation through ATOS; Spanish Ministry of Science and Innovation(Spanish Government); UTM; Natural Environment Research Council(UK Research &amp; Innovation (UKRI)Natural Environment Research Council (NERC))</t>
  </si>
  <si>
    <t>This research project was funded by the Spanish Ministry of Science and Innovation through the ATOS project as part of the International Polar Year activities. We thank support staff at Juan Carlos I research station, especially UTM staff. We thank Hector Garrido (CSIC) for providing the TOC photograph and assistance during sampling. Personnel from R/V Las Palmas are also acknowledged for their help during the sampling. A.C. also acknowledges a Ph.D. predoctoral fellowship from the Spanish Ministry of Science and Innovation.</t>
  </si>
  <si>
    <t>FEB 7</t>
  </si>
  <si>
    <t>10.1021/es203425b</t>
  </si>
  <si>
    <t>886OT</t>
  </si>
  <si>
    <t>WOS:000299864400017</t>
  </si>
  <si>
    <t>Lanci, L; Delmonte, B; Kent, DV; Maggi, V; Biscaye, PE; Petit, JR</t>
  </si>
  <si>
    <t>Lanci, L.; Delmonte, B.; Kent, D. V.; Maggi, V.; Biscaye, P. E.; Petit, J. -R.</t>
  </si>
  <si>
    <t>Magnetization of polar ice: a measurement of terrestrial dust and extraterrestrial fallout</t>
  </si>
  <si>
    <t>Rock-magnetism; Ice cores; Atmospheric dust; Meteoric smoke; Micrometeorites</t>
  </si>
  <si>
    <t>ISOTHERMAL REMANENT MAGNETIZATION; PAST 800,000 YEARS; ANTARCTIC ICE; DOME-C; EAST ANTARCTICA; GREENLAND ICE; ACCRETION RATE; MINERAL DUST; AEOLIAN DUST; COSMIC DUST</t>
  </si>
  <si>
    <t>Laboratory-induced remanent magnetization of polar ice constitutes a measurement of the magnetization carried by the ferromagnetic dust particles in the ice. This non-destructive technique provides a novel kind of information on the dust deposited on the surface of polar ice sheets. Measurements made on ice samples from Greenland (North GRIP ice core) and Antarctica (Vostok and EPICA-Dome C ice cores) allowed the recognition of a fraction of magnetic minerals in ice whose concentration and magnetic properties are directly related to that of insoluble dust. The source of this fraction of magnetic minerals thus appears closely related to terrestrial dust transport and deposition and its magnetic properties are informative of the dust provenance areas. The rock-magnetic properties of the dust may reflect distinct, changes of dust source areas from glacial to interglacial periods in agreement with and adding further information to the isotopic (Sr-87/Sr-86 and Nd-143/Nd-144) analyses. A second magnetic fraction consists of particles of nanometric size, which are superparamagnetic at freezer temperature and whose concentration is independent of the mass of aerosol dust found in the ice. The source of these nanometric-sized magnetic particles is ascribed to fallout of meteoric smoke and their concentration in ice was found to be compatible with the extraterrestrial fallout inferred from Ir concentrations. The diameter of the smoke particles as inferred from magnetic measurements is in the range of about 7-20 nm. (C) 2011 Elsevier Ltd. All rights reserved.</t>
  </si>
  <si>
    <t>[Lanci, L.] Univ Urbino, Dept DISTEVA, I-61029 Urbino, Italy; [Delmonte, B.; Maggi, V.] Univ Milano Bicocca, Dipartimento Sci Ambientali, Milan, Italy; [Kent, D. V.] Rutgers State Univ, Dept Earth &amp; Planetary Sci, Piscataway, NJ USA; [Kent, D. V.; Biscaye, P. E.] Lamont Doherty Earth Observ, Palisades, NY USA; [Petit, J. -R.] Lab Glaciol &amp; Geophys Environm, F-38402 St Martin Dheres, France</t>
  </si>
  <si>
    <t>University of Urbino; University of Milano-Bicocca; Rutgers University System; Rutgers University New Brunswick; Columbia University</t>
  </si>
  <si>
    <t>Lanci, L (corresponding author), Univ Urbino, Dept DISTEVA, I-61029 Urbino, Italy.</t>
  </si>
  <si>
    <t>luca.lanci@uniurb.it</t>
  </si>
  <si>
    <t>Maggi, Valter/AAX-5728-2020; Maggi, Valter/E-1878-2014; Delmonte, Barbara/L-2555-2015; Lanci, Luca/J-8823-2015</t>
  </si>
  <si>
    <t>Maggi, Valter/0000-0001-6287-1213; Delmonte, Barbara/0000-0002-9074-2061; Lanci, Luca/0000-0002-3389-6371; Kent, Dennis/0000-0002-7677-2993</t>
  </si>
  <si>
    <t>Office of Polar Programs of the U.S. National Science Foundation</t>
  </si>
  <si>
    <t>This work is a contribution to the PRIN 2009 research project Variability and geographic provenance of eolian dust in Antarctica during the late Quaternary: a multi-parametric approach with the use of cutting-edge techniques. This research was initiated by support from grants (to LL, DK and PB) from the Office of Polar Programs of the U.S. National Science Foundation. The paper benefited of the suggestions from two anonymous reviewers. Lamont-Doherty Earth Observatory Contribution Nr. 7513.</t>
  </si>
  <si>
    <t>FEB 6</t>
  </si>
  <si>
    <t>10.1016/j.quascirev.2011.11.023</t>
  </si>
  <si>
    <t>900XY</t>
  </si>
  <si>
    <t>WOS:000300926700003</t>
  </si>
  <si>
    <t>Zidarova, R; Kopalová, K; Van De Vijver, B</t>
  </si>
  <si>
    <t>Zidarova, Ralitsa; Kopalova, Katerina; Van De Vijver, Bart</t>
  </si>
  <si>
    <t>The genus Pinnularia (Bacillariophyta) excluding the section Distantes on Livingston Island (South Shetland Islands) with the description of twelve new taxa</t>
  </si>
  <si>
    <t>Bacillariophyta; Pinnularia; new species; Byers Peninsula; Hurd Peninsula; Maritime Antarctic Region; morphology</t>
  </si>
  <si>
    <t>WATER DIATOM COMMUNITIES; STROMNESS BAY AREA; FRESH-WATER; SPINE-BEARING; FLORA; REVISION</t>
  </si>
  <si>
    <t>During the ongoing revision of the non-marine diatom flora of Livingston Island (South Shetland Islands, Maritime Antarctic Region) the taxonomy and morphology of all Pinnularia taxa, excluding the section Distantes, present in the samples from Livingston Island, have been analysed. Seventeen different Pinnularia taxa have been recorded. Apart from those previously described from the Antarctic Region (P. subcapitata var. elongata, P. gemella, P. austroshetlandica) and the Andes (P. strictissima), thirteen unknown taxa have been found. Based on their unique morphological features, twelve are described as new in this paper: P. australodivergens sp. nov., P. australoglobiceps sp. nov., P. australomicrostauron sp. nov., P. australoschoenfelderi sp. nov., P. hamiltonii sp. nov., P. livingstonensis sp. nov., P. magnifica sp. nov., P. microstauroides sp. nov., P. pseudolaucensis sp. nov., P. sergiplaiana sp. nov., P. subcarteri sp. nov. and P. subaltiplanensis sp. nov. For one, only a few specimens have been found and at present they cannot be identified with 100% certainty.</t>
  </si>
  <si>
    <t>[Zidarova, Ralitsa] St Kliment Ohridski Univ Sofia, Fac Biol, Dept Bot, Sofia 1164, Bulgaria; [Zidarova, Ralitsa] Natl Bot Garden Belgium, Dept Bryophyta &amp; Thallophyta, B-1860 Domein Van Bouchout, Meise, Belgium; [Kopalova, Katerina] Charles Univ Prague, Fac Sci, Dept Ecol, CR-12844 Prague 2, Czech Republic</t>
  </si>
  <si>
    <t>University of Sofia; Charles University Prague</t>
  </si>
  <si>
    <t>Van De Vijver, B (corresponding author), Natl Bot Garden Belgium, Dept Bryophyta &amp; Thallophyta, B-1860 Domein Van Bouchout, Meise, Belgium.</t>
  </si>
  <si>
    <t>ralliez@abv.bg; k.kopalova@hotmail.com; vandevijver@br.fgov.be</t>
  </si>
  <si>
    <t>Zidarova, Ralitsa/I-3793-2017; Kopalová, Kateřina/H-1598-2014; Kopalova, Katerina/M-6207-2017</t>
  </si>
  <si>
    <t>Zidarova, Ralitsa/0000-0002-6451-0099; Kopalova, Katerina/0000-0002-7905-4268</t>
  </si>
  <si>
    <t>Ministerio de Ciencia y Tecnologia, Spain [POL2006-06635]; FWO [G.0533.07]; WETLANET</t>
  </si>
  <si>
    <t>Ministerio de Ciencia y Tecnologia, Spain(Spanish Government); FWO(FWO); WETLANET</t>
  </si>
  <si>
    <t>The authors wish to thank the participants of the January 2009 Byers Peninsula expedition for their assistance during the fieldwork. Samples on Byers Peninsula were taken in the framework of the IPY-Limnopolar Project POL2006-06635 (Ministerio de Ciencia y Tecnologia, Spain). Sampling on Hurd Peninsula was made possible within the support of the Bulgarian Antarctic Institute and MOEW. Part of this research was funded within the FWO project G.0533.07 and by the WETLANET project. Ditmar Metzeltin is thanked for his valuable comments on several unknown species. Mrs. K. Kopalova benefited from an Erasmus grant during her stay in Belgium.</t>
  </si>
  <si>
    <t>1179-3163</t>
  </si>
  <si>
    <t>10.11646/phytotaxa.44.1.2</t>
  </si>
  <si>
    <t>901CM</t>
  </si>
  <si>
    <t>WOS:000300939300002</t>
  </si>
  <si>
    <t>Channell, JET; Hodell, DA; Curtis, JH</t>
  </si>
  <si>
    <t>Channell, J. E. T.; Hodell, D. A.; Curtis, J. H.</t>
  </si>
  <si>
    <t>ODP Site 1063 (Bermuda Rise) revisited: Oxygen isotopes, excursions and paleointensity in the Brunhes Chron</t>
  </si>
  <si>
    <t>GEOCHEMISTRY GEOPHYSICS GEOSYSTEMS</t>
  </si>
  <si>
    <t>ODP Site 1063; excursions; paleointensity; stable isotopes</t>
  </si>
  <si>
    <t>GEOMAGNETIC-FIELD INTENSITY; ANTARCTIC SOUTH ATLANTIC; PRINGLE FALLS EXCURSION; WESTERN NORTH-ATLANTIC; PALEOMAGNETIC RECORD; POLARITY EPISODE; ICELAND BASIN; RELATIVE PALEOINTENSITY; SECULAR VARIATION; PISTON CORES</t>
  </si>
  <si>
    <t>An age model for the Brunhes Chron of Ocean Drilling Program (ODP) Site 1063 (Bermuda Rise) is constructed by tandem correlation of oxygen isotope and relative paleointensity data to calibrated reference templates. Four intervals in the Brunhes Chron where paleomagnetic inclinations are negative for both u-channel samples and discrete samples are correlated to the following magnetic excursions with Site 1063 ages in brackets: Laschamp (41 ka), Blake (116 ka), Iceland Basin (190 ka), Pringle Falls (239 ka). These ages are consistent with current age estimates for three of these excursions, but not for Pringle Falls which has an apparent age older than a recently published estimate by similar to 28 kyr. For each of these excursions (termed Category 1 excursions), virtual geomagnetic poles (VGPs) reach high southerly latitudes implying paired polarity reversals of the Earth's main dipole field, that apparently occurred in a brief time span (&lt;2 kyr in each case), several times shorter than the apparent duration of regular polarity transitions. In addition, several intervals of low paleomagnetic inclination (low and negative in one case) are observed both in u-channel and discrete samples at similar to 318 ka (MIS 9), similar to 412 ka (MIS 11) and in the 500-600 ka interval (MIS 14-15). These Category 2 excursions may constitute inadequately recorded (Category 1) excursions, or high amplitude secular variation.</t>
  </si>
  <si>
    <t>[Channell, J. E. T.; Curtis, J. H.] Univ Florida, Dept Geol Sci, Gainesville, FL 32611 USA; [Hodell, D. A.] Univ Cambridge, Dept Earth Sci, Cambridge CB2 3EQ, England</t>
  </si>
  <si>
    <t>State University System of Florida; University of Florida; University of Cambridge</t>
  </si>
  <si>
    <t>Channell, JET (corresponding author), Univ Florida, Dept Geol Sci, Gainesville, FL 32611 USA.</t>
  </si>
  <si>
    <t>jetc@ufl.edu; dah73@cam.ac.uk; curtisj@ufl.edu</t>
  </si>
  <si>
    <t>Hodell, David/0000-0001-8537-1588</t>
  </si>
  <si>
    <t>U.S. National Science Foundation [OCE-0850413, OCE-1014506]; Division Of Earth Sciences; Directorate For Geosciences [1014506] Funding Source: National Science Foundation; Division Of Ocean Sciences; Directorate For Geosciences [0850413] Funding Source: National Science Foundation; Natural Environment Research Council [NE/H009930/1] Funding Source: researchfish; NERC [NE/H009930/1] Funding Source: UKRI</t>
  </si>
  <si>
    <t>U.S. National Science Foundation(National Science Foundation (NSF)); Division Of Earth Sciences; Directorate For Geosciences(National Science Foundation (NSF)NSF - Directorate for Geosciences (GEO)); Division Of Ocean Sciences;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</si>
  <si>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We thank K. Huang for assistance in the UF paleomagnetic laboratory, G. Browne for help with oxygen isotope measurements, D. Lee for help with age models, and A. Wulbers and W. Hale for their help at the IODP Bremen Core Repository. C. Laj and A. Roberts provided reviews that improved the manuscript. This research was supported by U.S. National Science Foundation grants OCE-0850413 and OCE-1014506 to J.C.</t>
  </si>
  <si>
    <t>1525-2027</t>
  </si>
  <si>
    <t>GEOCHEM GEOPHY GEOSY</t>
  </si>
  <si>
    <t>Geochem. Geophys. Geosyst.</t>
  </si>
  <si>
    <t>FEB 3</t>
  </si>
  <si>
    <t>Q02001</t>
  </si>
  <si>
    <t>10.1029/2011GC003897</t>
  </si>
  <si>
    <t>888GD</t>
  </si>
  <si>
    <t>WOS:000299990900001</t>
  </si>
  <si>
    <t>Kanner, LC; Burns, SJ; Cheng, H; Edwards, RL</t>
  </si>
  <si>
    <t>Kanner, Lisa C.; Burns, Stephen J.; Cheng, Hai; Edwards, R. Lawrence</t>
  </si>
  <si>
    <t>High-Latitude Forcing of the South American Summer Monsoon During the Last Glacial</t>
  </si>
  <si>
    <t>CLIMATE VARIABILITY; MILLENNIAL-SCALE; ATMOSPHERIC CH4; STABLE-ISOTOPES; ATLANTIC-OCEAN; GREENLAND; PRECIPITATION; ANTARCTICA; DELTA-O-18</t>
  </si>
  <si>
    <t>The climate of the Last Glacial period (10,000 to 110,000 years ago) was characterized by rapid millennial-scale climate fluctuations termed Dansgaard/Oeschger (D/O) and Heinrich events. We present results from a speleothem-derived proxy of the South American summer monsoon (SASM) from 16,000 to 50,000 years ago that demonstrate the occurrence of D/O cycles and Heinrich events. This tropical Southern Hemisphere monsoon reconstruction illustrates an antiphase relationship to Northern Hemisphere monsoon intensity at the millennial scale. Our results also show an influence of Antarctic millennial-scale climate fluctuations on the SASM. This high-resolution, precisely dated, tropical precipitation record can be used to establish the timing of climate events in the high latitudes of the Northern and Southern Hemispheres.</t>
  </si>
  <si>
    <t>[Kanner, Lisa C.; Burns, Stephen J.] Univ Massachusetts, Dept Geosci, Amherst, MA 01002 USA; [Cheng, Hai] Xi An Jiao Tong Univ, Inst Global Environm Change, Xian 710049, Peoples R China; [Cheng, Hai; Edwards, R. Lawrence] Univ Minnesota, Dept Geol &amp; Geophys, Minneapolis, MN 55455 USA</t>
  </si>
  <si>
    <t>University of Massachusetts System; University of Massachusetts Amherst; Xi'an Jiaotong University; University of Minnesota System; University of Minnesota Twin Cities</t>
  </si>
  <si>
    <t>Kanner, LC (corresponding author), Univ Massachusetts, Dept Geosci, Amherst, MA 01002 USA.</t>
  </si>
  <si>
    <t>lkanner@geo.umass.edu</t>
  </si>
  <si>
    <t>Edwards, R. Lawrence/I-3124-2014; Burns, Stephen J/H-9419-2013; Edwards, Richard/JAX-3732-2023; CHENG, HAI/H-3413-2017</t>
  </si>
  <si>
    <t>CHENG, HAI/0000-0002-5305-9458</t>
  </si>
  <si>
    <t>NSF [ATM-1003466, 0502535, 1103403]; Geological Society of America [9308-10]; Directorate For Geosciences; Div Atmospheric &amp; Geospace Sciences [1003466] Funding Source: National Science Foundation; Div Atmospheric &amp; Geospace Sciences; Directorate For Geosciences [1103403] Funding Source: National Science Foundation</t>
  </si>
  <si>
    <t>NSF(National Science Foundation (NSF)); Geological Society of America; Directorate For Geosciences; Div Atmospheric &amp; Geospace Sciences(National Science Foundation (NSF)NSF - Directorate for Geosciences (GEO)); Div Atmospheric &amp; Geospace Sciences; Directorate For Geosciences(National Science Foundation (NSF)NSF - Directorate for Geosciences (GEO))</t>
  </si>
  <si>
    <t>This work is supported by NSF grant ATM-1003466 to S.J.B., NSF grants 0502535 and 1103403 to R. L. E. and H. C., and Geological Society of America Student Award 9308-10 to L. C. K. We thank C. Morales-Bermudez for his invaluable assistance in the field. Comments from two anonymous reviewers substantially improved the manuscript. The data in this paper are tabulated in the supporting online material and are archived online at ftp://ftp.ncdc.noaa.gov/pub/data/paleo.</t>
  </si>
  <si>
    <t>10.1126/science.1213397</t>
  </si>
  <si>
    <t>885HI</t>
  </si>
  <si>
    <t>WOS:000299769200040</t>
  </si>
  <si>
    <t>Katsuki, K; Ikehara, M; Yokoyama, Y; Yamane, M; Khim, BK</t>
  </si>
  <si>
    <t>Katsuki, Kota; Ikehara, Minoru; Yokoyama, Yusuke; Yamane, Masako; Khim, Boo-Keun</t>
  </si>
  <si>
    <t>Holocene migration of oceanic front systems over the Conrad Rise in the Indian Sector of the Southern Ocean</t>
  </si>
  <si>
    <t>JOURNAL OF QUATERNARY SCIENCE</t>
  </si>
  <si>
    <t>Conrad Rise; diatom; Holocene; oceanic front; Southern Ocean</t>
  </si>
  <si>
    <t>MAJOR DIATOM TAXA; LAST GLACIAL MAXIMUM; ANTARCTIC SEA-ICE; ATLANTIC SECTOR; ADELIE LAND; CLIMATE EVOLUTION; SURFACE SEDIMENTS; BIOGEOGRAPHY; VARIABILITY; PENINSULA</t>
  </si>
  <si>
    <t>There has been limited previous research about Holocene climate variability in the Indian Sector of the Southern Ocean. Here we examine centennial-scale changes in diatom assemblages and stable isotopic ratios since 10 000 cal a BP in a high-accumulation-rate sediment core from the Conrad Rise. Although abundances of dominant diatom taxa (Fragilariopsis kerguelensis and Thalassiothrix antarctica) are comparatively constant, relative abundances of secondary taxa fluctuate. Before c. 9900 cal a BP, winter sea-ice and cold water covered the Conrad Rise. Following deglaciation the sea-ice retreated from the Conrad Rise, lagging that of the Atlantic and eastern Indian Sectors by about 1500 a. The Polar Front moved southward during the early Holocene optimum and north Antarctic Zone waters covered the Conrad Rise for about 650 a. After 9300 cal a BP, solar insolation strongly influenced sea surface temperature and primary productivity in the Southern Ocean. In the high-latitude Indian Sector, productivity increased 1500 a after the onset of late Holocene neoglaciation. Periodic delta O-18 and cold-water diatom taxa spikes (at intervals of 200 and 300-500 a, respectively) occurred after 9300 cal a BP, probably associated with solar activity. Fluctuations in short-term sea surface temperature and cold-water taxa are synchronous with changes in delta D observed in an east Antarctic ice core. Copyright (c) 2011 John Wiley &amp; Sons, Ltd.</t>
  </si>
  <si>
    <t>[Katsuki, Kota] Korea Inst Geosci &amp; Mineral Resources, Surficial Environm &amp; Global Change Dept, Taejon 305350, South Korea; [Ikehara, Minoru] Kochi Univ, Ctr Adv Marine Core Res, Kochi, Japan; [Yokoyama, Yusuke; Yamane, Masako] Univ Tokyo, Atmosphere &amp; Ocean Res Inst, Tokyo 1138654, Japan; [Khim, Boo-Keun] Pusan Natl Univ, Dept Oceanog, Pusan, South Korea</t>
  </si>
  <si>
    <t>Korea Institute of Geoscience &amp; Mineral Resources (KIGAM); Kochi University; University of Tokyo; Pusan National University</t>
  </si>
  <si>
    <t>Katsuki, K (corresponding author), Korea Inst Geosci &amp; Mineral Resources, Surficial Environm &amp; Global Change Dept, Taejon 305350, South Korea.</t>
  </si>
  <si>
    <t>kkota@kigam.re.kr</t>
  </si>
  <si>
    <t>Yokoyama, Yusuke/N-9623-2013</t>
  </si>
  <si>
    <t>Ikehara, Minoru/0000-0002-2695-4713; Yamane, Masako/0000-0002-5063-0719</t>
  </si>
  <si>
    <t>MEXT [19340156]; KOPRI project [PP11010]; NEXT program [GR031]; GCOE; Global Environmental Research Fund [RF-081]; [21674003]; [19340158]; [20300294]; Grants-in-Aid for Scientific Research [19340156] Funding Source: KAKEN</t>
  </si>
  <si>
    <t>MEXT(Ministry of Education, Culture, Sports, Science and Technology, Japan (MEXT)); KOPRI project(Korea Polar Research Institute of Marine Research Placement (KOPRI)); NEXT program(Ministry of Education, Culture, Sports, Science and Technology, Japan (MEXT)Japan Society for the Promotion of Science); GCOE(Ministry of Education, Culture, Sports, Science and Technology, Japan (MEXT)); Global Environmental Research Fund(Ministry of the Environment, Japan); ; ; ; Grants-in-Aid for Scientific Research(Ministry of Education, Culture, Sports, Science and Technology, Japan (MEXT)Japan Society for the Promotion of ScienceGrants-in-Aid for Scientific Research (KAKENHI))</t>
  </si>
  <si>
    <t>We are grateful to chief scientist Dr Y. Nogi (National Institute of Polar Research), and the captain, crew, scientists and students of Cruise KH07-04 onboard R/V Hakuho-Maru in 2008. We also appreciate the analytical assistance provided by M. Kobayashi. Financial support from MEXT Grants-in-Aid-for Scientific Research (B), Project No. 19340156 (to M. Ikehara) and the KOPRI project (PP11010 to B.K. Khim) is gratefully acknowledged. Y. Yokoyama's work was partly supported by Grants-in-Aid for Scientific Research Project Nos. 21674003, 19340158 and 20300294; NEXT program (GR031); GCOE; and Global Environmental Research Fund RF-081.</t>
  </si>
  <si>
    <t>0267-8179</t>
  </si>
  <si>
    <t>1099-1417</t>
  </si>
  <si>
    <t>J QUATERNARY SCI</t>
  </si>
  <si>
    <t>J. Quat. Sci.</t>
  </si>
  <si>
    <t>FEB</t>
  </si>
  <si>
    <t>10.1002/jqs.1535</t>
  </si>
  <si>
    <t>929JL</t>
  </si>
  <si>
    <t>WOS:000303057300009</t>
  </si>
  <si>
    <t>Haranczyk, H; Pater, L; Nowak, P; Bacior, M; Olech, MA</t>
  </si>
  <si>
    <t>Haranczyk, H.; Pater, L.; Nowak, P.; Bacior, M.; Olech, M. A.</t>
  </si>
  <si>
    <t>Initial Phases of Antarctic Ramalina terebrata Hook f. &amp; Taylor Thalli Rehydration Observed by Proton Relaxometry</t>
  </si>
  <si>
    <t>ACTA PHYSICA POLONICA A</t>
  </si>
  <si>
    <t>46th Zakopane School of Physics International Symposium on Breaking Frontiers - Submicron Structures in Physics and Biology</t>
  </si>
  <si>
    <t>MAY 16-21, 2011</t>
  </si>
  <si>
    <t>Zakopane, POLAND</t>
  </si>
  <si>
    <t>PHOTOSYNTHETIC MEMBRANES; UMBILICARIA-APRINA; WATER RELATIONS; SORPTION; NMR; DESICCATION; RESPIRATION; RELAXATION; LICHENS; ICE</t>
  </si>
  <si>
    <t>Hydration kinetics, sorption isotherm, and proton free induction decays are measured for Ramalima terebrata thalli rehydrated from gaseous phase. Very tightly, tightly, and loosely bound water fractions are distinguished. Sorption isotherm is sigmoidal in form with the mass of water saturating primary water binding sites equal to Delta m/m(0) = 0.046. Proton free induction decays show the presence of immobilized water fraction (T-2L1* approximate to 100 mu s) and mobile water pool (T-2L2* approximate to 330 mu s). Sorption isotherm fitted to the NMR data shows the absence of water fraction sealed in pores of dry thallus.</t>
  </si>
  <si>
    <t>[Haranczyk, H.; Pater, L.; Nowak, P.; Bacior, M.] Jagiellonian Univ, Inst Phys, PL-30059 Krakow, Poland; [Olech, M. A.] Jagiellonian Univ, Inst Bot, PL-31501 Krakow, Poland</t>
  </si>
  <si>
    <t>Jagiellonian University; Jagiellonian University</t>
  </si>
  <si>
    <t>Haranczyk, H (corresponding author), Jagiellonian Univ, Inst Phys, WS Reymonta 4, PL-30059 Krakow, Poland.</t>
  </si>
  <si>
    <t>hubert.haranczyk@uj.edu.pl</t>
  </si>
  <si>
    <t>Nowak, Piotr/AAU-2296-2020; Bacior, Magdalena/JNR-7147-2023</t>
  </si>
  <si>
    <t>Bacior, Magdalena/0000-0003-4615-9458; Nowak, Pawel/0000-0003-2068-7068</t>
  </si>
  <si>
    <t>POLISH ACAD SCIENCES INST PHYSICS</t>
  </si>
  <si>
    <t>WARSAW</t>
  </si>
  <si>
    <t>AL LOTNIKOW 32-46, PL-02-668 WARSAW, POLAND</t>
  </si>
  <si>
    <t>0587-4246</t>
  </si>
  <si>
    <t>1898-794X</t>
  </si>
  <si>
    <t>ACTA PHYS POL A</t>
  </si>
  <si>
    <t>Acta Phys. Pol. A</t>
  </si>
  <si>
    <t>10.12693/APhysPolA.121.480</t>
  </si>
  <si>
    <t>910BN</t>
  </si>
  <si>
    <t>gold</t>
  </si>
  <si>
    <t>WOS:000301612300039</t>
  </si>
  <si>
    <t>Nemirovskaya, IA; Artem'ev, VA</t>
  </si>
  <si>
    <t>Nemirovskaya, I. A.; Artem'ev, V. A.</t>
  </si>
  <si>
    <t>Spatial Variability of Particulate Matter and Organic Compounds in the Indian and Pacific Sectors of the Southern Ocean</t>
  </si>
  <si>
    <t>SATELLITE</t>
  </si>
  <si>
    <t>In the Antarctic zone, integrated studies of particulate matter in surface waters and the snow-ice cover were carried out by means of geochemical (the concentrations of particulate matter, C-org, hydrocarbons, lipids, and chlorophyll a) and optical techniques. Correlations between the treated compounds were found. A regression equation was created that enabled us to evaluate immediately the amount of particulate matter using the parameter of light attenuation by seawater. New data were obtained for the processes of accumulation of particulate matter and organic compounds under ice formation.</t>
  </si>
  <si>
    <t>[Nemirovskaya, I. A.; Artem'ev, V. A.] Russian Acad Sci, PP Shirshov Oceanol Inst, Moscow, Russia</t>
  </si>
  <si>
    <t>Nemirovskaya, IA (corresponding author), Russian Acad Sci, PP Shirshov Oceanol Inst, Moscow, Russia.</t>
  </si>
  <si>
    <t>nemir@ocean.ru</t>
  </si>
  <si>
    <t>Nemirovskaya, Inna/G-2392-2017</t>
  </si>
  <si>
    <t>Presidium of the Russian Academy of Sciences [21, NSh-3714.2010.05]; project Nanoparticles in the Inner and Outer Spheres of the Earth</t>
  </si>
  <si>
    <t>Presidium of the Russian Academy of Sciences(Russian Academy of Sciences); project Nanoparticles in the Inner and Outer Spheres of the Earth</t>
  </si>
  <si>
    <t>This study was supported by the Russian Antarctic Expedition and by Program no. 21 of the Presidium of the Russian Academy of Sciences (NSh-3714.2010.05), and by the project Nanoparticles in the Inner and Outer Spheres of the Earth.</t>
  </si>
  <si>
    <t>10.1134/S1028334X12020262</t>
  </si>
  <si>
    <t>921LY</t>
  </si>
  <si>
    <t>WOS:000302480300026</t>
  </si>
  <si>
    <t>Byeon, HE; Park, BK; Yim, JH; Lee, HK; Moon, EY; Rhee, DK; Pyo, S</t>
  </si>
  <si>
    <t>Byeon, Hye-Eun; Park, Bong-Kyun; Yim, Joung Han; Lee, Hong Kum; Moon, Eun-Yi; Rhee, Dong-Kwon; Pyo, Suhkneung</t>
  </si>
  <si>
    <t>Stereocalpin A inhibits the expression of adhesion molecules in activated vascular smooth muscle cells</t>
  </si>
  <si>
    <t>Stereocalpin A; Inflammation; Cell adhesion molecule; ROS; MAPK; NF-kappa B; Akt</t>
  </si>
  <si>
    <t>NF-KAPPA-B; TUMOR-NECROSIS-FACTOR; ENDOTHELIAL-CELLS; GENE-EXPRESSION; TNF-ALPHA; TRANSCRIPTIONAL REGULATION; INFLAMMATORY CYTOKINES; KINASE; PROMOTER; STRESS</t>
  </si>
  <si>
    <t>Up-regulation of cell adhesion molecules on vascular smooth muscle cells (VSMCs) and leukocyte recruitment to the vascular wall contribute to vascular inflammation and atherosclerosis. Stereocalpin A, a chemical compound of the Antarctic lichen Ramalina terebarata, displays tumoricidal activity against several different tumor cell types. However, other biological activities of stereocalpin A and its molecular mechanisms remain unknown. In this study, our work is directed toward studying the in vitro effects of stereocalpin A on the ability to suppress the expression of adhesion molecules induced by TNF-alpha in vascular smooth muscle cells. Pretreatment of VSMCs for 2 h with stereocalpin A at nontoxic concentrations of 0.1-10 mu g/ml inhibited TNF-alpha-induced adhesion of THP-1 monocytic cells and expression of vascular cell adhesion molecule-1 (VCAM-1) and intercellular adhesion molecule-1 (ICAM-1). Stereocalpin A reduced TNF-alpha-induced production of intracellular reactive oxygen species (ROS) and phosphorylation of p38, ERK, JNK and Akt. Stereocalpin A also inhibited NK-kappa B activation induced by TNF-alpha. Moreover, stereocalpin A inhibited TNF-alpha-induced I kappa B kinase activation, subsequent degradation of I kappa B alpha, and nuclear translocation of NF-kappa B. Hence, we describe a new anti-inflammatory activity and mechanism of stereocalpin A, owing to the negative regulation of TNF-alpha-induced adhesion molecule and MCP-1 expression, monocyte adhesion and ROS production in vascular smooth muscle cells. These results suggest that stereocalpin A has the potential to exert a protective effect by modulating inflammation within the atherosclerotic lesion. (C) 2011 Elsevier B.V. All rights reserved.</t>
  </si>
  <si>
    <t>[Byeon, Hye-Eun; Park, Bong-Kyun; Rhee, Dong-Kwon; Pyo, Suhkneung] Sungkyunkwan Univ, Sch Pharm, Suwon 440746, Kyunggi Do, South Korea; [Yim, Joung Han; Lee, Hong Kum] KORDI, Polar BioCtr, Korea Polar Res Inst, Inchon 406840, South Korea; [Moon, Eun-Yi] Sejong Univ, Dept Biosci &amp; Biotechnol, Seoul 143747, South Korea</t>
  </si>
  <si>
    <t>Sungkyunkwan University (SKKU); Korea Polar Research Institute (KOPRI); Korea Institute of Ocean Science &amp; Technology (KIOST); Sejong University</t>
  </si>
  <si>
    <t>10.1016/j.intimp.2011.11.020</t>
  </si>
  <si>
    <t>924BG</t>
  </si>
  <si>
    <t>WOS:000302665000001</t>
  </si>
  <si>
    <t>Birkeland, PW</t>
  </si>
  <si>
    <t>Birkeland, Peter W.</t>
  </si>
  <si>
    <t>James Bell Benedict 11 November 1938 to 8 March 2011 In Memoriam</t>
  </si>
  <si>
    <t>Biographical-Item</t>
  </si>
  <si>
    <t>Univ Colorado, Dept Geol Sci, Boulder, CO 80309 USA</t>
  </si>
  <si>
    <t>Birkeland, PW (corresponding author), Univ Colorado, Dept Geol Sci, Boulder, CO 80309 USA.</t>
  </si>
  <si>
    <t>918SO</t>
  </si>
  <si>
    <t>WOS:000302271600001</t>
  </si>
  <si>
    <t>Crawford, CJ</t>
  </si>
  <si>
    <t>Crawford, Christopher J.</t>
  </si>
  <si>
    <t>Do High-Elevation Northern Red Oak Tree-Rings Share a Common Climate-Driven Growth Signal?</t>
  </si>
  <si>
    <t>SOUTHEASTERN UNITED-STATES; BLUE-RIDGE MOUNTAINS; RADIAL GROWTH; DISTRIBUTION LIMIT; XYLEM EMBOLISM; TIME-SERIES; WHITE OAK; USA; PRECIPITATION; TEMPERATURE</t>
  </si>
  <si>
    <t>Six open-canopy high-elevation northern red oak (Quercus rubra L.) ring-width records were evaluated along the Southern Appalachian mountain range for a common climate-driven growth signal. Ring-width records show significant correlations over the past two centuries with principal component one (PC-1) accounting for 50% of the common variance. Spectral analysis reveals that the relative variance in ring-width is concentrated at decadal time scales. Ring-width records show positive correlations (p &lt; 0.05) with prior fall early winter and current summer mean temperature, and negative correlations (p &lt; 0.05) with prior late summer-winter total precipitation. Yet, temperature-precipitation covariance along the Southern Appalachian mountain range during winter and summer seasons undergoes a significant reversal with intervening spring and fall seasons showing weak association. As a result, ring-width-climate signal strength exhibits time-dependence over the instrumental period, although the temporal change is not statistically significant. This temporal change suggests that both temperature and precipitation can have a marked influence on ring-width variability depending on the degree of seasonal covariance. Finally, obtaining a stable interannual climate-growth calibration for these particular ring-width records remains a foremost challenge, and is a primary consequence of mixed temperature-precipitation signal strength and little power at higher frequencies.</t>
  </si>
  <si>
    <t>[Crawford, Christopher J.] Univ Minnesota Twin Cities, UMn Ctr Dendrochronol, Minneapolis, MN 55455 USA</t>
  </si>
  <si>
    <t>University of Minnesota System; University of Minnesota Twin Cities</t>
  </si>
  <si>
    <t>Crawford, CJ (corresponding author), Univ Minnesota Twin Cities, Dept Geog, 414 Social Sci Bldg,267 19th Ave S, Minneapolis, MN 55455 USA.</t>
  </si>
  <si>
    <t>crawf188@umn.edu</t>
  </si>
  <si>
    <t>Crawford, Christopher/0000-0002-7145-0709</t>
  </si>
  <si>
    <t>10.1657/1938-4246-44.1.26</t>
  </si>
  <si>
    <t>WOS:000302271600004</t>
  </si>
  <si>
    <t>Dove, A; Heldmann, J; McKay, C; Toon, OB</t>
  </si>
  <si>
    <t>Dove, Adrienne; Heldmann, Jennifer; McKay, Christopher; Toon, Owen B.</t>
  </si>
  <si>
    <t>Physics of a Thick Seasonal Snowpack with Possible Implications for Snow Algae</t>
  </si>
  <si>
    <t>SURFACE-ENERGY EXCHANGES; ALPINE; TEMPERATURES; CLIMATE; BALANCE; REGION; COVER; MODEL; LIFE</t>
  </si>
  <si>
    <t>Instrumentation to study snowpack in situ was deployed in Lassen Volcanic National Park (LVNP), California, in an area of deep seasonal snow accumulation and known snow algal bloom recurrence. included in the instrumentation were 11 temperature sensors, evenly spaced up to 2 m above the ground, which provided (1) temperature data within the snowpack when buried, and (2) estimates of snowpack height during accumulation and ablation periods. Beginning in April, moisture sensors measured a strong increase of snowpack liquid water content to greater than 15% by volume; this high melt content is usually coincident with the start of runoff from the snowpack. Snow depth profiles showed a rapid ablation of the final 2 m of the snowpack over about 23 days beginning in late June. SNTHERM numerical modeling confirmed that solar radiation was the dominant energy term throughout the melt season. By modeling a variety of snowpack parameters, such as albedo and initial snow density, we determined that the date of snow loss is the most sensitive observable that can be used to constrain the modeled parameters. These data sets from LVNP can also be applied to knowledge of snow algae lifecycles in deep snow to help understand whether the availability of light, water, or both controls the onset of snow algae germination at the base of a thick snowpack. Data and modeling indicate that meltwater was present throughout the snowpack beginning in March and runoff is initiated in April, when the snowpack was still several meters deep. However, significant levels of light did not penetrate to the soil until June, when the snow was less than 2 m deep.</t>
  </si>
  <si>
    <t>[Dove, Adrienne; Toon, Owen B.] Atmospher &amp; Space Phys Lab, Boulder, CO 80303 USA; [Heldmann, Jennifer; McKay, Christopher] NASA, Ames Res Ctr, Div Space Sci &amp; Astrobiol, Mountain View, CA 94035 USA</t>
  </si>
  <si>
    <t>Dove, A (corresponding author), Atmospher &amp; Space Phys Lab, 1234 Innovat Dr, Boulder, CO 80303 USA.</t>
  </si>
  <si>
    <t>adrienne.dove@colorado.edu</t>
  </si>
  <si>
    <t>McKay, Christopher/0000-0002-6243-1362</t>
  </si>
  <si>
    <t>This work was funded through the NASA Planetary Geology and Geophysics Program and a NASA Graduate Student Research Program Fellowship. We gratefully acknowledge the machine shop at NASA Ames Research Center for building the equipment stands, Lassen Volcanic National Park for access and permits for the site, Steve Zachary for invaluable help and guidance at the park, and the many field hands who have assisted in data collection over several field seasons. Additionally, we would like to thank the anonymous reviewers for their detailed comments and suggestions, which greatly improved the manuscript.</t>
  </si>
  <si>
    <t>10.1657/1938-4246-44.1.36</t>
  </si>
  <si>
    <t>WOS:000302271600005</t>
  </si>
  <si>
    <t>García-Jurado, F; de Vicente, I; Galotti, A; Reul, A; Jiménez-Gómez, F; Guerrero, F</t>
  </si>
  <si>
    <t>Garcia-Jurado, Fatima; de Vicente, Inmaculada; Galotti, Andrea; Reul, Andreas; Jimenez-Gomez, Francisco; Guerrero, Francisco</t>
  </si>
  <si>
    <t>Effect of Drought Conditions on Plankton Community and on Nutrient Availability in an Oligotrophic High Mountain Lake</t>
  </si>
  <si>
    <t>NORTH-ATLANTIC OSCILLATION; WATER-LEVEL FLUCTUATIONS; SIERRA-NEVADA; SOLAR-RADIATION; ALPINE LAKE; PHYTOPLANKTON COMMUNITY; BIOMASS DISTRIBUTION; HEXARTHRA-BULGARICA; PLANT-COMMUNITIES; ALGAL CONTROL</t>
  </si>
  <si>
    <t>Natural water level fluctuations (WLFs) are an inherent characteristic of Mediterranean inland waters, which are projected to be amplified by global climate change. La Caldera (Sierra Nevada National Park, Spain) is an oligotrophic high mountain lake (3050 m a.s.l.) that has experienced large fluctuations in water volume (13-100%) during the past 20 years due to irregular annual precipitation patterns (371-1816 mm). Because of the lake's cold and dilute abiotic environment, it is likely susceptible to projected increases in global temperature and represents an ideal sentinel of global change. We analyze the effect of WLFs on water quality and on plankton community in La Caldera to better understand the potential effects of recurrent droughts (3 droughts in a 20-year period) on lake ecology. We have found significantly positive effects of WLFs on total phosphorus (TP) concentrations. There was extreme variability in TP concentrations during three recurrent droughts (1995, 1999, and 2005) reflecting sediment resuspension. However, the data also suggest that this was not the only source of phosphorus. Extremely high P-enriched atmospheric dust inputs could have maintained the abnormally high TP in-lake concentrations measured during 2005. The data indicate that recurrent droughts have reduced lake resistance to TP changes but have increased lake resistance to total nitrogen (TN) changes, which supports the idea that a P-enriched atmospheric dust inputs during 2005. An increase in dissolved inorganic nitrogen (DIN):TP mass ratio after 2005 was observed, revealing a higher ecosystem homeostasis of this ratio.</t>
  </si>
  <si>
    <t>[Garcia-Jurado, Fatima; Galotti, Andrea; Jimenez-Gomez, Francisco; Guerrero, Francisco] Dept Biol Anim Biol Vegetal &amp; Ecol, Jaen 23071, Spain; [de Vicente, Inmaculada] Dept Ecol, Granada 18071, Spain; [Reul, Andreas] Dept Ecol &amp; Geol, Malaga 29071, Spain</t>
  </si>
  <si>
    <t>García-Jurado, F (corresponding author), Dept Biol Anim Biol Vegetal &amp; Ecol, Campus Las Lagunillas S-N, Jaen 23071, Spain.</t>
  </si>
  <si>
    <t>fagarcia@ujaen.es</t>
  </si>
  <si>
    <t>de Souza, Andréa/F-5656-2012; GOMEZ, FRANCISCO JIMENEZ/E-7093-2012; de Vicente, Inmaculada/S-2067-2016; Guerrero, Francisco/E-7704-2012; Reul, Andreas/AAI-6720-2020; Gómez, Francisco Jiménez/AAA-1425-2021</t>
  </si>
  <si>
    <t>de Vicente, Inmaculada/0000-0002-1449-5740; Guerrero, Francisco/0000-0002-8983-3003; Reul, Andreas/0000-0002-1951-8948; Gómez, Francisco Jiménez/0000-0001-8644-7089</t>
  </si>
  <si>
    <t>Environmental Ministry (Nature Reserve Autonomous Organism) [129/2003]; University of Jaen</t>
  </si>
  <si>
    <t>Environmental Ministry (Nature Reserve Autonomous Organism); University of Jaen</t>
  </si>
  <si>
    <t>We thank two anonymous reviewers and the associate editor for their valuable comments on the manuscript. We are also grateful to R. Morales-Baquero for his useful comments. This research was supported by the project 129/2003 from the Environmental Ministry (Nature Reserve Autonomous Organism). Thanks to CETURSA (management company of Sierra Nevada Ski Resort) for providing data on annual precipitation in Sierra Nevada, and to the national park of Sierra Nevada for permission to sample in La Caldera Lake. F. G.-J. was supported by a fellowship from the University of Jaen.</t>
  </si>
  <si>
    <t>10.1657/1938-4246-44.1.50</t>
  </si>
  <si>
    <t>WOS:000302271600006</t>
  </si>
  <si>
    <t>Macek, P; Klimes, L; Adamec, L; Dolezal, J; Chlumská, Z; de Bello, F; Dvorskry, M; Reháková, K</t>
  </si>
  <si>
    <t>Macek, Petr; Klimes, Leos; Adamec, Lubomir; Dolezal, Jiri; Chlumska, Zuzana; de Bello, Francesco; Dvorskry, Miroslav; Rehakova, Klara</t>
  </si>
  <si>
    <t>Plant Nutrient Content Does Not Simply Increase with Elevation under the Extreme Environmental Conditions of Ladakh, NW Himalaya</t>
  </si>
  <si>
    <t>ALTITUDINAL VARIATION; ALPINE VEGETATION; MINERAL-NUTRITION; SOIL-TEMPERATURE; NITROGEN-CONTENT; MOUNTAIN BIRCH; LIFE-FORMS; GRADIENT; SALINITY; GROWTH</t>
  </si>
  <si>
    <t>Low temperature is considered the main limiting factor for plant growth and nutrient supply at high elevations. It has been repeatedly reported that an increase in foliar nutrient contents occurs with elevation which is interpreted as the plants' inability to use the absorbed resources for growth. However, although large data sets from various mountainous regions are available, data from elevations exceeding 5000 m elevation are rare, leaving uncertainties on the relevance of these patterns under extreme alpine conditions. To fill this gap, we examined foliar macronutrients (N, P, K, Ca, Mg) content in Poa attenuata and Waldheimia tridactylites along an elevation gradient of 1600 m in Ladakh, northwestern Himalaya. Species showed rather similar response: N, Ca, and Mg concentration decreased with elevation. However, P concentration decreased with elevation in Poa but slightly increased in Waldheimia; K concentration was related to elevation in Poa only (positively). The surprising decreases of N, and/or N/P and N/K ratios towards higher elevation suggest that nitrogen uptake decreased with elevation and it may limit plant growth. Our results suggest that plants growing at very high elevations tend to be limited by a combination of lower nutrient uptake, possibly because of poorly developed soils, and scarcity of water.</t>
  </si>
  <si>
    <t>[Macek, Petr; Klimes, Leos; Adamec, Lubomir; Dolezal, Jiri; Chlumska, Zuzana; de Bello, Francesco; Dvorskry, Miroslav; Rehakova, Klara] Inst Bot AS CR, Sect Plant Ecol, CZ-37982 Trebon, Czech Republic; [Macek, Petr; Dolezal, Jiri; Chlumska, Zuzana; Dvorskry, Miroslav] Univ S Bohemia, Fac Sci, Dept Bot, CZ-37005 Ceske Budejovice, Czech Republic</t>
  </si>
  <si>
    <t>Czech Academy of Sciences; Institute of Botany of the Czech Academy of Sciences; University of South Bohemia Ceske Budejovice</t>
  </si>
  <si>
    <t>Macek, P (corresponding author), Consejo Super Invest Cient, Estn Expt Zonas Aridas, Ctra Sacramento S-N, Almeria 04120, Spain.</t>
  </si>
  <si>
    <t>maca@prf.jcu.cz</t>
  </si>
  <si>
    <t>Adamec, Lubomir/G-9970-2011; Doležal, Jiří/H-1583-2014; Rehakova, Klara/JCO-2118-2023; Macek, Petr/AAK-7805-2020; de Bello, Francesco/H-1582-2014; Rehakova, Klara/B-2143-2012</t>
  </si>
  <si>
    <t>Macek, Petr/0000-0002-4792-9461; de Bello, Francesco/0000-0001-9202-8198; Dolezal, Jiri/0000-0002-5829-4051; Chlumska, Zuzana/0000-0003-1674-3434; Rehakova, Klara/0000-0002-8871-9989</t>
  </si>
  <si>
    <t>GAAV [IAA600050802, AV0Z60050516, MSMT-6007665801]; CNRS APIC RT [PICs 4876]; CSIC-PUC; [GAJU-138/2010/P]</t>
  </si>
  <si>
    <t>GAAV(Grant Agency of the Czech Republic); CNRS APIC RT; CSIC-PUC;</t>
  </si>
  <si>
    <t>The research was supported by GAAV IAA600050802, AV0Z60050516, MSMT-6007665801, CNRS APIC RT PICs 4876, and GAJU-138/2010/P. P. Macek is supported by CSIC-PUC LINCGlobal project grant. Sincere thanks are due to Brian G. McMillan for language correction. We thank also Jitka Klimesova and Jana Mackova for their helpful comments to the manuscript.</t>
  </si>
  <si>
    <t>10.1657/1938-4246-44.1.62</t>
  </si>
  <si>
    <t>WOS:000302271600007</t>
  </si>
  <si>
    <t>Martinsen, V; Mulder, J; Austrheim, G; Hessen, DO; Mysterud, A</t>
  </si>
  <si>
    <t>Martinsen, Vegard; Mulder, Jan; Austrheim, Gunnar; Hessen, Dag O.; Mysterud, Atle</t>
  </si>
  <si>
    <t>Effects of Sheep Grazing on Availability and Leaching of Soil Nitrogen in Low-Alpine Grasslands</t>
  </si>
  <si>
    <t>LARGE HERBIVORE; ALASKAN TUNDRA; RED DEER; MINERALIZATION; ECOSYSTEM; UNGULATE; QUALITY; CARBON; LINKAGES; DYNAMICS</t>
  </si>
  <si>
    <t>Alpine ecosystems are generally nitrogen (N) limited with low rates of N mineralization. Herbivory may affect N cycling and N losses and thus long-term productivity of ecosystems. Using a controlled grazing experiment in a low-alpine region at Hol, southern Norway, with three density levels of sheep, we determined effects of grazing on in situ availability of inorganic N, potential N mineralization, and mobility of dissolved inorganic N (DIN) and dissolved organic N (DON) in soil water of O-horizons in grazing-preferred grassland habitats. In addition, we studied the within-season and spatial variation of these processes. The low alpine grasslands at Hol were characterized by small rates of N mineralization and relatively large plant demands for N. Significantly greater rates of potential N mineralization were found at sites with high sheep density compared to those with low density or no grazing. Effects of grazing on bioavailable N (as determined by buried PRS (TM) exchange resins) were greater at low as compared to high altitudes. At low altitudes, low sheep density reduced amounts of bioavailable N. Nitrogen concentration of plants as a proxy of N availability in soils revealed, however, no significant effects of grazing. There was a strong seasonal effect on inorganic N and DIN:DON ratios of the soil water, with decreasing values in the course of the growing season, probably due to increasing nutrient demand of plants and/or microbes. We conclude that grazing may significantly stimulate N-cycling, but not sufficiently to release the system from its strong N deficiency, as we found no evidence for short-term increased risk in N loss via soil water due to herbivore activity. Nitrogen removal through grazing is small compared to the total soil N pool and at high sheep density is about half of the N deposition. This suggests that grazing in grassland habitats in this low alpine ecosystem is sustainable from a nutrient point of view.</t>
  </si>
  <si>
    <t>[Martinsen, Vegard; Mulder, Jan] Norwegian Univ Life Sci, Dept Plant &amp; Environm Sci, NO-1432 As, Norway; [Austrheim, Gunnar] Norwegian Univ Sci &amp; Technol, Sect Nat Hist, Museum Nat Hist &amp; Archaeol, NO-7491 Trondheim, Norway; [Hessen, Dag O.; Mysterud, Atle] Univ Oslo, Dept Biol, CEES, NO-0316 Oslo, Norway</t>
  </si>
  <si>
    <t>Norwegian University of Life Sciences; Norwegian University of Science &amp; Technology (NTNU); University of Oslo</t>
  </si>
  <si>
    <t>Martinsen, V (corresponding author), Norwegian Univ Life Sci, Dept Plant &amp; Environm Sci, POB 5003, NO-1432 As, Norway.</t>
  </si>
  <si>
    <t>vegard.martinsen@umb.no</t>
  </si>
  <si>
    <t>Mysterud, Atle/AFL-1958-2022; Hessen, Dag Olav/AFI-5448-2022; Mysterud, Atle/AAQ-2864-2020; austrheim, gunnar/KHC-8698-2024; Martinsen, Vegard/H-9406-2014</t>
  </si>
  <si>
    <t>Hessen, Dag Olav/0000-0002-0154-7847; Mysterud, Atle/0000-0001-8993-7382; Martinsen, Vegard/0000-0002-7096-1806</t>
  </si>
  <si>
    <t>Research Council of Norway [183268/S30]; Directorate for nature management; Norwegian University of Life Sciences</t>
  </si>
  <si>
    <t>Research Council of Norway(Research Council of Norway); Directorate for nature management; Norwegian University of Life Sciences</t>
  </si>
  <si>
    <t>Marit Ness and Franz Grund are acknowledged for assistance in data collection and sample preparation. We also acknowledge Line Tau Strand, Irene Dahl Eriksen, and Grete Bloch for helpful comments and technical assistance, and two anonymous referees for comments on a previous draft. Finally, we acknowledge Christian Ritz for helpful comments on statistics. The study was funded by the Research Council of Norway (Miljo 2015 program, project 183268/S30), the Directorate for nature management and the Norwegian University of Life Sciences (PhD scholarship to Vegard Martinsen).</t>
  </si>
  <si>
    <t>10.1657/1938-4246-44.1.67</t>
  </si>
  <si>
    <t>Green Submitted, Bronze, Green Published</t>
  </si>
  <si>
    <t>WOS:000302271600008</t>
  </si>
  <si>
    <t>Senese, A; Diolaiuti, G; Mihalcea, C; Smiraglia, C</t>
  </si>
  <si>
    <t>Senese, Antonella; Diolaiuti, Guglielmina; Mihalcea, Claudia; Smiraglia, Claudio</t>
  </si>
  <si>
    <t>Energy and Mass Balance of Forni Glacier (Stelvio National Park, Italian Alps) from a Four-Year Meteorological Data Record</t>
  </si>
  <si>
    <t>GREENLAND ICE-SHEET; MIDLATITUDE GLACIER; MELTING ZONE; SWITZERLAND; ABLATION; SUMMER; MORTERATSCHGLETSCHER; CLIMATE; SURFACE; DUST</t>
  </si>
  <si>
    <t>Since 26 September 2005 an Automatic Weather Station (AWS1 Forni) has been running on the ablation area of the largest Italian valley glacier, Forni, in the Ortles-Cevedale Group. A 4-year record (from 1 October 2005 to 30 September 2009) of air temperature, relative humidity, wind speed and direction, incoming and outgoing radiative fluxes, air pressure, liquid precipitation, and snow depth is considered. The meteorological data are analyzed to describe glacier surface conditions, to calculate the energy balance, and to evaluate the ice ablation amount. Snow accumulation was measured, thus permitting the estimation of the glacier point mass balance. An annual average amount of melt of -5.4 +/- 0.021 m w.e, was calculated and an annual average amount of accumulation of +0.7 +/- 0.006 m w.e, was measured at the AWS site. The annual average amount of mass balance was -4.7 +/- 0.023 m we. Our analyses show that surface conditions during summer and fall seasons are important in regulating glacier albedo and then mass balance. In particular, snow cover presence, due to a longer persistence of spring snow, summer snowfalls and earlier fall solid precipitation, drives the duration of the ice melt period.</t>
  </si>
  <si>
    <t>[Senese, Antonella; Diolaiuti, Guglielmina; Mihalcea, Claudia; Smiraglia, Claudio] Univ Milan, Dept Earth Sci A Desio, I-20133 Milan, Italy</t>
  </si>
  <si>
    <t>University of Milan</t>
  </si>
  <si>
    <t>Senese, A (corresponding author), Univ Milan, Dept Earth Sci A Desio, Via Mangiagalli 34, I-20133 Milan, Italy.</t>
  </si>
  <si>
    <t>antonella.senese@unimi.it; guglielmina.diolaiuti@unimi.it; claudia.mihalcea@unimi.it; claudio.smiraglia@unimi.it</t>
  </si>
  <si>
    <t>Senese, Antonella/AFN-4831-2022; Diolaiuti, Guglielmina/A-9422-2008</t>
  </si>
  <si>
    <t>Senese, Antonella/0000-0001-7190-3272; Diolaiuti, Guglielmina/0000-0002-3883-9309; Smiraglia, Claudio/0000-0001-6635-2074</t>
  </si>
  <si>
    <t>Ev-K2-CNR; Fondazione Lombardia per l'Ambiente; Stelvio National Park; Commune of Valfurva; Valfurva section of the Italian Alpine Club (CAI); ARPA Lombardia</t>
  </si>
  <si>
    <t>The AWS1 Forni project is developed under the umbrella of the SHARE Program. SHARE (Stations at High Altitude for Research on the Environment) is an international program developed and managed by the Ev-K2-CNR Committee. This work was conducted in the framework of the SHARE Stelvio project, promoted and funded by Ev-K2-CNR and Fondazione Lombardia per l'Ambiente; moreover, the data analysis was performed in the framework of the COFIN PRIN Project 2008.; We thank the Stelvio National Park, the Commune of Valfurva, the Valfurva section of the Italian Alpine Club (CAI), and the ARPA Lombardia for their kind help and support. We are also grateful to Gianpietro Verza, Eraldo Meraldi, and Roberto Chillemi for their fundamental technical assistance in the field.</t>
  </si>
  <si>
    <t>10.1657/1938-4246-44.1.122</t>
  </si>
  <si>
    <t>WOS:000302271600012</t>
  </si>
  <si>
    <t>Smith, JG; Sconiers, W; Spasojevic, MJ; Ashton, IW; Suding, KN</t>
  </si>
  <si>
    <t>Smith, Jane G.; Sconiers, Warren; Spasojevic, Marko J.; Ashton, Isabel W.; Suding, Katharine N.</t>
  </si>
  <si>
    <t>Phenological Changes in Alpine Plants in Response to Increased Snowpack, Temperature, and Nitrogen</t>
  </si>
  <si>
    <t>CLIMATE-CHANGE; FLOWERING PHENOLOGY; ENVIRONMENTAL-CHANGE; ECOSYSTEM RESPONSE; TUNDRA COMMUNITIES; ARCTIC PLANTS; ABUNDANCE; GROWTH; PREFORMATION; COLORADO</t>
  </si>
  <si>
    <t>Modified environmental conditions are driving phenological changes in ecosystems around the world. Many plants have already responded to warmer temperatures by flowering earlier and sustaining longer periods of growth. Changes in other environmental factors, like precipitation and atmospheric nitrogen (N) deposition, may also influence phenology but have been less studied. Alpine plants may be good predictors of phenological response patterns because environmental changes are amplified in mountain ecosystems and extreme conditions may make alpine plants particularly sensitive to changes in limiting factors like precipitation, temperature, and N. We tested the effects of increased snowpack, temperature, and N on alpine tundra plant phenology, using snow fence, open-top warming chamber, and N fertilization treatments at the Niwot Ridge Long Term Ecological Research (LTER) site. Flowering phenology of three abundant species was recorded during two growing seasons. Treatment responses varied among species and functional types. Forbs responded to warming by flowering earlier and responded to snowpack and N by flowering later; however, when both snow and N were increased simultaneously, phenology was unchanged. Graminoids flowered earlier in response to N addition. Our results demonstrate that changing environmental conditions influence plant phenology, and specifically highlight that N and multiple factor interactions can yield stronger responses than warming alone.</t>
  </si>
  <si>
    <t>[Smith, Jane G.] New Mexico State Univ, Dept Biol, Las Cruces, NM 88003 USA; [Sconiers, Warren] Texas A&amp;M Univ, Dept Entomol, College Stn, TX 77843 USA; [Spasojevic, Marko J.] Univ Calif Davis, Dept Environm Sci &amp; Policy, Davis, CA 95616 USA; [Ashton, Isabel W.] Natl Pk Serv, No Great Plains Inventory &amp; Monitoring Network, Rapid City, SD 57701 USA; [Suding, Katharine N.] Univ Calif Berkeley, Dept Environm Sci Policy &amp; Management, Berkeley, CA 94720 USA</t>
  </si>
  <si>
    <t>New Mexico State University; Texas A&amp;M University System; Texas A&amp;M University College Station; University of California System; University of California Davis; United States Department of the Interior; University of California System; University of California Berkeley</t>
  </si>
  <si>
    <t>Smith, JG (corresponding author), New Mexico State Univ, Dept Biol, MSC 3AF, Las Cruces, NM 88003 USA.</t>
  </si>
  <si>
    <t>jgs@nmsu.edu</t>
  </si>
  <si>
    <t>SPASOJEVIC, MARKO/AAO-4307-2020; Suding, Katharine/O-6290-2017</t>
  </si>
  <si>
    <t>SPASOJEVIC, MARKO/0000-0003-1808-0048; Suding, Katharine/0000-0002-5357-0176</t>
  </si>
  <si>
    <t>Andrew W. Mellon Foundation; NSF; Direct For Biological Sciences; Division Of Environmental Biology [1027341] Funding Source: National Science Foundation</t>
  </si>
  <si>
    <t>Andrew W. Mellon Foundation; NSF(National Science Foundation (NSF)); Direct For Biological Sciences; Division Of Environmental Biology(National Science Foundation (NSF)NSF - Directorate for Biological Sciences (BIO))</t>
  </si>
  <si>
    <t>We thank Kurt Chowanski, Lucas Zukiewicz, Ryan Winkleman, Matt Khosh, Charlotte Riggs, Beth McGarry, and Sebastian Barlerin for help with field and lab work. Dr. Robert Steiner provided assistance with statistical analysis. This paper was much improved by helpful comments from David Inouye and an anonymous reviewer. Funding was provided by the Andrew W. Mellon Foundation and the NSF-sponsored Niwot Ridge LTER program.</t>
  </si>
  <si>
    <t>10.1657/1938-4246-44.1.135</t>
  </si>
  <si>
    <t>WOS:000302271600013</t>
  </si>
  <si>
    <t>Iverson, N; Person, M</t>
  </si>
  <si>
    <t>Iverson, N.; Person, M.</t>
  </si>
  <si>
    <t>Glacier-bed geomorphic processes and hydrologic conditions relevant to nuclear waste disposal</t>
  </si>
  <si>
    <t>GEOFLUIDS</t>
  </si>
  <si>
    <t>erosion; geomorphic; glacial; hydrogeology; hydrology; ice tectonics</t>
  </si>
  <si>
    <t>LAURENTIDE-ICE-SHEET; SUBGLACIAL HYDROLOGY; GROUNDWATER-FLOW; WATER-PRESSURE; TUNNEL VALLEYS; NUMERICAL SIMULATIONS; SEDIMENT TRANSPORT; ESKER SYSTEMS; LAKE VOSTOK; STREAM-B</t>
  </si>
  <si>
    <t>Characterizing glaciotectonic deformation, glacial erosion and sedimentation, and basal hydrologic conditions of ice sheets is vital for selecting sites for nuclear waste repositories at high latitudes. Glaciotectonic deformation is enhanced by excess pore pressures that commonly persist near ice sheet margins. Depths of such deformation can extend locally to a few tens of meters, with depths up to approximately 300 m in exceptional cases. Rates of glacial erosion are highly variable (0.0515 mm a-1), but rates &lt;1 mm a-1 are expected in tectonically quiescent regions. Total erosion probably not exceeding several tens of meters is expected during a glacial cycle, although locally erosion could be greater. Consolidation of glacial sediments that is less than expected from independent estimates of glacier thickness indicates that heads at the bases of past ice sheets were usually within 30% of the floatation value. This conclusion is reinforced by direct measurements of water pressure beneath portions of the West Antarctic ice sheet, which indicate average heads &lt;7 m below floatation. Landforms of the Laurentide and Scandinavian ice sheets and recent observations in Greenland indicate that high seasonal discharges of surface water are conducted to the bed, despite thick ice at subfreezing temperatures. Therefore, in models of subglacial groundwater flow used to assess sites for nuclear waste repositories, a flux upper boundary condition based on water input from only basal melting will be far more uncertain than applying a hydraulic head at the upper boundary set equal to a large fraction of the floatation value.</t>
  </si>
  <si>
    <t>[Person, M.] NM Tech, Dept Earth &amp; Environm Sci, Socorro, NM 87801 USA; [Iverson, N.] Iowa State Univ, Dept Geol &amp; Atmospher Sci, Ames, IA USA</t>
  </si>
  <si>
    <t>Iowa State University</t>
  </si>
  <si>
    <t>Person, M (corresponding author), NM Tech, Dept Earth &amp; Environm Sci, 801 Leroy Pl,MSEC 208, Socorro, NM 87801 USA.</t>
  </si>
  <si>
    <t>mperson@nmt.edu</t>
  </si>
  <si>
    <t>Canadian Nuclear Waste Management Organization</t>
  </si>
  <si>
    <t>Canadian Nuclear Waste Management Organization(Swedish Nuclear Fuel &amp; Waste Management Company (SKB))</t>
  </si>
  <si>
    <t>This work was funded by the Canadian Nuclear Waste Management Organization. We thank J. Piotrowski and U. Fischer for their helpful review comments.</t>
  </si>
  <si>
    <t>WILEY-HINDAWI</t>
  </si>
  <si>
    <t>ADAM HOUSE, 3RD FL, 1 FITZROY SQ, LONDON, WIT 5HE, ENGLAND</t>
  </si>
  <si>
    <t>1468-8115</t>
  </si>
  <si>
    <t>1468-8123</t>
  </si>
  <si>
    <t>Geofluids</t>
  </si>
  <si>
    <t>10.1111/j.1468-8123.2011.00355.x</t>
  </si>
  <si>
    <t>Geochemistry &amp; Geophysics; Geology</t>
  </si>
  <si>
    <t>897VK</t>
  </si>
  <si>
    <t>WOS:000300687000004</t>
  </si>
  <si>
    <t>Yamagishi, Y; Kimura, S; Ishizawa, K; Kikuchi, M; Morikawa, H; Kojima, T</t>
  </si>
  <si>
    <t>Yamagishi, Y.; Kimura, S.; Ishizawa, K.; Kikuchi, M.; Morikawa, H.; Kojima, T.</t>
  </si>
  <si>
    <t>Visualization of snowdrift around buildings of an Antarctic base through numerical simulation</t>
  </si>
  <si>
    <t>JOURNAL OF VISUALIZATION</t>
  </si>
  <si>
    <t>Visualization of snowdrift; Antarctic base; Construction planning; Snow removal; Numerical analysis</t>
  </si>
  <si>
    <t>The removal of snowdrifts resulting from snowstorms is often a physically intensive work in Antarctica. Therefore, it is important to consider snowdrift around buildings in construction planning. In this study, we predicted snowdrift using a small experimental facility and existing numerical-analysis software that can be easily implemented. First, the snow cover around a cube model resulting from a snowstorm was calculated through numerical analysis. And the validity of numerical analysis was examined. To consider the effect of the form of a proposed Antarctic building on snowdrift, the snowdrift around buildings of an Antarctic base was then predicted by numerical analysis. As a result, it is thus expected that work involved in removing snowdrifts can be reduced through the appropriate design of curved-roof Antarctic buildings employing numerical analysis.</t>
  </si>
  <si>
    <t>[Yamagishi, Y.; Kimura, S.] Kanagawa Inst Technol, Dept Mech Engn, Atsugi, Kanagawa 2430292, Japan; [Ishizawa, K.; Kikuchi, M.] Natl Res Inst Earth Sci &amp; Disaster Prevent, Tachikawa, Tokyo 1908515, Japan; [Morikawa, H.; Kojima, T.] Meteorol Res Inst Technol Co Ltd, Bunkyo Ku, Tokyo 1130033, Japan</t>
  </si>
  <si>
    <t>Kanagawa Institute Technology; National Research Institute for Earth Science &amp; Disaster Resilience</t>
  </si>
  <si>
    <t>Yamagishi, Y (corresponding author), Kanagawa Inst Technol, Dept Mech Engn, 1030 Shimoogino, Atsugi, Kanagawa 2430292, Japan.</t>
  </si>
  <si>
    <t>yamagisi@me.kanagawa-it.ac.jp</t>
  </si>
  <si>
    <t>1343-8875</t>
  </si>
  <si>
    <t>J VISUAL-JAPAN</t>
  </si>
  <si>
    <t>J. Vis.</t>
  </si>
  <si>
    <t>10.1007/s12650-011-0105-y</t>
  </si>
  <si>
    <t>Computer Science, Interdisciplinary Applications; Imaging Science &amp; Photographic Technology</t>
  </si>
  <si>
    <t>Computer Science; Imaging Science &amp; Photographic Technology</t>
  </si>
  <si>
    <t>920DP</t>
  </si>
  <si>
    <t>WOS:000302382600008</t>
  </si>
  <si>
    <t>Bohaty, SM; Zachos, JC; Delaney, ML</t>
  </si>
  <si>
    <t>Bohaty, Steven M.; Zachos, James C.; Delaney, Margaret L.</t>
  </si>
  <si>
    <t>Foraminiferal Mg/Ca evidence for Southern Ocean cooling across the Eocene-Oligocene transition</t>
  </si>
  <si>
    <t>Foraminifera; Eocene; Oligocene; Southern Ocean; Stable oxygen isotopes; Mg/Ca; Ocean Drilling Program</t>
  </si>
  <si>
    <t>SEA-SURFACE TEMPERATURES; ICE-SHEET EXPANSION; PLANKTONIC-FORAMINIFERA; STABLE-ISOTOPE; CLEANING PROCEDURES; VOLUME HISTORY; GLOBAL CLIMATE; CARBON-DIOXIDE; OXYGEN; RECORD</t>
  </si>
  <si>
    <t>Constraining the magnitude of high-latitude temperature change across the Eocene-Oligocene transition (EOT) is essential for quantifying the magnitude of Antarctic ice-sheet expansion and understanding regional climate response to this event. To this end, we constructed high-resolution stable oxygen isotope (delta O-18) and magnesium/calcium (Mg/Ca) records from planktic and benthic foraminifera at four Ocean Drilling Program (ODP) sites in the Southern Ocean. Planktic foraminiferal Mg/Ca records from the Kerguelen Plateau (ODP Sites 738, 744, and 748) show a consistent pattern of temperature change, indicating 2-3 degrees C cooling in direct conjunction with the first step of a two-step increase in benthic and planktic foraminiferal delta O-18 values across the EOT. In contrast, benthic Mg/Ca records from Maud Rise (ODP Site 689) and the Kerguelen Plateau (ODP Site 748) do not exhibit significant temperature change. The contrasting temperature histories derived from the planktic and benthic Mg/Ca records are not reconcilable, since vertical delta O-18 gradients remained nearly constant at all sites between 35.0 and 32.5 Ma. Based on the coherency of the planktic Mg/Ca records from the Kerguelen Plateau sites and complications with benthic Mg/Ca paleothermometry at low temperatures, the planktic Mg/Ca records are deemed the most reliable measure of Southern Ocean temperature change. We therefore interpret a uniform cooling of 2-3 degrees C in both deep surface (thermocline) waters and intermediate deep waters of the Southern Ocean across the EOT. Cooling of Southern Ocean surface waters across the EOT was likely propagated to the deep ocean, since deep waters were primarily sourced on the Antarctic margin throughout this time interval. Removal of the temperature component from the observed foraminiferal delta O-18 shift indicates that seawater delta O-18 values increased by 0.6 +/- 0.15 parts per thousand. across the EOT interval, corresponding to an increase in global ice volume to a level equivalent with 60-130% modern East Antarctic ice sheet volume. (C) 2011 Elsevier B.V. All rights reserved.</t>
  </si>
  <si>
    <t>[Bohaty, Steven M.; Zachos, James C.] Univ Calif Santa Cruz, Dept Earth &amp; Planetary Sci, Santa Cruz, CA 95064 USA; [Delaney, Margaret L.] Univ Calif Santa Cruz, Ocean Sci Dept, Santa Cruz, CA 95064 USA</t>
  </si>
  <si>
    <t>University of California System; University of California Santa Cruz; University of California System; University of California Santa Cruz</t>
  </si>
  <si>
    <t>Bohaty, SM (corresponding author), Natl Oceanog Ctr, Sch Ocean &amp; Earth Sci, European Way, Southampton SO14 3ZH, Hants, England.</t>
  </si>
  <si>
    <t>S.Bohaty@noc.soton.ac.uk</t>
  </si>
  <si>
    <t>Zachos, James C/A-7674-2008</t>
  </si>
  <si>
    <t>US National Science Foundation [OPP-0338337]</t>
  </si>
  <si>
    <t>US National Science Foundation(National Science Foundation (NSF))</t>
  </si>
  <si>
    <t>We thank Christina Ravelo, Petra Dekens, and Michael Wara for use of laboratory facilities and assistance with foraminiferal trace element work. Christie Coffin and Joshua Pappalardo helped in sample preparation. Analytical support was provided by Rob Franks, Dyke Andreasen, and Dan Sampson. We also thank Stephen Schellenberg, Henk Brinkhuis, and Fabio Florindo for insightful discussions; Sander Houben for helpful comments on the manuscript; and Mimi Katz and two anonymous referees for constructive reviews. Samples utilized in this study were provided by the Ocean Drilling Program (ODP), and funding for this research was provided by the US National Science Foundation (OPP-0338337).</t>
  </si>
  <si>
    <t>FEB 1</t>
  </si>
  <si>
    <t>10.1016/j.epsl.2011.11.037</t>
  </si>
  <si>
    <t>910DF</t>
  </si>
  <si>
    <t>WOS:000301616700025</t>
  </si>
  <si>
    <t>Andreev, OM; Ivanov, BV</t>
  </si>
  <si>
    <t>Andreev, O. M.; Ivanov, B. V.</t>
  </si>
  <si>
    <t>The Use of One-Dimensional Thermodynamic Model for Computing the Level Ice Thickness and Hummock Freezing Intensity in the Northern Caspian Sea</t>
  </si>
  <si>
    <t>The results are analyzed of numerical experiments obtained using a one-dimensional thermodynamic model of the sea ice developed by the authors. The computations of the level-ice (fast-ice) evolution and ice hummock consolidation layer formation in different climatic situations (anomalously cold and anomalously warm winters) are carried out within the frameworks of the proposed model for the conditions being typical of the Northern Caspian Sea. The results of model computations are compared with the data of field researches carried out by the specialists of the Arctic and Antarctic Research Institute in 2003-2008. A good correspondence is demonstrated between the model computations and expeditionary data. A conclusion is made on the prospectivity of using the model for design engineering.</t>
  </si>
  <si>
    <t>[Andreev, O. M.; Ivanov, B. V.] Arctic &amp; Antarctic Res Inst, St Petersburg 199397, Russia</t>
  </si>
  <si>
    <t>Andreev, OM (corresponding author), Arctic &amp; Antarctic Res Inst, Ul Beringa 38, St Petersburg 199397, Russia.</t>
  </si>
  <si>
    <t>Andreev, Oleg M./ABE-6472-2022</t>
  </si>
  <si>
    <t>Andreev, Oleg M./0009-0007-8558-7945</t>
  </si>
  <si>
    <t>Target Scientific and Technical Program of Roshydromet</t>
  </si>
  <si>
    <t>This study was supported by the Target Scientific and Technical Program of Roshydromet (paragraphs 5.3.1 and 5.3.2 of the Research and Development Plan for 2008-2010).</t>
  </si>
  <si>
    <t>10.3103/S1068373912010050</t>
  </si>
  <si>
    <t>910RE</t>
  </si>
  <si>
    <t>WOS:000301658100005</t>
  </si>
  <si>
    <t>Lebedev, GA; Tripol'nikov, VP</t>
  </si>
  <si>
    <t>Lebedev, G. A.; Tripol'nikov, V. P.</t>
  </si>
  <si>
    <t>Information analysis of ice conditions in the water area for determining the monitoring quality and risk of ice formation collision with marine structures</t>
  </si>
  <si>
    <t>A potential risk is considered for the marine structures caused by the collision with drifting ice formations (icebergs, stamukhas, and pack ice). An informational assessment is applied to the estimation of the ice threat risk. Informational entropy of the system of random influencing factors is assumed as a quantitative measure of uncertainty. It enables to estimate quantitatively the risks within the complex of various critical circumstances. The characteristics of the complex information system consisting of four elementary information systems with different variants of negative circumstances are considered and the information analysis of the risk category for the marine structures of the Barents Sea water area caused by the collision with icebergs is given. It is demonstrated that the reality of the threat of the collision of icebergs with marine structures is significantly lower because the probability of this event q = 1.57 x 10(-3) is much smaller than the probability of the fatal threat settled by lot p* = 0.0625.</t>
  </si>
  <si>
    <t>[Lebedev, G. A.; Tripol'nikov, V. P.] Arctic &amp; Antarctic Res Inst, St Petersburg 199397, Russia</t>
  </si>
  <si>
    <t>Lebedev, GA (corresponding author), Arctic &amp; Antarctic Res Inst, Ul Beringa 38, St Petersburg 199397, Russia.</t>
  </si>
  <si>
    <t>ALLERTON PRESS INC</t>
  </si>
  <si>
    <t>18 WEST 27TH ST, NEW YORK, NY 10001 USA</t>
  </si>
  <si>
    <t>10.3103/S1068373912020070</t>
  </si>
  <si>
    <t>911GJ</t>
  </si>
  <si>
    <t>WOS:000301705000007</t>
  </si>
  <si>
    <t>Williams, T; Morin, RH; Jarrard, RD; Jackolski, CL; Henrys, SA; Niessen, F; Magens, D; Kuhn, G; Monien, D; Powell, RD</t>
  </si>
  <si>
    <t>Williams, Trevor; Morin, Roger H.; Jarrard, Richard D.; Jackolski, Chris L.; Henrys, Stuart A.; Niessen, Frank; Magens, Diana; Kuhn, Gerhard; Monien, Donata; Powell, Ross D.</t>
  </si>
  <si>
    <t>Lithostratigraphy from downhole logs in Hole AND-1B, Antarctica</t>
  </si>
  <si>
    <t>GEOSPHERE</t>
  </si>
  <si>
    <t>The ANDRILL (Antarctic Drilling Project) McMurdo Ice Shelf (MIS) project drilled 1285 m of sediment in Hole AND-1B, representing the past 12 m.y. of glacial history. Downhole geophysical logs were acquired to a depth of 1018 mbsf (meters below seafloor), and are complementary to data acquired from the core. The natural gamma radiation (NGR) and magnetic susceptibility logs are particularly useful for understanding lithological and paleoenvironmental change at ANDRILL McMurdo Ice Shelf Hole AND-1B. NGR logs cover the entire interval from the seafloor to 1018 mbsf, and magnetic susceptibility and other logs covered the open hole intervals between 692 and 1018 and 237-342 mbsf. In the upper part of AND-1B, clear alternations between low and high NGR values distinguish between diatomite (lacking minerals containing naturally radioactive K, U, and Th) and diamictite (containing K-bearing clays, K-feldspar, mica, and heavy minerals). In the lower open hole logged section, NGR and magnetic susceptibility can also distinguish claystones (rich in K-bearing clay minerals, relatively low in magnetite) and diamictites (relatively high in magnetite). Sandstones can be distinguished by their high resistivity values in AND-1B. On the basis of these three downhole logs, diamictite, claystones, and sandstones can be predicted correctly for 74% of the 692-1018 mbsf interval. The logs were then used to predict facies for the 6% of this interval that was unrecovered by coring. Given the understanding of the physical property characteristics of different facies, it is also possible to identify subtle changes in lithology from the physical properties and help refine parts of the lithostratigraphy, for example, the varying terrigenous content of diatomites and the transitions from subice diamictite to open-water diatomite.</t>
  </si>
  <si>
    <t>[Williams, Trevor] Lamont Doherty Earth Observ, Palisades, NY 10964 USA; [Morin, Roger H.] US Geol Survey, Denver Fed Ctr, Denver, CO 80225 USA; [Jarrard, Richard D.] Univ Utah, Dept Geol &amp; Geophys, Salt Lake City, UT 84112 USA; [Jackolski, Chris L.; Powell, Ross D.] No Illinois Univ, De Kalb, IL 60115 USA; [Henrys, Stuart A.] GNS Sci, Lower Hutt, New Zealand; [Niessen, Frank; Magens, Diana; Kuhn, Gerhard] Alfred Wegener Inst Polar &amp; Marine Res, Bremerhaven, Germany; [Monien, Donata] Inst Chem &amp; Biol Marine Environm, D-26129 Oldenburg, Germany</t>
  </si>
  <si>
    <t>Columbia University; United States Department of the Interior; United States Geological Survey; Utah System of Higher Education; University of Utah; Northern Illinois University; GNS Science - New Zealand; Helmholtz Association; Alfred Wegener Institute, Helmholtz Centre for Polar &amp; Marine Research</t>
  </si>
  <si>
    <t>Williams, T (corresponding author), Lamont Doherty Earth Observ, 61 Route 9W, Palisades, NY 10964 USA.</t>
  </si>
  <si>
    <t>Henrys, Stuart/ABD-7378-2020; Williams, Trevor/L-7670-2014</t>
  </si>
  <si>
    <t>Henrys, Stuart/0000-0002-7164-5274; Niessen, Frank/0000-0001-6453-0594; Kuhn, Gerhard/0000-0001-6069-7485</t>
  </si>
  <si>
    <t>National Science Foundation [0342484]; U.S. National Science Foundation; NZ Foundation for Research Science and Technology; Royal Society of New Zealand; Italian Antarctic Research Programme; German Research Foundation (DFG); Alfred Wegener Institute for Polar and Marine Research (Helmholtz Association of German Research Centres); Antarctica New Zealand; Raytheon Polar Services</t>
  </si>
  <si>
    <t>National Science Foundation(National Science Foundation (NSF)); U.S. National Science Foundation(National Science Foundation (NSF)); NZ Foundation for Research Science and Technology(New Zealand Foundation for Research, Science and Technology); Royal Society of New Zealand(Royal Society of New Zealand); Italian Antarctic Research Programme; German Research Foundation (DFG)(German Research Foundation (DFG)); Alfred Wegener Institute for Polar and Marine Research (Helmholtz Association of German Research Centres); Antarctica New Zealand; Raytheon Polar Services</t>
  </si>
  <si>
    <t>We thank Geosphere Guest Associate editor Tim Paulsen, two anonymous reviewers, and Alberto Malinverno for improving this paper. This material is based upon work supported by the National Science Foundation under Cooperative Agreement No. 0342484 through subawards administered by the ANDRILL Science Management Office at the University of Nebraska-Lincoln, and issued through Northern Illinois University, as part of the ANDRILL U.S. Science Support Program. Any opinions, findings, and conclusions or recommendations expressed in this material are those of the author(s) and do not necessarily reflect the views of the National Science Foundation.; The ANDRILL Program is a multinational collaboration between the Antarctic Programs of Germany, Italy, New Zealand, and the United States. Antarctica New Zealand is the project operator, and has developed the drilling system in collaboration with Alex Pyne at Victoria University of Wellington and Webster Drilling and Enterprises Ltd. Scientific studies are jointly supported by the U.S. National Science Foundation, NZ Foundation for Research Science and Technology, Royal Society of New Zealand Marsden Fund, the Italian Antarctic Research Programme, the German Research Foundation (DFG), and the Alfred Wegener Institute for Polar and Marine Research (Helmholtz Association of German Research Centres). Antarctica New Zealand supported the drilling team at Scott Base; Raytheon Polar Services supported the science team at McMurdo Station and the Crary Science and Engineering Laboratory. The ANDRILL Science Management Office at the University of Nebraska-Lincoln provided science planning and operational support.</t>
  </si>
  <si>
    <t>1553-040X</t>
  </si>
  <si>
    <t>Geosphere</t>
  </si>
  <si>
    <t>10.1130/GES00655.1</t>
  </si>
  <si>
    <t>894GC</t>
  </si>
  <si>
    <t>WOS:000300414100006</t>
  </si>
  <si>
    <t>Ohneiser, C; Wilson, G</t>
  </si>
  <si>
    <t>Ohneiser, Christian; Wilson, Gary</t>
  </si>
  <si>
    <t>Revised magnetostratigraphic chronologies for New Harbour drill cores, southern Victoria Land, Antarctica</t>
  </si>
  <si>
    <t>Magnetostratigraphy; DVDP; CIROS; Ferrar; Taylor; Neogene climate, Antarctica</t>
  </si>
  <si>
    <t>DRY VALLEYS REGION; SEA-LEVEL FLUCTUATIONS; MCMURDO SOUND REGION; ICE-SHEET; TRANSANTARCTIC MOUNTAINS; LANDSCAPE EVOLUTION; GLACIAL DEPOSITS; EAST ANTARCTICA; TAYLOR VALLEY; SIRIUS GROUP</t>
  </si>
  <si>
    <t>The Taylor Valley (DVDP-10, -11) and Ferrar Fiord (CIROS-2) drill cores offer a window into the evolution of southern Victoria Land glaciers and the Antarctic climate system during the late-Neogene. Here we present new magnetostratigraphic chronologies, which we use to correlate the drill core successions with onshore dry-valleys geomorphic records and offshore deep-ocean records. Magnetostratigraphies were constructed using stepwise AF and/or thermal demagnetisation of discrete specimens from the drill cores. Correlation of magnetostratigraphies with the magnetic polarity timescale was guided by biostratigraphic and radiometric constraints. We recognise five styles of sedimentation in the Taylor/Ferrar fiords, which we correlate with discrete climate phases. During the latest Miocene-early Pliocene, wet based glaciers filled the Taylor and Ferrar fiords with active sedimentation in the Taylor Fiord and erosion of basement rocks in the Ferrar Fiord. Glaciers retreated during the Pliocene warm period leaving open marine conditions and deep fiords (&gt;300 m) at a time when the Ross Sea was free of ice and sea surface temperatures around Antarctica were at least 5 degrees C warmer than today. We recognise the first significant cooling in DVDP-11 post 2.6 Ma by a shift to current winnowed sediments sourced from the Ross Sea rather than from East Antarctic glaciers. Post 1.7 Ma, lacustrine sediments were deposited behind ice-dammed lakes, which formed when West Antarctic ice expanded and grounded across the Ross Embayment and abutted the Transantarctic Mountains. (C) 2011 Elsevier B.V. All rights reserved.</t>
  </si>
  <si>
    <t>[Wilson, Gary] Univ Otago, Dept Marine Sci, Dunedin, New Zealand</t>
  </si>
  <si>
    <t>University of Otago</t>
  </si>
  <si>
    <t>Ohneiser, C (corresponding author), Univ Otago, Dept Geol, POB 56, Dunedin, New Zealand.</t>
  </si>
  <si>
    <t>Christian.Ohneiser@otago.ac.nz</t>
  </si>
  <si>
    <t>Wilson, Gary S/B-3803-2010; Ohneiser, Christian/B-5797-2018</t>
  </si>
  <si>
    <t>Wilson, Gary/0000-0003-0025-3641; Ohneiser, Christian/0000-0002-2781-2522</t>
  </si>
  <si>
    <t>New Zealand Foundation for Research, Science and Technology as part of the New Zealand ANDRILL</t>
  </si>
  <si>
    <t>This. work was supported by the New Zealand Foundation for Research, Science and Technology as part of the New Zealand ANDRILL grant. We thank Fabio Florindo and Leonardo Sagnotti for helpful discussions and the technical support and Mat Lilly for help with EPMA analyses. We thank Matt Olney, Steven Petrushak, and Simon Harder Holm Nielsen at the Antarctic Marine Geology Research Facility, Florida State University for assistance with sample collection. We are grateful for helpful discussions with Diane Winter and Richard Levy regarding biostratigraphic ages used in our correlations.</t>
  </si>
  <si>
    <t>82-83</t>
  </si>
  <si>
    <t>10.1016/j.gloplacha.2011.11.007</t>
  </si>
  <si>
    <t>900WI</t>
  </si>
  <si>
    <t>WOS:000300922000002</t>
  </si>
  <si>
    <t>Hauptvogel, DW; Passchier, S</t>
  </si>
  <si>
    <t>Hauptvogel, Daniel W.; Passchier, Sandra</t>
  </si>
  <si>
    <t>Early-Middle Miocene (17-14 Ma) Antarctic ice dynamics reconstructed from the heavy mineral provenance in the AND-2A drill core, Ross Sea, Antarctica</t>
  </si>
  <si>
    <t>Antarctica; Miocene; ANDRILL; heavy mineral analysis; SEM-EDS; ice-sheet</t>
  </si>
  <si>
    <t>TRANSANTARCTIC MOUNTAINS; LANDSCAPE EVOLUTION; GLACIAL HISTORY; MCMURDO SOUND; VICTORIA LAND; SIRIUS GROUP; LATE NEOGENE; LEVEL CHANGE; SHEET; RECORD</t>
  </si>
  <si>
    <t>The Miocene Climatic Optimum (17-15 Ma) and the rapid cooling of the Middle Miocene Climate Transition (15-13 Ma) together signal a major change in Earth's climate system. Here we examine the sediment provenance in the AND-2A drill core, located 10 km from the East Antarctic coastline, to significantly increase our understanding of Antarctic ice development, glacial erosion, and transport in the Ross embayment during this time. Heavy minerals are very diagnostic of source rock types and assemblages can be used to track changes in the areas of maximum erosion under the margin of an ice sheet. We used a combination of optical mineralogy and SEM-EDS analysis to characterize the heavy mineral fractions of diamictites and sandstones in the upper 650 m of AND-2A, which includes an expanded section dated between similar to 17 and 14 Ma. We find four diagnostic heavy mineral assemblages distributed in intervals throughout the core: I. (650-552 mbsf) elevated orthopyroxene, titanaugite, and carbonate contents; II. (552-308 mbsf) abundant diopside, pigeonite, and orthopyroxene, with sillimanite and kyanite; III. (308-250 mbsf) increasing contents of garnet and green hornblende; and IV. (250-20 mbsf) abundant green hornblende, titanaugite, green augite, and carbonate. Based on the heavy mineral analysis we demonstrate that (1) the ice sheet was grounded on the shelf at similar to 17.7-17.1 Ma, and it was eroding Cenozoic volcanic rocks to the south of the drillsite; (2) during the early part of the Miocene Climatic Optimum (similar to 17.1-15.5 Ma) the East Antarctic Ice Sheet retreated landward into upland regions of the Transantarctic Mountains, where it eroded dolerite sills and high-grade metamorphic rocks; (3) immediately prior to the Middle Miocene Climate Transition (15.5-14.3 Ma), the East Antarctic ice advanced and eroded granitic and low-medium grade metamorphic basement rocks in the coastal sections of the Transantarctic Mountains; and (4) following this initial phase of ice growth, the West Antarctic Ice Sheet and the East Antarctic Ice Sheet coalesced into a larger than modern (interglacial) Antarctic Ice Sheet prior to 14.3 Ma and eroded Cenozoic volcanic and low- to medium-grade metamorphic basement rocks to the south of the drillsite. Our results suggest that, although East Antarctica may have remained glaciated during the Miocene Climatic Optimum, ice extent was reduced to a configuration within the present interglacial extent, even during orbital-scale glacial maxima. Ice growth during the Middle Miocene Climate Transition commenced at ca. 15.5 Ma in the Ross Sea basin, which is slightly earlier than inferred from deep-sea stable isotope records, but in agreement with low-latitude sea-level reconstructions. (C) 2011 Elsevier B.V. All rights reserved.</t>
  </si>
  <si>
    <t>[Hauptvogel, Daniel W.; Passchier, Sandra] Montclair State Univ, Dept Earth &amp; Environm Studies, Montclair, NJ 07043 USA</t>
  </si>
  <si>
    <t>Montclair State University</t>
  </si>
  <si>
    <t>Passchier, S (corresponding author), Montclair State Univ, Dept Earth &amp; Environm Studies, Montclair, NJ 07043 USA.</t>
  </si>
  <si>
    <t>passchiers@mail.montclair.edu</t>
  </si>
  <si>
    <t>Passchier, Sandra/GYU-2381-2022; Passchier, Sandra/AAQ-2243-2021; Passchier, Sandra/B-1993-2008</t>
  </si>
  <si>
    <t>Passchier, Sandra/0000-0001-7204-7025; Passchier, Sandra/0000-0001-7204-7025; Hauptvogel, Daniel/0000-0001-7742-9719</t>
  </si>
  <si>
    <t>National Science Foundation [0342484]; US National Science Foundation; NZ Foundation for Research Science and Technology; Royal Society of New Zealand; Italian Antarctic Research Programme; German Research Foundation (DFG); Alfred Wegener Institute for Polar and Marine Research (Helmholtz Association of German Research Centres); Antarctica New Zealand; Raytheon Polar Services</t>
  </si>
  <si>
    <t>National Science Foundation(National Science Foundation (NSF)); US National Science Foundation(National Science Foundation (NSF)); NZ Foundation for Research Science and Technology(New Zealand Foundation for Research, Science and Technology); Royal Society of New Zealand(Royal Society of New Zealand); Italian Antarctic Research Programme; German Research Foundation (DFG)(German Research Foundation (DFG)); Alfred Wegener Institute for Polar and Marine Research (Helmholtz Association of German Research Centres); Antarctica New Zealand; Raytheon Polar Services</t>
  </si>
  <si>
    <t>This material is based upon work supported by the National Science Foundation under Cooperative Agreement No. 0342484 through sub-awards administered and issued by the ANDRILL Science Management Office at the University of Nebraska-Lincoln, as part of the ANDRILL U.S. Science Support Program. Any opinions, findings, and conclusions or recommendations expressed in this material are those of the author(s) and do not necessarily reflect the views of the National Science Foundation. The ANDRILL Program is a multinational collaboration between the Antarctic Programs of Germany, Italy, New Zealand and the United States. Antarctica New Zealand is the project operator, and has developed the drilling system in collaboration with Alex Pyne at Victoria University of Wellington and Webster Drilling and Enterprises Ltd. Scientific studies are jointly supported by the US National Science Foundation, NZ Foundation for Research Science and Technology, Royal Society of New Zealand Marsden Fund, the Italian Antarctic Research Programme, the German Research Foundation (DFG) and the Alfred Wegener Institute for Polar and Marine Research (Helmholtz Association of German Research Centres). Antarctica New Zealand supported the drilling team at Scott Base; Raytheon Polar Services supported the science team at McMurdo Station and the Crary Science and Engineering Laboratory. The ANDRILL Science Management Office at the University of Nebraska-Lincoln provided science planning and operational support.</t>
  </si>
  <si>
    <t>10.1016/j.gloplacha.2011.11.003</t>
  </si>
  <si>
    <t>WOS:000300922000004</t>
  </si>
  <si>
    <t>Di Giuseppe, G; Cervia, D; Vallesi, A</t>
  </si>
  <si>
    <t>Di Giuseppe, Graziano; Cervia, Davide; Vallesi, Adriana</t>
  </si>
  <si>
    <t>Divergences in the Response to Ultraviolet Radiation Between Polar and Non-Polar Ciliated Protozoa UV Radiation Effects in Euplotes</t>
  </si>
  <si>
    <t>AMINO-ACIDS; DAMAGE; FOCARDII; NOBILII; COMMON; OZONE; DEATH</t>
  </si>
  <si>
    <t>Ultraviolet (UV) radiation has detrimental effects on marine ecosystems, in particular in the polar regions where stratospheric ozone reduction causes higher levels of solar radiation. We analyzed two polar species of Euplotes, Euplotes focardii and Euplotes nobilii, for the sensitivity to UV radiation in comparison with two akin species from mid-latitude and tropical waters. Results showed that they face UV radiation much more efficiently than the non-polar species by adopting alternative strategies that most likely reflect different times of colonization of the polar waters. While E. focardii, which is endemic to the Antarctic, survives for longer exposed to UV radiation, E. nobilii, which inhabits both the Antarctic and Arctic, recovers faster from UV-induced damage.</t>
  </si>
  <si>
    <t>[Vallesi, Adriana] Univ Camerino, Dipartimento Sci Ambientali &amp; Nat, I-62032 Camerino, MC, Italy; [Di Giuseppe, Graziano] Univ Pisa, Dipartimento Biol, I-56126 Pisa, Italy; [Cervia, Davide] Univ Tuscia, DIBAF, I-01100 Viterbo, Italy</t>
  </si>
  <si>
    <t>University of Camerino; University of Pisa; Tuscia University</t>
  </si>
  <si>
    <t>Vallesi, A (corresponding author), Univ Camerino, Dipartimento Sci Ambientali &amp; Nat, Via Gentile 3 Varano, I-62032 Camerino, MC, Italy.</t>
  </si>
  <si>
    <t>gdigiuseppe@biologia.unipi.it; d.cervia@unitus.it; adriana.vallesi@unicam.it</t>
  </si>
  <si>
    <t>Vallesi, Adriana/I-9933-2016; Cervia, Davide/A-8782-2010</t>
  </si>
  <si>
    <t>Vallesi, Adriana/0000-0002-4127-090X; Cervia, Davide/0000-0002-2727-9449; Di Giuseppe, Graziano/0000-0002-9999-7650</t>
  </si>
  <si>
    <t>Programma Nazionale di Ricerche in Antartide (PNRA); project BIOlogical responses to CLIMAte change: from genes to ecological communities (BIOCLIMA)</t>
  </si>
  <si>
    <t>The authors would like to thank Prof. F. Dini and P. Luporini for providing the ciliate cultures and advice for the manuscript preparation, Dr. F. Frontini for helpful technical assistance, Dr. M. B. Dunbar for English language revision, and three anonymous reviewers for improving the original manuscript with helpful suggestions and constructive criticisms. Financial support was provided by the Programma Nazionale di Ricerche in Antartide (PNRA) and the project (to G. D. G.) BIOlogical responses to CLIMAte change: from genes to ecological communities (BIOCLIMA).</t>
  </si>
  <si>
    <t>1432-184X</t>
  </si>
  <si>
    <t>10.1007/s00248-011-9934-4</t>
  </si>
  <si>
    <t>892WO</t>
  </si>
  <si>
    <t>WOS:000300316500009</t>
  </si>
  <si>
    <t>Clark, C; Kinny, PD; Harley, SL</t>
  </si>
  <si>
    <t>Clark, Chris; Kinny, Peter D.; Harley, Simon L.</t>
  </si>
  <si>
    <t>Sedimentary provenance and age of metamorphism of the Vestfold Hills, East Antarctica: Evidence for a piece of Chinese Antarctica?</t>
  </si>
  <si>
    <t>PRECAMBRIAN RESEARCH</t>
  </si>
  <si>
    <t>Antarctica; Vestfold Hills; North China Craton; India; Archaean; Supercontinent</t>
  </si>
  <si>
    <t>PRINCE CHARLES MOUNTAINS; U-PB; PRYDZ BAY; SM-ND; EVOLUTION; BLOCK; GRANULITES; GEOCHRONOLOGY; PRESSURE; MONAZITE</t>
  </si>
  <si>
    <t>The Vestfold Hills terrane in East Antarctica is a granulite facies terrane that preserves a record of sedimentation, magmatism and metamorphism that differs significantly from the other Archaean terranes exposed in East Antarctica. Sensitive High Resolution Ion Mass Spectrometry (SHRIMP) U-Pb isotopic data from detrital zircon cores, metamorphic rims and metamorphic zircon and monazite from the granulite facies Chelnok and Taynaya Paragneisses that demonstrate Archaean ages that are incompatible with the established ages of other East Antarctic source regions. The original sediments to the Chelnok and Taynaya Paragneisses were deposited between c. 2575 and c. 2520 Ma and underwent a protracted period of high-grade granulite-facies metamorphism from c. 2520 to c. 2450 Ma that is synchronous with the emplacement of the tonalitic Mossel Gneiss and the granitic to gabbroic rocks of the Crooked Lake Gneiss Group. The distinctive detrital zircon age populations and the period metamorphism recorded by the Vestfold Hills paragneisses lead us to speculate that: (1) these rocks were sourced from, and deposited on the margin of the crystalline basement to the North China Craton at the end of the Archaean, and (2) they underwent a period of high-grade metamorphism related to orogenesis driven by the collision of the North China Craton with the Archaean nucleus of South India during the late-Archaean to early-Paleoproterozoic. (C) 2011 Elsevier B.V. All rights reserved.</t>
  </si>
  <si>
    <t>[Clark, Chris; Kinny, Peter D.] Curtin Univ Technol, Dept Appl Geol, Inst Geosci Res TIGeR, Perth, WA 6845, Australia; [Harley, Simon L.] Univ Edinburgh, Grant Inst Geosci, Edinburgh, Midlothian, Scotland</t>
  </si>
  <si>
    <t>Curtin University; University of Edinburgh</t>
  </si>
  <si>
    <t>Clark, C (corresponding author), Curtin Univ Technol, Dept Appl Geol, Inst Geosci Res TIGeR, GPO Box 1987, Perth, WA 6845, Australia.</t>
  </si>
  <si>
    <t>C.Clark@curtin.edu.au</t>
  </si>
  <si>
    <t>Kinny, Peter/AAB-8474-2019; Clark, Chris/B-6471-2008</t>
  </si>
  <si>
    <t>Kinny, Peter/0000-0001-8296-2155; Clark, Chris/0000-0001-9982-7849; Harley, Simon/0000-0002-1903-939X</t>
  </si>
  <si>
    <t>Curtin University</t>
  </si>
  <si>
    <t>The authors would like to acknowledge the Australian Antarctic Division for fieldwork support in the Vestfold Hills during the 2006/07 season through ASAC project 2447. We would like to thank Ian Fitzsimons, Martin Hand and Alan Collins for discussions about the geology of the Vestfold Hills and Antarctica in general. This contribution was also improved reviews from Joachim Jacobs and an anonymous reviewer whose comments have lead to what is hopefully and improved contribution. Analytical work and salary were provided by a Curtin University Targeted Research Fellowship to CC. SHRIMP analyses were undertaken at the John de Laeter Centre for Mass Spectrometry, a Western Australian state government supported Centre of Excellence.</t>
  </si>
  <si>
    <t>0301-9268</t>
  </si>
  <si>
    <t>1872-7433</t>
  </si>
  <si>
    <t>PRECAMBRIAN RES</t>
  </si>
  <si>
    <t>Precambrian Res.</t>
  </si>
  <si>
    <t>10.1016/j.precamres.2011.11.001</t>
  </si>
  <si>
    <t>902KH</t>
  </si>
  <si>
    <t>WOS:000301036500002</t>
  </si>
  <si>
    <t>Betancor, MB; Nordrum, S; Atalah, E; Caballero, MJ; Benítez-Santana, T; Roo, J; Robaina, L; Izquierdo, M</t>
  </si>
  <si>
    <t>Betancor, Monica Beatriz; Nordrum, Sigve; Atalah, Eyad; Caballero, Maria Jose; Benitez-Santana, Tibiabin; Roo, Javier; Robaina, Lidia; Izquierdo, Marisol</t>
  </si>
  <si>
    <t>Potential of three new krill products for seabream larval production</t>
  </si>
  <si>
    <t>AQUACULTURE RESEARCH</t>
  </si>
  <si>
    <t>krill; phospholipids; microdiets; seabream larvae</t>
  </si>
  <si>
    <t>BREAM SPARUS-AURATA; TURBOT SCOPHTHALMUS-MAXIMUS; DIETARY PHOSPHOLIPID LEVEL; GILTHEAD SEABREAM; EICOSAPENTAENOIC ACID; NEUTRAL LIPIDS; POLAR LIPIDS; FISH LARVAE; FATTY-ACIDS; GROWTH</t>
  </si>
  <si>
    <t>The objective of this study was to evaluate three products derived from krill as sources of essential fatty acids, protein and, particularly, phospholipids in microdiets for larval gilthead seabream (Sparus aurata). Their effect on larval performance, biochemical composition and histological development was investigated. The addition of krill phospholipids, rich in highly unsaturated fatty acids, improved larval sea bream growth in terms of weight and length, enhanced hepatic utilization of dietary lipids and reduced the incidence of enterocyte injuries. These results confirm the higher nutritional value of marine phospholipids for the early development of marine fish larvae in comparison with soybean phospholipids.</t>
  </si>
  <si>
    <t>[Betancor, Monica Beatriz; Atalah, Eyad; Caballero, Maria Jose; Benitez-Santana, Tibiabin; Roo, Javier; Robaina, Lidia; Izquierdo, Marisol] Univ Palmas Gran Canaria, Grp Invest Acuicultura, Arucas 35413, Las Palmas De G, Spain; [Nordrum, Sigve] Aker BioMarine Antarctic AS, Oslo, Norway</t>
  </si>
  <si>
    <t>Universidad de Las Palmas de Gran Canaria</t>
  </si>
  <si>
    <t>Betancor, MB (corresponding author), Univ Palmas Gran Canaria, Grp Invest Acuicultura, Trasmontana S-N, Arucas 35413, Las Palmas De G, Spain.</t>
  </si>
  <si>
    <t>monica.betancor102@doctorandos.ulpgc.es</t>
  </si>
  <si>
    <t>Roo, Javier/HKN-9786-2023; Caballero, Maria Jose/U-7580-2019; Betancor, Monica B/K-1952-2012; Caballero, Maria Jose/J-6599-2017; Robaina, Lidia/I-2128-2015</t>
  </si>
  <si>
    <t>Roo, Javier/0000-0002-9660-230X; Caballero, Maria Jose/0000-0002-2575-0997; Caballero, Maria Jose/0000-0002-2575-0997; Izquierdo, Marisol/0000-0003-3583-6660; Marisol, Izquierdo/0000-0003-4297-210X; Robaina, Lidia/0000-0003-4857-6693; Betancor, Monica/0000-0003-1626-7458</t>
  </si>
  <si>
    <t>1355-557X</t>
  </si>
  <si>
    <t>AQUAC RES</t>
  </si>
  <si>
    <t>Aquac. Res.</t>
  </si>
  <si>
    <t>10.1111/j.1365-2109.2011.02842.x</t>
  </si>
  <si>
    <t>886DX</t>
  </si>
  <si>
    <t>WOS:000299833300008</t>
  </si>
  <si>
    <t>Doiron, EE; Rouget, PA; Terhune, JM</t>
  </si>
  <si>
    <t>Doiron, Elyse E.; Rouget, Philippe A.; Terhune, John M.</t>
  </si>
  <si>
    <t>Proportional underwater call type usage by Weddell seals (Leptonychotes weddellii) in breeding and nonbreeding situations</t>
  </si>
  <si>
    <t>CANADIAN JOURNAL OF ZOOLOGY-REVUE CANADIENNE DE ZOOLOGIE</t>
  </si>
  <si>
    <t>VESTFOLD HILLS; MCMURDO-SOUND; GEOGRAPHIC-VARIATION; PINNIPEDIA PHOCIDAE; ANTARCTICA; VOCALIZATIONS; PATTERNS; FREQUENCY; FIDELITY; ECOLOGY</t>
  </si>
  <si>
    <t>Proportional underwater call type usage by Weddell seals (Leptonychotes weddellii (Lesson, 1826)) near Mawson, Antarctica, investigated the hypothesis that certain call types function specifically in breeding behaviour. Recordings were collected at various sites in 2000 and 2002 from June to December. Twenty-four hour recordings were collected in 2002 at two sites. One hundred consecutive calls from each of 248 recordings were classified into one of ten common call types. Time to 100 calls provided the calling rate. The study period was divided into four periods representing initial sea-ice formation, pre-pupping, pupping, and mating. Calling rate and light dark differences were also examined. No presence absence differences were observed for any of the call types with season. The largest difference between nonbreeding and breeding situations was an increase from 32.2% to 38.1% for descending whistles (F-[3,F-244] = 4.483, p = 0.004). Trills gradually increased from 1.8% to 7.3% toward the mating period (F-[3,F-244] = 30.932, p &lt; 0.001). The proportion of trills, chugs, descending whistles, and other call types also varied with calling rate and light dark conditions. Some pre-reproductive behaviours may occur in winter, but no call types of Weddell seals function solely in the breeding season.</t>
  </si>
  <si>
    <t>[Doiron, Elyse E.; Rouget, Philippe A.; Terhune, John M.] Univ New Brunswick, Dept Biol, St John, NB E2L 4L5, Canada</t>
  </si>
  <si>
    <t>University of New Brunswick</t>
  </si>
  <si>
    <t>Terhune, JM (corresponding author), Univ New Brunswick, Dept Biol, St John, NB E2L 4L5, Canada.</t>
  </si>
  <si>
    <t>terhune@unbsj.ca</t>
  </si>
  <si>
    <t>Terhune, John/0000-0002-2661-7389</t>
  </si>
  <si>
    <t>Natural Sciences and Engineering Research Council of Canada (NSERC)</t>
  </si>
  <si>
    <t>Natural Sciences and Engineering Research Council of Canada (NSERC)(Natural Sciences and Engineering Research Council of Canada (NSERC))</t>
  </si>
  <si>
    <t>P. Abgrall made the recordings in 2000 and reviewed earlier versions of the manuscript. We thank the Australian Antarctic Division and the Mawson Station overwinterers of 2000 and 2002 for their contributions in the field. Financial support was provided by the Natural Sciences and Engineering Research Council of Canada (NSERC) through a Discovery Grant awarded to J.T. and a USRA awarded to E.D. The hydrophones were provided by the Maas Family Fund. We also thank A. Wilson, L. Charlton, and A. Morris for their assistance with the data analyses and manuscript preparation. C. Stewart provided advice on the statistical analyses. Two anonymous reviewers are thanked for their advice and constructive criticisms.</t>
  </si>
  <si>
    <t>CANADIAN SCIENCE PUBLISHING, NRC RESEARCH PRESS</t>
  </si>
  <si>
    <t>1200 MONTREAL ROAD, BUILDING M-55, OTTAWA, ON K1A 0R6, CANADA</t>
  </si>
  <si>
    <t>Can. J. Zool.-Rev. Can. Zool.</t>
  </si>
  <si>
    <t>10.1139/Z11-131</t>
  </si>
  <si>
    <t>901LC</t>
  </si>
  <si>
    <t>WOS:000300967400010</t>
  </si>
  <si>
    <t>New species discovered around Antarctic vents</t>
  </si>
  <si>
    <t>900CS</t>
  </si>
  <si>
    <t>WOS:000300864800002</t>
  </si>
  <si>
    <t>Renaudie, J; Lazarus, DB</t>
  </si>
  <si>
    <t>Renaudie, Johan; Lazarus, David B.</t>
  </si>
  <si>
    <t>New species of Neogene radiolarians from the Southern Ocean</t>
  </si>
  <si>
    <t>JOURNAL OF MICROPALAEONTOLOGY</t>
  </si>
  <si>
    <t>Radiolaria; Polycystinea; Antarctic; Cenozoic; taxonomy</t>
  </si>
  <si>
    <t>NEW-ZEALAND; BIOSTRATIGRAPHY; CLASSIFICATION; OLIGOCENE; ATLANTIC; PACIFIC; EOCENE</t>
  </si>
  <si>
    <t>Antarctic Neogene radiolarians are abundant and have great potential for biostratigraphy and evolutionary research. Many of the species found in sediments have not yet been described and are thus unavailable for research purposes. In the first of a planned series, 24 new species of Antarctic Neogene radiolarians are described herein: two entactinarians (Orodapis hericina and Orodapis? ferrealuma), two spumellarians (Actinomma nigriniae and Carposphaera? annikae) and twenty nassellarians (Acrosphaera cuniculiauris, Amphimelissa? hibernifortuna, Antarctissa ballista, Artostrobus semazen, Botryopera gibbera, Carpocanium? uburex, Ceratocyrtis dolvenae, Cystophormis gargantua, Dendrospyris jobstae, Dictyophimus? kiwi, Dictyophimus larus, Gondwanaria clarae, Lithomelissa vespa, Lophophaena leberu, Siphonosphaera abelmannae, Siphostichartus jahnae, Spirocyrtis? hollisi, Stichophormis? cheni, Syscioscenium? wabisabi, Trisulcus pinguiculus). J. Micropalaeontol. 31(1): 29-52, February 2012.</t>
  </si>
  <si>
    <t>[Renaudie, Johan; Lazarus, David B.] Humboldt Univ, Museum Nat Kunde, Leibniz Inst Evolut &amp; Biodiversitatsforsch, D-10115 Berlin, Germany</t>
  </si>
  <si>
    <t>Leibniz Institut fur Evolutions und Biodiversitatsforschung; Humboldt University of Berlin</t>
  </si>
  <si>
    <t>Renaudie, J (corresponding author), Humboldt Univ, Museum Nat Kunde, Leibniz Inst Evolut &amp; Biodiversitatsforsch, Invalidenstr 43, D-10115 Berlin, Germany.</t>
  </si>
  <si>
    <t>johan.renaudie@mfn-berlin.de</t>
  </si>
  <si>
    <t>Renaudie, Johan/D-9077-2012</t>
  </si>
  <si>
    <t>Renaudie, Johan/0000-0002-9107-1984</t>
  </si>
  <si>
    <t>DFG (German Science Foundation)</t>
  </si>
  <si>
    <t>DFG (German Science Foundation)(German Research Foundation (DFG))</t>
  </si>
  <si>
    <t>The authors would like to thank Annika Sanfilippo, Kjell R. Bjorklund and John Gregory for their helpful comments, IODP for providing the samples and the DFG (German Science Foundation) for supporting the project.</t>
  </si>
  <si>
    <t>GEOLOGICAL SOC PUBL HOUSE</t>
  </si>
  <si>
    <t>BATH</t>
  </si>
  <si>
    <t>UNIT 7, BRASSMILL ENTERPRISE CENTRE, BRASSMILL LANE, BATH BA1 3JN, AVON, ENGLAND</t>
  </si>
  <si>
    <t>0262-821X</t>
  </si>
  <si>
    <t>J MICROPALAEONTOL</t>
  </si>
  <si>
    <t>J. Micropalaentol.</t>
  </si>
  <si>
    <t>10.1144/0262-821X10-026</t>
  </si>
  <si>
    <t>897BO</t>
  </si>
  <si>
    <t>WOS:000300616100002</t>
  </si>
  <si>
    <t>Haidr, N; Hospitaleche, CA</t>
  </si>
  <si>
    <t>Haidr, Nadia; Acosta Hospitaleche, Carolina</t>
  </si>
  <si>
    <t>Feeding habits of Antarctic Eocene penguins from a morphofunctional perspective</t>
  </si>
  <si>
    <t>NEUES JAHRBUCH FUR GEOLOGIE UND PALAONTOLOGIE-ABHANDLUNGEN</t>
  </si>
  <si>
    <t>Fossil Spheniscidae; Antarctica; anatomy; osteology; musculature</t>
  </si>
  <si>
    <t>EVOLUTION; SHAPE</t>
  </si>
  <si>
    <t>Cranial and mandibular penguin remains from the Eocene of Antarctica were studied in order to determine their feeding habits and food item preferences. Their osteology and musculature were compared with those of modern taxa. Different morphotypes were recognized based on their skull, configuration of the articular region of the mandible and bill shape. The results point to a variety of trophic habits and food preferences consistent with the known taxonomic diversity for this unit. For the middle Eocene, large sized penguins were interpreted as fish and crustacean eaters, whereas for the late Eocene, taxonomic diversity and number of individuals in the colonies during the late Eocene seems to increase. This colony could be reconstructed as being composed of medium-sized generalist penguins, piscivorous large-and medium-sized species, and also large penguins with a diet based on crustaceans and squids.</t>
  </si>
  <si>
    <t>[Haidr, Nadia; Acosta Hospitaleche, Carolina] Univ Nacl La Plata, Museo La Plata, Div Paleontol Vertebrados, Comis Nacl Invest Cient &amp; Tecn, RA-1900 La Plata, Buenos Aires, Argentina; [Acosta Hospitaleche, Carolina] Univ Nacl La Plata, Comis Nacl Invest Cient &amp; Tecn, Fac Ciencias Nat &amp; Museo, RA-1900 La Plata, Buenos Aires, Argentina</t>
  </si>
  <si>
    <t>National University of La Plata; Museo La Plata; National University of La Plata; Museo La Plata</t>
  </si>
  <si>
    <t>Haidr, N (corresponding author), Univ Nacl La Plata, Museo La Plata, Div Paleontol Vertebrados, Comis Nacl Invest Cient &amp; Tecn, Paseo Bosque S-N, RA-1900 La Plata, Buenos Aires, Argentina.</t>
  </si>
  <si>
    <t>nadiahaidr@gmail.com; acostacaro@fcnym.unlp.edu.ar</t>
  </si>
  <si>
    <t>Acosta Hospitaleche, Carolina/E-5740-2017</t>
  </si>
  <si>
    <t>Acosta Hospitaleche, Carolina/0000-0002-2614-1448; Haidr, Nadia/0000-0002-6335-2105</t>
  </si>
  <si>
    <t>Agencia Nacional de Promocion Cientifica y Tecnologica; Consejo Nacional de Investigaciones Cientificas y Tecnicas</t>
  </si>
  <si>
    <t>Agencia Nacional de Promocion Cientifica y Tecnologica(ANPCyTSpanish Government); Consejo Nacional de Investigaciones Cientificas y Tecnicas(Consejo Nacional de Investigaciones Cientificas y Tecnicas (CONICET))</t>
  </si>
  <si>
    <t>We thank the Agencia Nacional de Promocion Cientifica y Tecnologica and Consejo Nacional de Investigaciones Cientificas y Tecnicas for financial support. We would like to thank LEONEL ACOSTA who prepared the fossils, Dr CECILIA MORGAN who improved the English grammar and Dr MARCELO REGUERO for the access to the material. Finally, we like to thank the reviewers Dr. WASHINGTON JONES and Dr. ANTONIO SANCHEZ-MARCO for their valuable comments.</t>
  </si>
  <si>
    <t>E SCHWEIZERBARTSCHE VERLAGSBUCHHANDLUNG</t>
  </si>
  <si>
    <t>NAEGELE U OBERMILLER, SCIENCE PUBLISHERS, JOHANNESSTRASSE 3A, D 70176 STUTTGART, GERMANY</t>
  </si>
  <si>
    <t>0077-7749</t>
  </si>
  <si>
    <t>NEUES JAHRB GEOL P-A</t>
  </si>
  <si>
    <t>Neues. Jahrb. Geol. Palaontol.-Abh.</t>
  </si>
  <si>
    <t>10.1127/0077-7749/2012/0217</t>
  </si>
  <si>
    <t>896XP</t>
  </si>
  <si>
    <t>WOS:000300605000004</t>
  </si>
  <si>
    <t>White, DA; Hafsteinsdóttir, EG; Gore, DB; Thorogood, G; Stark, SC</t>
  </si>
  <si>
    <t>White, Duanne A.; Hafsteinsdottir, Erla G.; Gore, Damian B.; Thorogood, Gordon; Stark, Scott C.</t>
  </si>
  <si>
    <t>Formation and stability of Pb-, Zn- &amp; Cu-PO4 phases at low temperatures: Implications for heavy metal fixation in polar environments</t>
  </si>
  <si>
    <t>ENVIRONMENTAL POLLUTION</t>
  </si>
  <si>
    <t>Orthophosphate; Thala Valley; Landfill; X-ray diffraction (XRD); Antarctica</t>
  </si>
  <si>
    <t>SMELTER-CONTAMINATED SOIL; IN-SITU STABILIZATION; MINERALOGICAL FORMS; COPPER PHOSPHATE; MOLECULAR-SIEVES; WRIGHT VALLEY; FREEZE-THAW; LEAD; ZINC; REMEDIATION</t>
  </si>
  <si>
    <t>Low temperatures and frequent soil freeze thaw in polar environments present challenges for the immobilisation of metals. To address these challenges we investigated the chemical forms of Pb, Zn and Cu in an Antarctic landfill, examined in vitro reaction kinetics of these metals and orthophosphate at 2 and 22 degrees C for up to 185 days, and subjected the products to freeze thaw. Reaction products at both temperatures were similar, but the rate of production varied, with Cu-PO4 phases forming faster, and the Zn- and Pb-PO4 phases slower at 2 degrees C. All metal-orthophosphate phases produced were stable during a 2.5 h freeze thaw cycle to 30 degrees C. Metal immobilisation using orthophosphate can be successful in polar regions, but treatments will need to consider differing mineral stabilities and reaction rates allow temperatures. (C) 2011 Elsevier Ltd. All rights reserved.</t>
  </si>
  <si>
    <t>[White, Duanne A.; Hafsteinsdottir, Erla G.; Gore, Damian B.] Macquarie Univ, Dept Environm &amp; Geog, N Ryde, NSW 2109, Australia; [Thorogood, Gordon] ANSTO, Inst Mat Engn, Menai, NSW 2334, Australia; [Stark, Scott C.] Australian Antarctic Div, Kingston, Tas 7050, Australia; [White, Duanne A.] Univ Canberra, Inst Appl Ecol, Canberra, ACT 2601, Australia</t>
  </si>
  <si>
    <t>Macquarie University; Australian Nuclear Science &amp; Technology Organisation; Australian Antarctic Division; University of Canberra</t>
  </si>
  <si>
    <t>White, DA (corresponding author), Macquarie Univ, Dept Environm &amp; Geog, N Ryde, NSW 2109, Australia.</t>
  </si>
  <si>
    <t>duanne.white@canberra.edu.au</t>
  </si>
  <si>
    <t>White, Duanne A/E-6919-2012; Thorogood, Gordon J/A-7411-2008</t>
  </si>
  <si>
    <t>Thorogood, Gordon J/0000-0001-9993-7896; Gore, Damian/0000-0002-0377-8518; White, Duanne/0000-0003-0740-2072</t>
  </si>
  <si>
    <t>Australian Research Council; PANalytical and Veolia Environmental Services [LP0776373]; Australian Antarctic Division [AAS2937]; Australian Synchrotron [AS_2008/2, 583]; Australian Institute of Nuclear Science and Engineering [AINGRA08127P]; Australian Research Council [LP0776373] Funding Source: Australian Research Council</t>
  </si>
  <si>
    <t>Australian Research Council(Australian Research Council); PANalytical and Veolia Environmental Services; Australian Antarctic Division; Australian Synchrotron; Australian Institute of Nuclear Science and Engineering; Australian Research Council(Australian Research Council)</t>
  </si>
  <si>
    <t>We thank Russell Field for help in XRD preparation and measurement, Kia Wallwork for assistance with the synchrotron analyses, Chris Marjo and Yu Wang for help identifying the problematic Cu phases, and Helen Pask for assistance with the Raman measurements and interpretation. For financial assistance we thank the Australian Research Council, PANalytical and Veolia Environmental Services (grant LP0776373), the Australian Antarctic Division (AAS2937), Australian Synchrotron (grant AS_2008/2, number 583), and Australian Institute of Nuclear Science and Engineering (AINGRA08127P).</t>
  </si>
  <si>
    <t>0269-7491</t>
  </si>
  <si>
    <t>ENVIRON POLLUT</t>
  </si>
  <si>
    <t>Environ. Pollut.</t>
  </si>
  <si>
    <t>10.1016/j.envpol.2011.09.035</t>
  </si>
  <si>
    <t>896BB</t>
  </si>
  <si>
    <t>WOS:000300539300020</t>
  </si>
  <si>
    <t>Fraser, AD; Massom, RA; Michael, KJ; Galton-Fenzi, BK; Lieser, JL</t>
  </si>
  <si>
    <t>Fraser, Alexander D.; Massom, Robert A.; Michael, Kelvin J.; Galton-Fenzi, Benjamin K.; Lieser, Jan L.</t>
  </si>
  <si>
    <t>East Antarctic Landfast Sea Ice Distribution and Variability, 2000-08</t>
  </si>
  <si>
    <t>LUTZOW-HOLM BAY; ADELIE LAND; ICEBERG; TRACKING; GROWTH; IMAGES; COVER; SHELF</t>
  </si>
  <si>
    <t>This study presents the first continuous, high spatiotemporal resolution time series of landfast sea ice extent along the East Antarctic coast for the period March 2000-December 2008. The time series was derived from consecutive 20-day cloud-free Moderate Resolution Imaging Spectroradiometer (MODIS) composite images. Fast ice extent across the East Antarctic coast shows a statistically significant (1.43% +/- 0.30% yr(-1)) increase. Regionally, there is a strong increase in the Indian Ocean sector (20 degrees-90 degrees E, 4.07% +/- 0.42% yr(-1)), and a nonsignificant decrease in the western Pacific Ocean sector (90 degrees-160 degrees E, -0.40% +/- 0.37% yr(-1)). An apparent shift from a negative to a positive extent trend is observed in the Indian Ocean sector from 2004. This shift also coincides with a greater amount of interannual variability. No such shift in apparent trend is observed in the western Pacific Ocean sector, where fast ice extent is typically higher and variability lower than the Indian Ocean sector. The limit to the maximum fast ice areal extent imposed by the location of grounded icebergs modulates the shape of the mean annual fast ice extent cycle to give a broad maximum and an abrupt, relatively transient minimum. Ten distinct fast ice regimes are identified, related to variations in bathymetry and coastal configuration. Fast ice is observed to form in bays, on the windward side of large grounded icebergs, between groups of smaller grounded icebergs, between promontories, and upwind of coastal features (e. g., glacier tongues). Analysis of the timing of fast ice maxima and minima is also presented and compared with overall sea ice maxima/minima timing.</t>
  </si>
  <si>
    <t>[Fraser, Alexander D.; Massom, Robert A.; Michael, Kelvin J.; Galton-Fenzi, Benjamin K.; Lieser, Jan L.] Univ Tasmania, Antarctic Climate &amp; Ecosyst Cooperat Res Ctr, Hobart, Tas 7001, Australia; [Fraser, Alexander D.; Michael, Kelvin J.] Univ Tasmania, Inst Marine &amp; Antarctic Studies, Hobart, Tas 7001, Australia; [Massom, Robert A.] Australian Antarctic Div, Kingston, Tas, Australia</t>
  </si>
  <si>
    <t>University of Tasmania; Antarctic Climate &amp; Ecosystems Cooperative Research Centre (ACE CRC); University of Tasmania; Australian Antarctic Division</t>
  </si>
  <si>
    <t>Fraser, AD (corresponding author), Univ Tasmania, Antarctic Climate &amp; Ecosyst Cooperat Res Ctr, Private Bag 80, Hobart, Tas 7001, Australia.</t>
  </si>
  <si>
    <t>adfraser@utas.edu.au</t>
  </si>
  <si>
    <t>Fraser, Alexander/AFO-7186-2022; Lieser, Jan/J-7157-2014; Michael, Kelvin/J-7217-2014</t>
  </si>
  <si>
    <t>Fraser, Alexander/0000-0003-1924-0015; Lieser, Jan/0000-0001-6870-1311; Michael, Kelvin/0000-0002-5427-7393; Galton-Fenzi, Benjamin Keith/0000-0003-1404-4103; Massom, Robert/0000-0003-1533-5084</t>
  </si>
  <si>
    <t>Australian Government's Cooperative Research Centres through the Antarctic Climate and Ecosystems Cooperative Research Centre (ACE CRC); Australian Antarctic Science Project [3024]; CPC [18]</t>
  </si>
  <si>
    <t>Australian Government's Cooperative Research Centres through the Antarctic Climate and Ecosystems Cooperative Research Centre (ACE CRC)(Australian GovernmentDepartment of Industry, Innovation and ScienceCooperative Research Centres (CRC) Programme); Australian Antarctic Science Project; CPC</t>
  </si>
  <si>
    <t>This work was carried out with the support of the Australian Government's Cooperative Research Centres Program through the Antarctic Climate and Ecosystems Cooperative Research Centre (ACE CRC) and contributes to Australian Antarctic Science Project 3024 and CPC Project 18. MODIS data were obtained from the NASA Level 1 Atmosphere Archive and Distribution System (LAADS) (http://ladsweb.nascom.nasa.gov/). Smith and Sandwell bathymetry data were obtained from the Scripps Institution of Oceanography (http://topex.ucsd.edu/marine_topo/mar_topo.html). AMSR-E ASI sea ice concentration data were obtained from the University of Hamburg (ftp://ftp-projects.zmaw.de/seaice/AMSR-E/). SSM/I sea ice concentration data (dataset reference NSIDC-0079) were obtained from the NASA Earth Observing System Distributed Active Archive Center (DAAC) at the U. S. National Snow and Ice Data Center (NSIDC), University of Colorado, Boulder (http://www.nsidc.org). ECMWF interim re-analysis data were obtained from the ECMWF Research Data Server (http://data.ecmwf.int/data/). Thanks to anonymous reviewers for their helpful comments and discussion. The authors wish to thank P. Reid and T. Tamura for their helpful review comments, A. Worby for discussions regarding the data, and D. FitzGerald and R. Warner for discussions about statistics.</t>
  </si>
  <si>
    <t>10.1175/JCLI-D-10-05032.1</t>
  </si>
  <si>
    <t>894HU</t>
  </si>
  <si>
    <t>WOS:000300418500005</t>
  </si>
  <si>
    <t>Saenko, OA; Sen Gupta, A; Spence, P</t>
  </si>
  <si>
    <t>Saenko, Oleg A.; Sen Gupta, Alex; Spence, Paul</t>
  </si>
  <si>
    <t>On Challenges in Predicting Bottom Water Transport in the Southern Ocean</t>
  </si>
  <si>
    <t>OVERTURNING CIRCULATION; EDDY TRANSFER; MODELS; EDDIES; WINDS</t>
  </si>
  <si>
    <t>Changes in the Southern Ocean lower-limb overturning circulation are analyzed using a set of climate models. In agreement with some recently developed theoretical models, it is found that the overturning can be strongly affected by winds. In particular, the simulated strengthening of large-scale southward transport in the abyss is explicitly driven by zonal wind stress. However, there is a considerable range among the climate models in their projected changes of Southern Ocean wind stress. Furthermore, the strengthening of large-scale southward transport tends to be compensated by eddy-induced northward flows in the abyss, particularly at eddy-permitting resolution. As a result, the net Antarctic Bottom Water (AABW) export may only be weakly affected. However, none of the models considered accounts for the possibility that a fraction of the eddy kinetic energy may be converted to diapycnal mixing. If this were the case, the presented energetic arguments suggest that stronger Southern Ocean winds would result in a stronger AABW transport.</t>
  </si>
  <si>
    <t>[Saenko, Oleg A.] Univ Victoria, Environm Canada, Canadian Ctr Climate Modelling &amp; Anal, Victoria, BC V8P 5C2, Canada; [Sen Gupta, Alex; Spence, Paul] Univ New S Wales, Climate Change Res Ctr, Sydney, NSW, Australia</t>
  </si>
  <si>
    <t>Environment &amp; Climate Change Canada; Canadian Centre for Climate Modelling &amp; Analysis (CCCma); University of Victoria; University of New South Wales Sydney</t>
  </si>
  <si>
    <t>Saenko, OA (corresponding author), Univ Victoria, Environm Canada, Canadian Ctr Climate Modelling &amp; Anal, Ocean Earth &amp; Atmospher Sci Bldg,3800 Finnerty Rd, Victoria, BC V8P 5C2, Canada.</t>
  </si>
  <si>
    <t>oleg.saenko@ec.gc.ca</t>
  </si>
  <si>
    <t>Spence, Paul/IZE-7366-2023; Sen Gupta, Alexander/B-7995-2011</t>
  </si>
  <si>
    <t>Spence, Paul/0000-0001-5156-2204; Sen Gupta, Alexander/0000-0001-5226-871X</t>
  </si>
  <si>
    <t>Office of Science, U.S. Department of Energy</t>
  </si>
  <si>
    <t>Office of Science, U.S. Department of Energy(United States Department of Energy (DOE))</t>
  </si>
  <si>
    <t>We acknowledge the international modeling groups for providing their data for analysis, the PCMDI for collecting and archiving the model data, the JSC/CLIVAR Working Group on Coupled Modelling (WGCM) and their CMIP3 project and Climate Simulation Panel for organizing the model data analysis activity, and the IPCC WG1 TSU for technical support. The IPCC Data Archive at Lawrence Livermore National Laboratory is supported by the Office of Science, U.S. Department of Energy. We also thank two anonymous reviewers for very constructive comments.</t>
  </si>
  <si>
    <t>10.1175/JCLI-D-11-00040.1</t>
  </si>
  <si>
    <t>WOS:000300418500019</t>
  </si>
  <si>
    <t>de la Cámara, A; Mancho, AM; Ide, K; Serrano, E; Mechoso, CR</t>
  </si>
  <si>
    <t>de la Camara, Alvaro; Mancho, Ana M.; Ide, Kayo; Serrano, Encarna; Mechoso, Carlos R.</t>
  </si>
  <si>
    <t>Routes of Transport across the Antarctic Polar Vortex in the Southern Spring</t>
  </si>
  <si>
    <t>ROSSBY-WAVE BREAKING; LOWER STRATOSPHERE; MIXING PROPERTIES; DATA SETS; FLOWS; DYNAMICS; PERMEABILITY; TRAJECTORIES; MANIFOLDS; WINTER</t>
  </si>
  <si>
    <t>Transport in the lower stratosphere over Antarctica has been studied in the past by means of several approaches, such as contour dynamics or Lyapunov exponents. This paper examines the problem by means of a new Lagrangian descriptor, which is referred to as the function M. The focus is on the southern spring of 2005, which allows for a comparison with previous analyses based on Lyapunov exponents. With the methodology based on the function M, a much sharper depiction of key Lagrangian features is achieved and routes of large-scale horizontal transport across the vortex edge are captured. These results highlight the importance of lobe dynamics as a transport mechanism across the Antarctic polar vortex.</t>
  </si>
  <si>
    <t>[de la Camara, Alvaro] Univ Complutense Madrid, Dept Geofis &amp; Meteorol, Fac Ciencias Fis, E-28040 Madrid, Spain; [de la Camara, Alvaro; Mancho, Ana M.] CSIC UAM UC3M UCM, Inst Ciencias Matemat, Madrid, Spain; [Ide, Kayo] Ctr Sci Comp &amp; Math Modelling, Dept Atmospher &amp; Ocean Sci, College Pk, MD USA; [Ide, Kayo] Univ Maryland, Inst Phys Sci &amp; Technol, Earth Sci Interdisciplinary Ctr, College Pk, MD 20742 USA; [Mechoso, Carlos R.] Univ Calif Los Angeles, Dept Atmospher &amp; Ocean Sci, Los Angeles, CA USA</t>
  </si>
  <si>
    <t>Complutense University of Madrid; Consejo Superior de Investigaciones Cientificas (CSIC); CSIC - Instituto de Ciencias Matematicas (ICMAT); CSIC - Instituto de Ciencia de Materiales de Madrid (ICMM); University System of Maryland; University of Maryland College Park; University of California System; University of California Los Angeles</t>
  </si>
  <si>
    <t>de la Cámara, A (corresponding author), Univ Complutense Madrid, Dept Geofis &amp; Meteorol, Fac Ciencias Fis, Ciudad Univ, E-28040 Madrid, Spain.</t>
  </si>
  <si>
    <t>alvarocamara@fis.ucm.es</t>
  </si>
  <si>
    <t>Mancho, Ana Maria/K-5194-2014; de la Camara, Alvaro/P-7062-2016; Serrano, Encarna/F-6346-2016</t>
  </si>
  <si>
    <t>Mancho, Ana Maria/0000-0002-8385-7098; de la Camara, Alvaro/0000-0002-8831-4789; Serrano, Encarna/0000-0003-0031-0562</t>
  </si>
  <si>
    <t>Spanish Ministry of Science [CGL2008-06295, MTM2008-03754]; Spanish CSIC [ILINK-0145]; U.S. NSF [ATM-0732222]; U.S. ONR [N000140910418]; ICTS-CESGA [109]</t>
  </si>
  <si>
    <t>Spanish Ministry of Science(Spanish Government); Spanish CSIC; U.S. NSF(National Science Foundation (NSF)); U.S. ONR(Office of Naval Research); ICTS-CESGA</t>
  </si>
  <si>
    <t>The authors are grateful to two anonymous reviewers for their constructive and useful comments that helped improve the manuscript. This research was supported by the Spanish Ministry of Science under Grants CGL2008-06295 and MTM2008-03754, Spanish CSIC under Grant ILINK-0145, U.S. NSF under Grant ATM-0732222, and U.S. ONR N000140910418. The computational part of this work has benefited from an ICTS-CESGA Project 109, which allowed priority access to supercomputer Finis Terrae.</t>
  </si>
  <si>
    <t>10.1175/JAS-D-11-0142.1</t>
  </si>
  <si>
    <t>885SI</t>
  </si>
  <si>
    <t>WOS:000299800700020</t>
  </si>
  <si>
    <t>Smith, EM; Hoffman, JI; Green, LE; Amos, W</t>
  </si>
  <si>
    <t>Smith, Edward M.; Hoffman, Joseph I.; Green, Laura E.; Amos, William</t>
  </si>
  <si>
    <t>Preliminary association of microsatellite heterozygosity with footrot in domestic sheep</t>
  </si>
  <si>
    <t>LIVESTOCK SCIENCE</t>
  </si>
  <si>
    <t>Heterozygosity-fitness correlation; Footrot; Candidate loci; GO codes</t>
  </si>
  <si>
    <t>QUANTITATIVE TRAIT LOCI; CLINICAL-TRIAL; LINKAGE MAP; RESISTANCE; GENOME; POPULATIONS; RISK; GENE</t>
  </si>
  <si>
    <t>Genetic heterozygosity in wild, unmanaged animal populations is often associated with protection against infectious disease. However, little is known about the relationship between heterozygosity and disease susceptibility in domesticated livestock, where disease resistance has the potential to improve animal welfare and productivity. We have investigated whether susceptibility to footrot, an important cause of poor welfare and reduced productivity in sheep, is associated with heterozygosity at 14 candidate microsatellite loci. Heterozygosity at locus BMC5221 was associated with resistance to footrot (P = 0.0034). This locus was selected based on a gene ontology classification of 'response to Gram-negative bacteria'. Sheep homozygous at BMC5221 were at increased risk of virulent footrot (OR = 4.8, 95% CI = 1.5-15.3), with a dose response relationship between homozygosity and disease severity. A highly significant homozygote deficit was observed in sheep without virulent footrot (observed = 4, expected = 21, chi(2) = 13.76, P = 0.0002) but not in sheep that had clinical disease, suggesting homozygotes were disproportionately likely to contract virulent footrot. Our results indicate that genetic heterozygosity might be important for healthy immune function in domesticated livestock. The use of gene ontology codes might prove a useful strategy to target selection of candidate markers in future studies. (C) 2011 Elsevier B.V. All rights reserved.</t>
  </si>
  <si>
    <t>[Smith, Edward M.; Green, Laura E.] Univ Warwick, Sch Life Sci, Coventry CV4 7AL, W Midlands, England; [Hoffman, Joseph I.] Univ Bielefeld, Dept Anim Behav, D-33501 Bielefeld, Germany; [Amos, William] Univ Cambridge, Dept Zool, Cambridge CB2 3EJ, England</t>
  </si>
  <si>
    <t>University of Warwick; University of Bielefeld; University of Cambridge</t>
  </si>
  <si>
    <t>Smith, EM (corresponding author), Univ Warwick, Sch Life Sci, Gibbet Hill Rd, Coventry CV4 7AL, W Midlands, England.</t>
  </si>
  <si>
    <t>edward.smith@warwick.ac.uk; j_i_hoffman@hotmail.com; Laura.Green@warwick.ac.uk; wa100@hermes.cam.ac.uk</t>
  </si>
  <si>
    <t>Green, Laura/G-8345-2011; Hoffman, Joseph/K-7725-2012</t>
  </si>
  <si>
    <t>Green, Laura/0000-0003-2957-8773; Hoffman, Joseph/0000-0001-5895-8949</t>
  </si>
  <si>
    <t>Wellcome Trust; Natural Environment Research Council British Antarctic Survey Strategic Alliance</t>
  </si>
  <si>
    <t>Wellcome Trust(Wellcome Trust); Natural Environment Research Council British Antarctic Survey Strategic Alliance</t>
  </si>
  <si>
    <t>This work was supported by a Wellcome Trust ViP Fellowship awarded to E.M.S. and a Natural Environment Research Council British Antarctic Survey Strategic Alliance Fellowship awarded to J.I.H. The authors thank students and technicians for sample collection assistance.</t>
  </si>
  <si>
    <t>1871-1413</t>
  </si>
  <si>
    <t>1878-0490</t>
  </si>
  <si>
    <t>LIVEST SCI</t>
  </si>
  <si>
    <t>Livest. Sci.</t>
  </si>
  <si>
    <t>2-3</t>
  </si>
  <si>
    <t>10.1016/j.livsci.2011.10.009</t>
  </si>
  <si>
    <t>Agriculture, Dairy &amp; Animal Science</t>
  </si>
  <si>
    <t>889JR</t>
  </si>
  <si>
    <t>WOS:000300070500024</t>
  </si>
  <si>
    <t>Vertigan, C; McMahon, CR; Andrews-Goff, V; Hindell, MA</t>
  </si>
  <si>
    <t>Vertigan, C.; McMahon, C. R.; Andrews-Goff, V.; Hindell, M. A.</t>
  </si>
  <si>
    <t>The effect of investigator disturbance on egg laying, chick survival and fledging mass of short-tailed shearwaters (Puffinus tenuirostris) and little penguins (Eudyptula minor)</t>
  </si>
  <si>
    <t>ANIMAL WELFARE</t>
  </si>
  <si>
    <t>animal welfare; Eudyptula minor; investigator disturbance; little penguin; Puffinus tenuirostris; short-tailed shearwater</t>
  </si>
  <si>
    <t>BREEDING SUCCESS; REPRODUCTIVE SUCCESS; BEHAVIOR; PREDATION; ECOLOGY; FREQUENCY; INFERENCE; SEABIRD; DEVICES</t>
  </si>
  <si>
    <t>Field-based animal researchers need to balance the potential adverse effects of their research activities against the benefits of research outcomes, but the data required to do this are often lacking. Assessing, and subsequently reporting the effects of researcher activities on wild animal populations can be difficult, so that studies to detect these effects sometimes lack rigour or fail to encompass sufficient time to ensure that the effects are tested under a range of environmental stresses. We monitored the effect of investigators working in colonies of two seabirds, the short-tailed shearwater (Puffinus tenuirostris) and the little penguin (Eudyptula minor). Disturbance of breeding birds while checking nests or the weighing of chicks to monitor growth are very common activities for demographic and ecological studies, but how these activities may influence the birds is rarely measured. We investigated differing levels of disturbance during both activities between 2002-03 and 2008-09 to assess their effect on egg laying, chick survival and growth rate and observed no effect for nest checking or handling of short-tailed shearwaters and indeterminate effects for handling in little penguins. Over a period of several years the study has observed a large-scale decline in the number of breeding shearwaters and includes years when control nests had above and below average breeding success.</t>
  </si>
  <si>
    <t>[Vertigan, C.; McMahon, C. R.; Andrews-Goff, V.; Hindell, M. A.] Univ Tasmania, Marine Predator Unit, Inst Marine &amp; Antarctic Studies IMAS, Hobart, Tas 7001, Australia; [McMahon, C. R.] Charles Darwin Univ, Sch Environm Res, Darwin, NT 0909, Australia</t>
  </si>
  <si>
    <t>University of Tasmania; Charles Darwin University</t>
  </si>
  <si>
    <t>Vertigan, C (corresponding author), Univ Tasmania, Marine Predator Unit, Inst Marine &amp; Antarctic Studies IMAS, Hobart, Tas 7001, Australia.</t>
  </si>
  <si>
    <t>caitlin.vertigan@gmail.com</t>
  </si>
  <si>
    <t>Hindell, Mark A/K-1131-2013; Hindell, Mark A/C-8368-2013; McMahon, Clive R/D-5713-2013</t>
  </si>
  <si>
    <t>McMahon, Clive R/0000-0001-5241-8917; Andrews-Goff, Virginia/0000-0002-4609-7317; Hindell, Mark/0000-0002-7823-7185</t>
  </si>
  <si>
    <t>University of Tasmania Ethics Committee [A0008138]</t>
  </si>
  <si>
    <t>University of Tasmania Ethics Committee</t>
  </si>
  <si>
    <t>Permission to carry out this research was provided by the University of Tasmania Ethics Committee (A0008138) and under permit (FA 05151) from the Nature Conservation Branch of Tasmanian Parks and Wildlife Service. We thank the many dedicated volunteers for assistance in the field and Adam Stephens, Richard Holmes, Simon Talbot, Anthony Reid and Thomas Sloane for logistical support in getting to and from the island and Mary-Anne Lea, lain Field, Greg Jackman and two anonymous reviewers for their helpful and insightful comments.</t>
  </si>
  <si>
    <t>UNIV FEDERATION ANIMAL WELFARE</t>
  </si>
  <si>
    <t>WHEATHAMPSTEAD</t>
  </si>
  <si>
    <t>OLD SCHOOL, BREWHOUSE HILL, WHEATHAMPSTEAD AL4 8AN, HERTS, ENGLAND</t>
  </si>
  <si>
    <t>0962-7286</t>
  </si>
  <si>
    <t>ANIM WELFARE</t>
  </si>
  <si>
    <t>Anim. Welf.</t>
  </si>
  <si>
    <t>10.7120/096272812799129493</t>
  </si>
  <si>
    <t>Veterinary Sciences; Zoology</t>
  </si>
  <si>
    <t>887DD</t>
  </si>
  <si>
    <t>WOS:000299905700012</t>
  </si>
  <si>
    <t>Choi, KS; Wang, B; Kim, DW</t>
  </si>
  <si>
    <t>Choi, Ki-Seon; Wang, Bin; Kim, Do-Woo</t>
  </si>
  <si>
    <t>Changma onset definition in Korea using the available water resources index and its relation to the Antarctic oscillation</t>
  </si>
  <si>
    <t>Available water resources index; Antarctic oscillation; Changma; Mascarene high; Australian high; Tropical cyclone</t>
  </si>
  <si>
    <t>SUMMER MONSOON RAINFALL; WESTERN NORTH PACIFIC; SOUTHERN-HEMISPHERE; EAST-ASIA; INTERANNUAL VARIABILITY; SURFACE-TEMPERATURE; ARCTIC OSCILLATION; RIVER VALLEY; PART I; CHINA</t>
  </si>
  <si>
    <t>This study defines the Changma onset using the available water resources index (AWRI) for 25 years (1985-2009) and verifies the validity of this definition. The three conditions for defining the Changma onset are established as follows: (i) The first day exceeding the June AWRI (threshold) averaged over the 25-year period. (ii) The continuation of the value over the threshold for at least 1 week after the onset. (iii) After the continuation of more than 1 week, the non-continuation of the value under the threshold for at least 1 week. The 25-year average Changma onset date is 24 June with a standard deviation of 9 days. The defined Changma onset is verified through the analysis on the relationship with the Antarctic oscillation (AAO). AAO in June shows a high correlation with not only the Changma onset but also the June precipitation (AWRI) in Korea. These three variables are influenced by Mascarene and Australian (positive AAO pattern) highs from in the preceding March. When these two pressure systems develop, the cold cross-equatorial flow in the direction from the region around Australia to the equator is intensified, which in turn, forces a western North Pacific high (WNPH) to develop northward; this eventually drives the rain belt north. As a result, the Changma begins early in the positive AAO phase, and the June precipitation increases in Korea. In addition, a WNPH that develops more northward increases the landfalling frequency of tropical cyclones in Korea, which plays an important role in increasing the June precipitation.</t>
  </si>
  <si>
    <t>[Choi, Ki-Seon] Korea Meteorol Adm, Natl Typhoon Ctr, Cheju, South Korea; [Wang, Bin] Univ Hawaii Manoa, Dept Meteorol, Int Pacific Res Ctr, Honolulu, HI 96822 USA; [Kim, Do-Woo] Pukyong Natl Univ, Dept Environm Atmospher Sci, Pusan, South Korea</t>
  </si>
  <si>
    <t>Korea Meteorological Administration (KMA); University of Hawaii System; University of Hawaii Manoa; Pukyong National University</t>
  </si>
  <si>
    <t>Choi, KS (corresponding author), Korea Meteorol Adm, Natl Typhoon Ctr, Cheju, South Korea.</t>
  </si>
  <si>
    <t>choiks@kma.go.kr</t>
  </si>
  <si>
    <t>Kim, Do-Woo/0000-0002-7994-827X</t>
  </si>
  <si>
    <t>10.1007/s00382-010-0957-1</t>
  </si>
  <si>
    <t>887BE</t>
  </si>
  <si>
    <t>WOS:000299899300007</t>
  </si>
  <si>
    <t>Laparie, M; Larvor, V; Frenot, Y; Renault, D</t>
  </si>
  <si>
    <t>Laparie, M.; Larvor, V.; Frenot, Y.; Renault, D.</t>
  </si>
  <si>
    <t>Starvation resistance and effects of diet on energy reserves in a predatory ground beetle (Merizodus soledadinus; Carabidae) invading the Kerguelen Islands</t>
  </si>
  <si>
    <t>Invasive insect; Glucose; Metabolic stores; Prey selection; Sub-Antarctic island; Trehalose; Triglyceride; Trophic stress</t>
  </si>
  <si>
    <t>SUB-ANTARCTIC ISLAND; BIOLOGICAL INVASIONS; DROSOPHILA-MELANOGASTER; PREY SELECTION; BODY-SIZE; STRESS; FOOD; COLEOPTERA; RESPONSES; TEMPERATURE</t>
  </si>
  <si>
    <t>The relationship between nutritional requirements and the availability or quality of food is a prime parameter in determining the geographical expansion of invasive insects. At the sub-Antarctic Kerguelen Islands, the invasive ground beetle Merizodus soledadinus becomes the main invertebrate predator when it colonizes new habitats, leading to the local extinction of native fly species. Such changes in the structure of prey communities may alter the energy management (storage and expenditure) of this predator. In this species, we monitored survival and body mass during food deprivation, in addition to evaluating the effects of two distinct diets (maggots versus enchytraeids) on the consumption and restoration of body reserves (sugars and triglycerides). We found that adults can starve for more than 60 days, and feed every 3.76 days on average when food is available. We recorded higher predation rates on maggots, associated with steeper body mass variations, compared to enchytraeids. Sugars and triglycerides were significantly consumed during food deprivation and restored after refeeding, but varied similarly among individuals supplied on the distinct diets. Other parameters may determine the food preferences observed, such as salt content in prey tissues, because M. soledadinus mainly feeds in hypersaline foreshore habitats, and may limit the consumption of osmotic conformers. (C) 2011 Elsevier Inc. All rights reserved.</t>
  </si>
  <si>
    <t>[Laparie, M.; Frenot, Y.; Renault, D.] Univ Rennes 1, UMR ECOBIO CNRS Stn Biol Paimpont 6553, F-35380 Paimpont, France; [Larvor, V.; Renault, D.] Univ Rennes 1, UMR ECOBIO CNRS 6553, F-35042 Rennes, France; [Frenot, Y.] Inst Polaire Francais Paul Emile Victor IPEV, F-29280 Plouzane, France</t>
  </si>
  <si>
    <t>Universite de Rennes; Universite de Rennes</t>
  </si>
  <si>
    <t>Laparie, M (corresponding author), Univ Rennes 1, UMR ECOBIO CNRS Stn Biol Paimpont 6553, F-35380 Paimpont, France.</t>
  </si>
  <si>
    <t>mathieu.laparie@gmail.com; vanessa.larvor@univ-rennes1.fr; yves.frenot@ipev.fr; david.renault@univ-rennes1.fr</t>
  </si>
  <si>
    <t>RENAULT, David/0000-0003-3644-1759; Frenot, Yves/0000-0003-2666-1272</t>
  </si>
  <si>
    <t>Institut Polaire Francais (IPEV) [136]</t>
  </si>
  <si>
    <t>Institut Polaire Francais (IPEV)</t>
  </si>
  <si>
    <t>We are grateful to three anonymous reviewers for their thoughtful comments that greatly improved the manuscript. This research was supported by the Institut Polaire Francais (IPEV, programme 136 coordinated by Marc Lebouvier) and the Agence Nationale de la Recherche (ANR-07-VULN-004, Vulnerability of native communities to invasive insects and climate change in sub-Antarctic Islands, EVINCE) for field collections, laboratory equipment and metabolic assays. This research is linked with the SCAR Evolution and Biodiversity in the Antarctic research programme.</t>
  </si>
  <si>
    <t>10.1016/j.cbpa.2011.09.011</t>
  </si>
  <si>
    <t>889JJ</t>
  </si>
  <si>
    <t>WOS:000300069700004</t>
  </si>
  <si>
    <t>Hu, ZJ; Yang, HG; Han, DS; Huang, DH; Zhang, BC; Hu, HQ; Liu, RY</t>
  </si>
  <si>
    <t>Hu, Ze-Jun; Yang, Hui-Gen; Han, De-Sheng; Huang, De-Hong; Zhang, Bei-Chen; Hu, Hong-Qiao; Liu, Rui-Yuan</t>
  </si>
  <si>
    <t>Dayside auroral emissions controlled by IMF: A survey for dayside auroral excitation at 557.7 and 630.0 nm in Ny-Alesund, Svalbard</t>
  </si>
  <si>
    <t>INTERPLANETARY MAGNETIC-FIELD; BIRKELAND CURRENTS; ALIGNED CURRENTS; MAGNETOPAUSE RECONNECTION; PLASMA CONVECTION; CURRENT SYSTEMS; BOUNDARY-LAYER; ELECTRIC-FIELD; B-Y; PRECIPITATION</t>
  </si>
  <si>
    <t>A survey of dayside 557.7 and 630.0 nm auroral emission, acquired from the all-sky imagers at the Yellow River Station in Ny-Alesund, Svalbard, shows that the dayside auroral oval could be divided into five auroral active regions: the dawnside (Da, 06:00-07:30 MLT) and duskside (Du, 15:30-17:00 MLT) green aurora sectors, the prenoon (W, 07:30-10:00 MLT) and postnoon (H, 13:00-15:30 MLT) peaks for 557.7 and 630.0 nm auroral emissions, and the midday gap (M, 10: 00-13: 00 MLT) for green aurora. The 630.0 nm intensities in W, M, and H nearly increase linearly with the Kan-Lee electric field. The 630.0 nm auroral emissions in W and H show a double-peak feature associated with the change of interplanetary magnetic field (IMF) clock angle: one peak at 90 degrees and the other at 270 degrees. The 630.0 nm emission in M, however, is dominantly excited during the clock angle of 90 degrees-270 degrees. It is considered that the 630.0 nm emissions in W/H and M are related to the prenoon/postnoon antiparallel reconnection at the high-latitude magnetopause and the subsolar component reconnection, respectively. Moreover, the 630.0 nm intensity in the dayside oval shows the monotonic increase with the absolute value of the north-south oriented electric field (Ez), but the increasing rate of the intensity in the postnoon (prenoon) oval is larger than that in the prenoon (postnoon) oval when IMF By is negative (positive). Only the 557.7 nm intensity in region M and H/Du increases gradually with the absolute value of negative Ez. These features should be associated with the change of interhemispheric currents produced by Ez.</t>
  </si>
  <si>
    <t>[Hu, Ze-Jun; Yang, Hui-Gen; Han, De-Sheng; Huang, De-Hong; Zhang, Bei-Chen; Hu, Hong-Qiao; Liu, Rui-Yuan] Polar Res Inst China, SOA Key Lab Polar Sci, Shanghai 200136, Peoples R China</t>
  </si>
  <si>
    <t>Polar Research Institute of China</t>
  </si>
  <si>
    <t>Hu, ZJ (corresponding author), Polar Res Inst China, SOA Key Lab Polar Sci, 451 Jinqiao Rd, Shanghai 200136, Peoples R China.</t>
  </si>
  <si>
    <t>huzejun@pric.gov.cn; yanghuigen@pric.gov.cn; handesheng@pric.gov.cn; huang@pric.gov.cn; bczhang@pric.gov.cn; hhq@pric.gov.cn; ryliu@pric.gov.cn</t>
  </si>
  <si>
    <t>Hu, Ze-Jun/X-8090-2019; Han, Desheng/P-2663-2017; Han, Desheng/H-6971-2018</t>
  </si>
  <si>
    <t>Hu, Ze-Jun/0000-0003-2448-2094; Zhang, Beichen/0000-0002-0927-9568; Han, Desheng/0000-0002-6635-9214</t>
  </si>
  <si>
    <t>National Natural Science Foundation of China [41031064, 40904041, 40974103, 40974083, 40890164, 60872154]; National High Technology Research and Development Program of China [2008AA121703]; Public Science and Technology Research Funds Projects of Ocean [201005017]; 973 Program [2010CB950503-06]; State Oceanic Administration People's Republic of China [2010613]; China Meteorological Administration [GYHY201106011]; Chinese Arctic and Antarctic Administration [10/11YR09]</t>
  </si>
  <si>
    <t>National Natural Science Foundation of China(National Natural Science Foundation of China (NSFC)); National High Technology Research and Development Program of China(National High Technology Research and Development Program of China); Public Science and Technology Research Funds Projects of Ocean; 973 Program(National Basic Research Program of China); State Oceanic Administration People's Republic of China; China Meteorological Administration; Chinese Arctic and Antarctic Administration</t>
  </si>
  <si>
    <t>This work was supported by the National Natural Science Foundation of China (41031064, 40904041, 40974103, 40974083, 40890164, and 60872154), National High Technology Research and Development Program of China (2008AA121703), Public Science and Technology Research Funds Projects of Ocean (201005017), 973 Program (2010CB950503-06), the Youth Fund of State Oceanic Administration People's Republic of China (2010613), and the China Meteorological Administration grant (GYHY201106011). Thanks are also given for the financial support of the Chinese Arctic and Antarctic Administration (10/11YR09).</t>
  </si>
  <si>
    <t>A02201</t>
  </si>
  <si>
    <t>10.1029/2011JA017188</t>
  </si>
  <si>
    <t>888FR</t>
  </si>
  <si>
    <t>WOS:000299989700003</t>
  </si>
  <si>
    <t>Blume, HP; Bölter, M; Kusber, WH</t>
  </si>
  <si>
    <t>Blume, Hans-Peter; Boelter, Manfred; Kusber, Wolf-Henning</t>
  </si>
  <si>
    <t>Christian G. Ehrenberg and the birth of soil microbiology in the middle of the 19th century</t>
  </si>
  <si>
    <t>JOURNAL OF PLANT NUTRITION AND SOIL SCIENCE</t>
  </si>
  <si>
    <t>decomposition; weathering; micromorphology; mineral formation; Chernozems; Ornithogenic Cryosols</t>
  </si>
  <si>
    <t>Early in the 19th century, the German doctor and natural scientist Christian G. Ehrenberg (1795-1876) determined and classified through microscopic investigation the species and contents of microorganisms (bacteria, algae, diatoms, protozoa) of more than 1000 soil samples from all over the world. He identified phytoliths and minerals using a polarization microscope and described the morphology of the organic particles. Two of his soil descriptions were a Chernozem from Russia and an Ornithogenic Cryosol of the Maritime Antarctic. He further identified several soil-forming processes like the formation and decomposition of organic matter, mineral weathering, and new formation of carbonates, Fe oxides, and silicate under the influence of microorganisms long before other investigators. Although this was criticized during his time, it is still fully accepted today. Therefore, Ehrenberg can be regarded as the main founder of soil microbiology and as a pioneer in soil micromorphology.</t>
  </si>
  <si>
    <t>[Blume, Hans-Peter] Univ Kiel, Inst Plant Nutr &amp; Soil Sci, D-24098 Kiel, Germany; [Boelter, Manfred] Univ Kiel, Inst Polar Ecol, D-24098 Kiel, Germany; [Kusber, Wolf-Henning] Free Univ Berlin, Bot Garden, D-14195 Berlin, Germany; [Kusber, Wolf-Henning] Free Univ Berlin, Bot Museum, D-14195 Berlin, Germany</t>
  </si>
  <si>
    <t>University of Kiel; University of Kiel; Free University of Berlin; Free University of Berlin</t>
  </si>
  <si>
    <t>Blume, HP (corresponding author), Univ Kiel, Inst Plant Nutr &amp; Soil Sci, Olshaussenstr 40, D-24098 Kiel, Germany.</t>
  </si>
  <si>
    <t>hblume@soils.uni-kiel.de</t>
  </si>
  <si>
    <t>Federal Ministry of Education and Research (BMBF) [01 LI 1001 A]</t>
  </si>
  <si>
    <t>Federal Ministry of Education and Research (BMBF)(Federal Ministry of Education &amp; Research (BMBF))</t>
  </si>
  <si>
    <t>Herbert Sukopp, member of the Berlin-Brandenburg Academy of Sciences and Humanities, provided valuable information. We gratefully acknowledge David Lazarus (BHUPM) and the Federal Ministry of Education and Research (BMBF, grant 01 LI 1001 A). We also thank Profs. G. Drews, Freiburg, and E. Mollenhauer, Gelenhausen, for advices on literature. Mrs. Britta Hermann, Berlin-Brandenburg Academy of Sciences, and several coworkers of the Kiel University Library, especially Mrs. Gundula Hass, for helping us with the access to original literature of C. Ehrenberg, as well as Susanne Witt for her help at the English translation.</t>
  </si>
  <si>
    <t>WILEY-V C H VERLAG GMBH</t>
  </si>
  <si>
    <t>WEINHEIM</t>
  </si>
  <si>
    <t>POSTFACH 101161, 69451 WEINHEIM, GERMANY</t>
  </si>
  <si>
    <t>1436-8730</t>
  </si>
  <si>
    <t>1522-2624</t>
  </si>
  <si>
    <t>J PLANT NUTR SOIL SC</t>
  </si>
  <si>
    <t>J. Plant Nutr. Soil Sci.</t>
  </si>
  <si>
    <t>10.1002/jpln.201100253</t>
  </si>
  <si>
    <t>Agronomy; Plant Sciences; Soil Science</t>
  </si>
  <si>
    <t>Agriculture; Plant Sciences</t>
  </si>
  <si>
    <t>888JH</t>
  </si>
  <si>
    <t>WOS:000299999300008</t>
  </si>
  <si>
    <t>Warren, PH</t>
  </si>
  <si>
    <t>Warren, Paul H.</t>
  </si>
  <si>
    <t>Parent body depth-pressure-temperature relationships and the style of the ureilite anatexis</t>
  </si>
  <si>
    <t>OXYGEN FUGACITY; ANTARCTIC UREILITES; TRACE-ELEMENT; GRAPHITE; ORIGIN; MINERALOGY; EVOLUTION; METEORITES; PETROLOGY; CLASTS</t>
  </si>
  <si>
    <t>New analyses of mafic silicates from 14 ureilite meteorites further constrain a strong correlation (Singletary and Grove 2003) between olivine-core Fo ratio and the temperature of equilibration (TE) recorded by the composition of pigeonite. This correlation may be compared with relationships implied by various postulated combinations of Fo and pressure P in models for ureilite genesis by a putative process of anatectic (depth-linked, P-controlled) smelting. In such models, any combination of Fo and P together fixes the temperature of smelting. Agreement between the observed correlation and these models is poor. The anatectic smelting model also carries implausible implications for the depth range at which ureilites of a given composition (Fo) form. Actual ureilites (and polymict ureilite clasts: Downes etal. 2008) show a distribution strongly skewed toward the low-Fo end of the compositional range, with approximately 58% in the range Fo7681. In contrast, the P-controlled smelting model implies that the Fo7681 region is a small fraction of the volume of the parent body: not more than 3.2%, in a model consistent with the Fo-TE observations; and even ignoring the Fo-TE evidence not more than 11% (percentages cited require optimal assumptions concerning the size of the parent body). This region also must occur deep within the body, where no straightforward model would imply a strong bias in the impact-driven sampling process. The ureilites did not derive preponderantly from one atypical largest offspring disruption survivor, because cooling history evidence shows that after the disruption (whose efficiency was increased by gas jetting), all of the known ureilites cooled in bodies that were tiny (mass of order 10-9) in comparison with the precursor body. The Ca/Al ratio of the ureilite starting matter cannot be 2.5 times chondritic, as has been suggested, unless the part of the body from which ureilites come is at most 50% of the whole body. Published variants of the anatectic, P-controlled smelting model have the ureilites coming from a region that is &gt;50 vol% of their parent body; and to invoke a larger body would have the drawback of implying that the Fo7681 spike represents an even smaller fraction of the parent bodys interior. The ureilites moderate depletions in incompatible elements are difficult to reconcile with a fractional fusion model. It is not plausible that melt formed grossly out of equilibrium with the medium-sized ureilite crystals. The alternative to pressure-controlled smelting, i.e., a model of gasless or near-gasless anatexis, has very different implications for the size and evolution of the original parent body. To yield internal pressures prohibitive of smelting in even the shallowest and most ferroan portion of its anatectic mantle, the body would have to be larger than roughly 690 km in diameter. A 400 km body would have approximately 12 vol% of the interior (or 13 vol% of the interior apart from the thermal skin that never undergoes anatexis) prone, if both extremely shallow and extremely ferroan, to mild smelting. Gasless anatexis also implies that this large parent body was compositionally, at least in terms of mg, grossly heterogeneous before anatexis, probably (in view of the oxygen isotopic diversity) as a result of mixed accretion.</t>
  </si>
  <si>
    <t>Univ Calif Los Angeles, Dept Earth &amp; Space Sci, Los Angeles, CA 90095 USA</t>
  </si>
  <si>
    <t>Warren, PH (corresponding author), Univ Calif Los Angeles, Dept Earth &amp; Space Sci, Los Angeles, CA 90095 USA.</t>
  </si>
  <si>
    <t>pwarren@ucla.edu</t>
  </si>
  <si>
    <t>NASA [NNX09AE31G]; NASA [NNX09AE31G, 119921] Funding Source: Federal RePORTER</t>
  </si>
  <si>
    <t>I thank Hilary Downes and Jason Herrin for very helpful, constructive reviews; A. E. Alex Ruzicka for additional helpful comments; the Meteorite Working Group for allocations of Antarctic samples; N. Gessler, D. Gregory, B. Reed, W. Sajkowicz, E. Thompson, and S. Tutorow for donations of NWA samples; and NASA for support through grant NNX09AE31G.</t>
  </si>
  <si>
    <t>10.1111/j.1945-5100.2011.01320.x</t>
  </si>
  <si>
    <t>887MI</t>
  </si>
  <si>
    <t>WOS:000299931200004</t>
  </si>
  <si>
    <t>Suparta, W</t>
  </si>
  <si>
    <t>Suparta, Wayan</t>
  </si>
  <si>
    <t>Detection of a katabatic wind event with GPS meteorology measurements at Scott Base Antarctica</t>
  </si>
  <si>
    <t>METEOROLOGY AND ATMOSPHERIC PHYSICS</t>
  </si>
  <si>
    <t>ATMOSPHERIC WATER-VAPOR; PRECIPITABLE WATER</t>
  </si>
  <si>
    <t>A katabatic wind event which dramatically affects the polar climate has been detected using GPS meteorology measurements. GPS-derived precipitable water vapor (GPS PWV) variability and its relation to a katabatic event at Scott Base station, Antarctica was investigated. The investigations using the data gathered from 21 to 30 November of 2002. They showed that the water vapor profile exhibited an irregular pattern with a maximum PWV of 7.38 mm (6 mm on average). This event was strongly influenced by relative humidity than by wind speed activity. The dominant wind flow during this period was from the North to Northeast (blowing from the Ross Sea) with a mean speed of 3.79 ms(-1). The PWV increased when the temperature was between -15 and -11A degrees C. During the katabatic event identified between 21:30 UT of 28 November and 18:40 UT on 29 November, the wind blew from the Southeast to South direction (from the Ross Ice Shelf) with a maximum speed of 10.92 ms(-1). The PWV increased 1.0 mm (23%) from the mean value accompanied by severe wind had pronounced effect on GPS observations.</t>
  </si>
  <si>
    <t>Univ Kebangsaan Malaysia, Inst Space Sci ANGKASA, Bangi 43600, Selangor Darul, Malaysia</t>
  </si>
  <si>
    <t>Universiti Kebangsaan Malaysia</t>
  </si>
  <si>
    <t>Suparta, W (corresponding author), Univ Kebangsaan Malaysia, Inst Space Sci ANGKASA, Bangi 43600, Selangor Darul, Malaysia.</t>
  </si>
  <si>
    <t>wayan@ukm.my</t>
  </si>
  <si>
    <t>SUPARTA, WAYAN/K-3110-2013</t>
  </si>
  <si>
    <t>SUPARTA, WAYAN/0000-0002-6193-1867</t>
  </si>
  <si>
    <t>Academy of Sciences Malaysia; Ministry of Science, Technology and Innovation Malaysia (MOSTI) [PKT1/2003]; Antarctica New Zealand (ANZ)</t>
  </si>
  <si>
    <t>Academy of Sciences Malaysia; Ministry of Science, Technology and Innovation Malaysia (MOSTI)(Ministry of Energy, Science, Technology, Environment and Climate Change (MESTECC), Malaysia); Antarctica New Zealand (ANZ)</t>
  </si>
  <si>
    <t>This work was supported by the Malaysian Antarctic Research Programme (MARP), Academy of Sciences Malaysia and the Ministry of Science, Technology and Innovation Malaysia (MOSTI) under PKT1/2003 grant. The author would like to express his gratitude to the Antarctica New Zealand (ANZ) for their full support and kind hospitality at Scott Base Antarctica under ANZ K141B event and Andrew R. Harper at the National Institute of Water and Atmospheric Research Ltd., New Zealand (NIWA) for supporting the meteorological data. The author would also like to thank to Reviewer 1 for his/her helpful comments and suggestions that substantially improved the manuscript for publication.</t>
  </si>
  <si>
    <t>SPRINGER WIEN</t>
  </si>
  <si>
    <t>WIEN</t>
  </si>
  <si>
    <t>SACHSENPLATZ 4-6, PO BOX 89, A-1201 WIEN, AUSTRIA</t>
  </si>
  <si>
    <t>0177-7971</t>
  </si>
  <si>
    <t>1436-5065</t>
  </si>
  <si>
    <t>METEOROL ATMOS PHYS</t>
  </si>
  <si>
    <t>Meteorol. Atmos. Phys.</t>
  </si>
  <si>
    <t>10.1007/s00703-011-0175-3</t>
  </si>
  <si>
    <t>887TO</t>
  </si>
  <si>
    <t>WOS:000299953500005</t>
  </si>
  <si>
    <t>Lee, JE; Somers, MJ; Chown, SL</t>
  </si>
  <si>
    <t>Lee, Jennifer E.; Somers, Michael J.; Chown, Steven L.</t>
  </si>
  <si>
    <t>Density, body size and sex ratio of an indigenous spider along an altitudinal gradient in the sub-Antarctic</t>
  </si>
  <si>
    <t>Araneae; Bergman body size cline; Marion Island; Myro kerguelenensis; resource limitation</t>
  </si>
  <si>
    <t>MARION ISLAND; CLIMATE-CHANGE; BIOLOGICAL INVASIONS; SPATIAL VARIATION; LIFE-HISTORY; HOUSE MICE; VARIABILITY; ABUNDANCE; IMPACT; BEETLE</t>
  </si>
  <si>
    <t>Although spiders are a diverse and ecologically important group of predators across the sub-Antarctic islands, relatively little is known about their biology. Here we provide data on the abundance, body size variation and sex ratio of an indigenous spider, Myro kerguelenensis, across an altitudinal gradient on Marion Island. In so doing we test explicitly the hypotheses that density will decline with declining resource availability at higher elevations, and that a converse Bergmann body size cline will be found in this species. Density of M. kerguelenensis decreased with altitude and ranged from a mean density of 5.3 (SD 3.42) individuals per m(2) at 50 m a.s.l. to a mean density of 0.83 (SD 1.15) individuals per m(2) at 600 m a.s.l. Mean female sternum width was 1.39 mm (SD 0.44) and mean male sternum width was 1.40 mm (SD 0.22). No evidence for Bergmann or converse Bergmann clines was found. At increasing altitudes, sex ratios became increasingly female-biased with populations at 600 m a.s.l. comprising 0.87 (SD 0.28) females, on a proportional basis, possibly as a result of resource limitation and an increase in the prevalence of sexual cannibalism. The food web implications of this study are highlighted.</t>
  </si>
  <si>
    <t>[Lee, Jennifer E.; Chown, Steven L.] Univ Stellenbosch, Ctr Invas Biol, Dept Bot &amp; Zool, ZA-7602 Matieland, South Africa; [Somers, Michael J.] Univ Pretoria, Ctr Wildlife Management, Ctr Invas Biol, ZA-0002 Pretoria, South Africa; [Somers, Michael J.] Walter Sisulu Univ, Dept Zool, ZA-5117 Umtata, South Africa</t>
  </si>
  <si>
    <t>Stellenbosch University; University of Pretoria; Walter Sisulu University</t>
  </si>
  <si>
    <t>Lee, JE (corresponding author), Univ Stellenbosch, Ctr Invas Biol, Dept Bot &amp; Zool, Private Bag X1, ZA-7602 Matieland, South Africa.</t>
  </si>
  <si>
    <t>jlee@sun.ac.za</t>
  </si>
  <si>
    <t>Somers, Michael John/A-1523-2008; Chown, Steven/ABD-7646-2021; Chown, Steven/H-3347-2011</t>
  </si>
  <si>
    <t>Chown, Steven/0000-0001-6069-5105; /0000-0002-5836-8823</t>
  </si>
  <si>
    <t>USAID; South African Department of Environmental Affairs and Tourism</t>
  </si>
  <si>
    <t>USAID(United States Agency for International Development (USAID)); South African Department of Environmental Affairs and Tourism</t>
  </si>
  <si>
    <t>We thank Richard Mercer for helping with logistics and advice and Kamva Qwede for data collection. Fieldwork by KQ and MJS was supported by a USAID grant to SLC and by the South African Department of Environmental Affairs and Tourism. The South African National Antarctic Programme provided logistic support. Anne Treasure, Toke Hoye and an anonymous referee provided helpful comments on a draft version of the manuscript and Peter le Roux provided statistical advice.</t>
  </si>
  <si>
    <t>10.1017/S0954102011000629</t>
  </si>
  <si>
    <t>887OA</t>
  </si>
  <si>
    <t>WOS:000299936300003</t>
  </si>
  <si>
    <t>Hanchet, SM; Tracey, D; Dunn, A; Horn, P; Smith, N</t>
  </si>
  <si>
    <t>Hanchet, Stuart M.; Tracey, Dianne; Dunn, Alistair; Horn, Peter; Smith, Neville</t>
  </si>
  <si>
    <t>Mercury concentrations of two toothfish and three of its prey species from the Pacific sector of the Antarctic</t>
  </si>
  <si>
    <t>Antimora; CCAMLR; Chionobathyscus; Dissostichus; Macrourus</t>
  </si>
  <si>
    <t>ROSS SEA; PATAGONIAN TOOTHFISH; DISSOSTICHUS-ELEGINOIDES; MACQUARIE ISLAND; SUBAREA 88.1; FOOD-WEB; MAWSONI; FISH; IDENTIFICATION; WATERS</t>
  </si>
  <si>
    <t>Muscle tissue samples were collected from Antarctic toothfish (Dissostichus mawsoni Norman) and Patagonian toothfish (D. eleginoides Smitt) in 1998 and from D. mawsoni and three of its prey species - Whitson's grenadier (Macrourus whitsoni (Regan)), ice fish (Chionobathyscus dewitti Andriashev &amp; Neyelov), and blue antimora (Antimora rostrata (Gunther)) - in 2006 to determine their mercury. Mercury levels were highly variable both within and between the five species studied but were positively correlated with fish length in four of the species. Once the factors length and year had been accounted for, the mercury levels in D. eleginoides were more than four times greater than in D. mawsoni. The low levels of mercury in D. mawsoni relative to its prey species and the four-fold difference in mercury concentrations between it and D. eleginoides were unexpected. Reasons for these different levels of bioaccumulation were explored including differences in diet, growth and longevity, and location. Differences in bioaccumulation between the two toothfish species could be explained partly through differences in their geographic distribution and differences in trophic position. However, the low levels of mercury in D. mawsoni relative to its prey species can only be explained by a lower rate of mercury assimilation and/or a higher rate of mercury elimination by D. mawsoni.</t>
  </si>
  <si>
    <t>[Hanchet, Stuart M.] Natl Inst Water &amp; Atmospher Res NIWA Ltd, Nelson, New Zealand; [Tracey, Dianne; Dunn, Alistair; Horn, Peter] Natl Inst Water &amp; Atmospher Res NIWA Ltd, Wellington, New Zealand; [Smith, Neville] Minist Fisheries, Wellington, New Zealand</t>
  </si>
  <si>
    <t>National Institute of Water &amp; Atmospheric Research (NIWA) - New Zealand; National Institute of Water &amp; Atmospheric Research (NIWA) - New Zealand</t>
  </si>
  <si>
    <t>Hanchet, SM (corresponding author), Natl Inst Water &amp; Atmospher Res NIWA Ltd, POB 893, Nelson, New Zealand.</t>
  </si>
  <si>
    <t>s.hanchet@niwa.co.nz</t>
  </si>
  <si>
    <t>Horn, Peter/0000-0003-4163-5064</t>
  </si>
  <si>
    <t>NZFSA; New Zealand Ministry of Fisheries [ANT2005/02]</t>
  </si>
  <si>
    <t>NZFSA; New Zealand Ministry of Fisheries</t>
  </si>
  <si>
    <t>We thank the scientific observers Sarel Du Plessis, Marli Dee, Donavan Cole, David Bilton, and Rodney Hansen for the collection of data and samples, and Hill Laboratories for analysis of tissue samples for mercury. We thank the captains and crew of the vessels on which samples were collected. Thanks to NZFSA for providing funding for the 2004 analysis of samples and for providing the data for this research. We would also like to thank the members of the New Zealand Antarctic Fisheries Working Group and three anonymous referees for input into this paper. This research was funded by the New Zealand Ministry of Fisheries under various projects including ANT2005/02.</t>
  </si>
  <si>
    <t>10.1017/S0954102011000654</t>
  </si>
  <si>
    <t>WOS:000299936300005</t>
  </si>
  <si>
    <t>Renault, D; Lalouette, L</t>
  </si>
  <si>
    <t>Renault, D.; Lalouette, L.</t>
  </si>
  <si>
    <t>Critical thermal minima of three sub-Antarctic insects from the French southern Indian Ocean islands</t>
  </si>
  <si>
    <t>CHILL-COMA; ACCLIMATION; TOLERANCE; RESPONSES; LIMITS</t>
  </si>
  <si>
    <t>[Renault, D.; Lalouette, L.] Univ Rennes 1, UMR CNRS 6553, F-35042 Rennes, France; [Renault, D.] Univ Rennes 1, UMR CNRS 6553, Stn Biol Paimpont, F-35380 Paimpont, France</t>
  </si>
  <si>
    <t>Universite de Rennes; Centre National de la Recherche Scientifique (CNRS); Universite de Rennes</t>
  </si>
  <si>
    <t>Renault, D (corresponding author), Univ Rennes 1, UMR CNRS 6553, 263 Ave Gal Leclerc,CS 74205, F-35042 Rennes, France.</t>
  </si>
  <si>
    <t>david.renault@univ-rennes1.fr</t>
  </si>
  <si>
    <t>RENAULT, David/0000-0003-3644-1759</t>
  </si>
  <si>
    <t>Institut Polaire Francais [IPEV 136]; Agence Nationale de la Recherche [ANR-07-VULN-004, EVINCE]</t>
  </si>
  <si>
    <t>Institut Polaire Francais; Agence Nationale de la Recherche(Agence Nationale de la Recherche (ANR))</t>
  </si>
  <si>
    <t>We thank P. Vernon, C. M Williams and an anonymous referee for helpful comments. This research was supported by the Institut Polaire Francais'' (IPEV 136) and the Agence Nationale de la Recherche'' (ANR-07-VULN-004, EVINCE).</t>
  </si>
  <si>
    <t>10.1017/S0954102011000782</t>
  </si>
  <si>
    <t>WOS:000299936300006</t>
  </si>
  <si>
    <t>Zák, J; Soejono, I; Janousek, V; Venera, Z</t>
  </si>
  <si>
    <t>Zak, Jiri; Soejono, Igor; Janousek, Vojtech; Venera, Zdenek</t>
  </si>
  <si>
    <t>Magnetic fabric and tectonic setting of the Early to Middle Jurassic felsic dykes at Pitt Point and Mount Reece, eastern Graham Land, Antarctica</t>
  </si>
  <si>
    <t>Anisotropy of magnetic susceptibility (AMS); Antarctic peninsula; Chon Aike silicic large igneous province; Gondwana break-up; regional extension; Trinity Peninsula Group</t>
  </si>
  <si>
    <t>DRONNING MAUD LAND; SILICIC VOLCANISM; ANISOTROPY; PENINSULA; MAGMATISM; ROCKS; BATHOLITH; PATAGONIA; CREATION; INVERSE</t>
  </si>
  <si>
    <t>At Pitt Point, the east coast of Graham Land (Antarctic Peninsula), the Early to Middle Jurassic (Toarcian-Aalenian) rhyolite dykes form two coevally emplaced NNE-SSW and E-W trending sets. The nearly perpendicular dyke sets define a large-scale chocolate-tablet structure, implying biaxial principal extension in the WNW-ESE and N-S directions. Along the nearby north-eastern slope of Mount Reece, the WNW-ESE set locally dominates suggesting variations in the direction and amount of extension. Magnetic fabric in the dykes, revealed using the anisotropy of magnetic susceptibility (AMS) method, indicates dip-parallel to dip-oblique (?upward) magma flow. The dykes are interpreted as representing sub-volcanic feeder zones above a felsic magma source. The dyke emplacement was synchronous with the initial stages of the Weddell Sea opening during Gondwana break-up, but it remains unclear whether it was driven by regional stress field, local stress field above a larger plutonic body, or by an interaction of both.</t>
  </si>
  <si>
    <t>[Zak, Jiri] Charles Univ Prague, Inst Geol &amp; Palaeontol, Fac Sci, Prague 12843, Czech Republic; [Zak, Jiri; Soejono, Igor; Janousek, Vojtech; Venera, Zdenek] Czech Geol Survey, Prague 11821, Czech Republic; [Janousek, Vojtech] Charles Univ Prague, Inst Petr &amp; Struct Geol, Fac Sci, Prague 12843, Czech Republic</t>
  </si>
  <si>
    <t>Charles University Prague; Czech Geological Survey; Charles University Prague</t>
  </si>
  <si>
    <t>Zák, J (corresponding author), Charles Univ Prague, Inst Geol &amp; Palaeontol, Fac Sci, Albertov 6, Prague 12843, Czech Republic.</t>
  </si>
  <si>
    <t>jirizak@natur.cuni.cz</t>
  </si>
  <si>
    <t>Žák, Jiří/A-6937-2008; Janoušek, Vojtěch/B-6789-2008; Soejono, Igor/H-3035-2017</t>
  </si>
  <si>
    <t>Janoušek, Vojtěch/0000-0002-6581-9207; Zak, Jiri/0000-0001-5803-0008; Soejono, Igor/0000-0003-0816-503X</t>
  </si>
  <si>
    <t>Czech Geological Survey; Ministry of Environment of the Czech Republic [SPII1a9/23/07]; Ministry of Education, Youth and Sports of the Czech Republic [MSM0021620855]</t>
  </si>
  <si>
    <t>Czech Geological Survey; Ministry of Environment of the Czech Republic; Ministry of Education, Youth and Sports of the Czech Republic(Ministry of Education, Youth &amp; Sports - Czech Republic)</t>
  </si>
  <si>
    <t>We gratefully acknowledge Mike Curtis and Edgardo Canon-Tapia for their constructive and thoughtful reviews and Alan Vaughan for careful editorial handling of this manuscript. We also thank Nick Halls for indispensable logistic support during the fieldwork, Ondrej Lexa for discussions and collaboration during the 2008 field season, and other colleagues from both 2008 and 2009 Czech expeditions for tolerating our group of geologists. The staff at Marambio are thanked for their hospitality and support. Marta Chlupacova is thanked for help with the interpretation of magnetic mineralogy, Matej Machek helped significantly with drilling the AMS samples in the laboratory of the Institute of Geophysics of the Academy of Sciences of the Czech Republic. This research was funded by the Czech Geological Survey and Ministry of Environment of the Czech Republic through the Research Project No. SPII1a9/23/07 (to P. Mixa) and by the Ministry of Education, Youth and Sports of the Czech Republic through the Research Plan No. MSM0021620855.</t>
  </si>
  <si>
    <t>10.1017/S0954102011000599</t>
  </si>
  <si>
    <t>WOS:000299936300007</t>
  </si>
  <si>
    <t>Yu, LJ; Zhang, ZH; Zhou, MY; Zhong, S; Lenschow, D; Hsu, HM; Wu, HD; Sun, B</t>
  </si>
  <si>
    <t>Yu, Lejiang; Zhang, Zhanhai; Zhou, Mingyu; Zhong, Sharon; Lenschow, Donald; Hsu, Hsiaoming; Wu, Huiding; Sun, Bo</t>
  </si>
  <si>
    <t>Influence of the Antarctic Oscillation, the Pacific-South American modes and the El Nino-Southern Oscillation on the Antarctic surface temperature and pressure variations</t>
  </si>
  <si>
    <t>Antarctica; re-analysis data; sea level pressure</t>
  </si>
  <si>
    <t>LOW-FREQUENCY VARIABILITY; HEMISPHERE ANNULAR MODE; EXTRATROPICAL CIRCULATION; REANALYSIS; PENINSULA; ERA-40; TRENDS; ICE</t>
  </si>
  <si>
    <t>In this study, the impacts of the Antarctic Oscillation (AAO), the Pacific-South American teleconnection (PSA) and the El Nino-Southern Oscillation (ENSO) on Antarctic sea level pressure and surface temperature are investigated using surface observational data, European Centre for Medium-Range Weather Forecasts (ECMWF) 40 Year Re-analysis (ERA-40) and the National Centers for Environmental Prediction-National Center for Atmospheric Research (NCEP-NCAR) re-analysis data from 1958-2001. There is the most significant correlation between PSA and Antarctic sea level pressure and surface temperature in the northern Antarctic Peninsula during four seasons. But the correlation between Southern Oscillation Index and surface temperature and sea level pressure is significant at some stations only in spring. The three indices can explain a large portion of the trends found in sea level pressure and temperature at some stations, but not at all stations. Among the three indices the most important contribution to the trends in the two surface variables comes from AAO, followed by PSA, and finally by ENSO. The two re-analysis datasets show great similarity for the trends in surface temperature and sea level pressure in April-May and October-November, but not December-February. In summer the trends in surface temperature and sea level pressure in East Antarctica for ERA-40 re-analysis are opposite to those of NCEP re-analysis.</t>
  </si>
  <si>
    <t>[Yu, Lejiang] Nanjing Univ informat Sci &amp; Technol, Appl Hydrometeorol Res Inst, Nanjing 210044, Peoples R China; [Yu, Lejiang; Zhang, Zhanhai; Zhou, Mingyu; Wu, Huiding; Sun, Bo] Polar Res Inst China, Shanghai 200136, Peoples R China; [Zhong, Sharon] Michigan State Univ, E Lansing, MI 48824 USA; [Lenschow, Donald; Hsu, Hsiaoming] Natl Ctr Atmospher Res, Boulder, CO 80307 USA</t>
  </si>
  <si>
    <t>Nanjing University of Information Science &amp; Technology; Polar Research Institute of China; Michigan State University; National Center Atmospheric Research (NCAR) - USA</t>
  </si>
  <si>
    <t>Yu, LJ (corresponding author), Nanjing Univ informat Sci &amp; Technol, Appl Hydrometeorol Res Inst, Nanjing 210044, Peoples R China.</t>
  </si>
  <si>
    <t>yulejiang@pric.gov.cn</t>
  </si>
  <si>
    <t>LIU, JIALIN/JXN-8034-2024</t>
  </si>
  <si>
    <t>LENSCHOW, DONALD/0000-0003-4353-0098</t>
  </si>
  <si>
    <t>Chinese Polar Program Strategic Research Fund [20080218]; NNSFC [40233032]; MOST [2006BAB18B03, 2006BAB18B05]; National Science Foundation</t>
  </si>
  <si>
    <t>Chinese Polar Program Strategic Research Fund; NNSFC(National Natural Science Foundation of China (NSFC)); MOST; National Science Foundation(National Science Foundation (NSF))</t>
  </si>
  <si>
    <t>This research was funded by Chinese Polar Program Strategic Research Fund No. 20080218, the NNSFC (40233032) and MOST (2006BAB18B03 and 2006BAB18B05). The National Center for Atmospheric Research is sponsored by the National Science Foundation. The constructive comments of the reviewers are also gratefully acknowledged.</t>
  </si>
  <si>
    <t>10.1017/S095410201100054X</t>
  </si>
  <si>
    <t>WOS:000299936300008</t>
  </si>
  <si>
    <t>Romanov, YA; Romanova, NA; Romanov, P</t>
  </si>
  <si>
    <t>Romanov, Yuri A.; Romanova, Nina A.; Romanov, Peter</t>
  </si>
  <si>
    <t>Shape and size of Antarctic icebergs derived from ship observation data</t>
  </si>
  <si>
    <t>dome-shaped; pinnacle; Southern Ocean; tabular; weathered</t>
  </si>
  <si>
    <t>ICE SHELVES; DISSOLUTION; FREQUENCIES; ATLANTIC; DRIFT</t>
  </si>
  <si>
    <t>We have examined information on the shape and size of Antarctic icebergs as derived from the ship data archive of Arctic and Antarctic Research Institute. The data in the archive cover the period from 1957-2009. For each of five major iceberg shapes we have established their relative frequency of occurrence in the Southern Ocean and the frequency distribution of the iceberg length and freeboard. Weathered and tabular icebergs were observed most often and comprised 66.9% and 22.6% of all reported icebergs respectively. Sloping, pinnacle, and dome icebergs represented correspondingly only 5.6%, 3.2% and 1.7% of the total number of icebergs observed. A distinct maximum was found in frequency distributions of the iceberg length and freeboard for all iceberg shapes. The most frequently observed iceberg lengths (modal length) ranged from 100-200 m for weathered and pinnacled icebergs to 400-600 m for tabular and dome-shaped iceberg. The modal freeboard of icebergs changed from 30-40 m for tabular and weathered icebergs to 50-60 m for domed, pinnacle and sloping icebergs. To calculate the overall mean size parameters of Antarctic icebergs we totalled corresponding mean values for each iceberg shape weighted by the frequency of occurrence of icebergs of each shape. The mean iceberg length and the standard deviation obtained within this approach were correspondingly 381 m and 349 m. The mean iceberg freeboard was equal to 41.2 m with a standard deviation of 12.1 m.</t>
  </si>
  <si>
    <t>[Romanov, Yuri A.; Romanova, Nina A.] PP Shirshov Oceanol Inst, Moscow 117997, Russia; [Romanov, Peter] CUNY City Coll, New York, NY 10031 USA</t>
  </si>
  <si>
    <t>Russian Academy of Sciences; Shirshov Institute of Oceanology; City University of New York (CUNY) System; City College of New York (CUNY)</t>
  </si>
  <si>
    <t>Romanov, YA (corresponding author), PP Shirshov Oceanol Inst, 36 Nahimovski Prospect, Moscow 117997, Russia.</t>
  </si>
  <si>
    <t>romanov@ocean.ru</t>
  </si>
  <si>
    <t>Romanov, Yury/S-6708-2016; Romanov, Peter/F-5622-2010</t>
  </si>
  <si>
    <t>Romanov, Peter/0000-0002-2153-8307</t>
  </si>
  <si>
    <t>10.1017/S0954102011000538</t>
  </si>
  <si>
    <t>WOS:000299936300009</t>
  </si>
  <si>
    <t>Scotto, C; Pezzopane, M</t>
  </si>
  <si>
    <t>Scotto, Carlo; Pezzopane, Michael</t>
  </si>
  <si>
    <t>Automatic scaling of polar ionograms</t>
  </si>
  <si>
    <t>Autoscala; instrument and techniques; ionospheric irregularities; polar ionosphere</t>
  </si>
  <si>
    <t>ELECTRON-DENSITY; DIGITAL IONOGRAMS; IONOSPHERE; MUF(3000)F2; SOFTWARE</t>
  </si>
  <si>
    <t>The Istituto Nazionale di Geosifica e Vulcanologia (INGV) software for automatic scaling of ionograms (Autoscala) was improved by introducing a system to identify D region absorption events, spread-F condition (frequency spreading in the F region), and Z-ray propagation. The algorithm was applied to a series of ionograms recorded by the AIS-INGV (Advanced Ionospheric Sounder-INGV) ionosonde installed at the Mario Zucchelli Station (74.7 degrees S, 164.1 degrees E), Terra Nova Bay, Antarctica. Critical cases are shown to illustrate the behaviour of the software.</t>
  </si>
  <si>
    <t>[Scotto, Carlo; Pezzopane, Michael] Ist Nazl Geofis &amp; Vulcanol, I-00143 Rome, Italy; [Scotto, Carlo] Univ Siena, Doctoral Sch Polar Sci, I-53100 Siena, Italy</t>
  </si>
  <si>
    <t>Istituto Nazionale Geofisica e Vulcanologia (INGV); University of Siena</t>
  </si>
  <si>
    <t>Pezzopane, M (corresponding author), Ist Nazl Geofis &amp; Vulcanol, Via Vigna Murata 605, I-00143 Rome, Italy.</t>
  </si>
  <si>
    <t>michael.pezzopane@ingv.it</t>
  </si>
  <si>
    <t>Pezzopane, Michael/0000-0001-5800-2322</t>
  </si>
  <si>
    <t>10.1017/S0954102011000587</t>
  </si>
  <si>
    <t>WOS:000299936300010</t>
  </si>
  <si>
    <t>Arends, K; Schiwon, K; Sakinc, T; Hübner, J; Grohmann, E</t>
  </si>
  <si>
    <t>Arends, Karsten; Schiwon, Katarzyna; Sakinc, Tuerkan; Huebner, Johannes; Grohmann, Elisabeth</t>
  </si>
  <si>
    <t>Green Fluorescent Protein-Labeled Monitoring Tool To Quantify Conjugative Plasmid Transfer between Gram-Positive and Gram-Negative Bacteria</t>
  </si>
  <si>
    <t>ENTEROCOCCUS-FAECALIS; STREPTOCOCCUS-FAECALIS; IN-SITU; ESCHERICHIA-COLI; GENE-EXPRESSION; VANA PLASMIDS; RESISTANCE; DIVERSITY; SYSTEM; QUANTIFICATION</t>
  </si>
  <si>
    <t>On the basis of pIP501, a green fluorescent protein (GFP)-tagged monitoring tool was constructed for quantifying plasmid mobilization among Gram-positive bacteria and between Gram-positive Enterococcus faecalis and Gram-negative Escherichia coli. Furthermore, retromobilization of the GFP-tagged monitoring tool was shown from E. faecalis OG1X into the clinical isolate E. faecalis T9.</t>
  </si>
  <si>
    <t>[Arends, Karsten; Schiwon, Katarzyna; Grohmann, Elisabeth] Univ Technol, Dept Environm Microbiol Genet, Berlin, Germany; [Sakinc, Tuerkan; Huebner, Johannes; Grohmann, Elisabeth] Univ Hosp Freiburg, Dept Infect Dis, Freiburg, Germany</t>
  </si>
  <si>
    <t>Technical University of Berlin; University of Freiburg</t>
  </si>
  <si>
    <t>Grohmann, E (corresponding author), Univ Technol, Dept Environm Microbiol Genet, Berlin, Germany.</t>
  </si>
  <si>
    <t>elisabeth.grohmann@uniklinik-freiburg.de</t>
  </si>
  <si>
    <t>Huebner, Johannes/0000-0003-1232-4646; Grohmann, Elisabeth/0000-0003-3061-6490</t>
  </si>
  <si>
    <t>BMWi/DLR; European Space Agency (ESA); French Polar Institute (IPEV); Italian Antarctic Programme (PNRA)</t>
  </si>
  <si>
    <t>BMWi/DLR(Helmholtz AssociationGerman Aerospace Centre (DLR)Federal Ministry for Economic Affairs and Energy (BMWi)); European Space Agency (ESA)(European Space Agency); French Polar Institute (IPEV); Italian Antarctic Programme (PNRA)</t>
  </si>
  <si>
    <t>This work was supported by grant Concordia microbial dynamics from BMWi/DLR to E.G., the European Space Agency (ESA), the French Polar Institute (IPEV), and the Italian Antarctic Programme (PNRA).</t>
  </si>
  <si>
    <t>10.1128/AEM.05578-11</t>
  </si>
  <si>
    <t>882WI</t>
  </si>
  <si>
    <t>WOS:000299594200037</t>
  </si>
  <si>
    <t>Harvey, AN; Snape, I; Siciliano, SD</t>
  </si>
  <si>
    <t>Harvey, Alexis Nadine; Snape, Ian; Siciliano, Steven Douglas</t>
  </si>
  <si>
    <t>Changes in liquid water alter nutrient bioavailability and gas diffusion in frozen antarctic soils contaminated with petroleum hydrocarbons</t>
  </si>
  <si>
    <t>ENVIRONMENTAL TOXICOLOGY AND CHEMISTRY</t>
  </si>
  <si>
    <t>Soil toxicity; Contamination; Diesel; Polar; Nutrient availability</t>
  </si>
  <si>
    <t>IN-SITU BIODEGRADATION; ION-EXCHANGE-RESIN; ARCTIC SOILS; MICROBIAL ACTIVITY; BIOREMEDIATION; NITROGEN; TUNDRA; AVAILABILITY; INHIBITION; SPILLS</t>
  </si>
  <si>
    <t>Bioremediation has been used to remediate petroleum hydrocarbon (PHC)-contaminated sites in polar regions; however, limited knowledge exists in understanding how frozen conditions influence factors that regulate microbial activity. We hypothesized that increased liquid water (theta liquid) would affect nutrient supply rates (NSR) and gas diffusion under frozen conditions. If true, management practices that increase theta liquid should also increase bioremediation in polar soils by reducing nutrient and oxygen limitations. Influence of theta liquid on NSR was determined using diesel-contaminated soil (0-8,000 mg kg-1) from Casey Station, Antarctica. The theta liquid was altered between 0.007 and 0.035 cm3cm-3 by packing soil cores at different bulk densities. The nutrient supply rate of NH4+ and NO3-, as well as gas diffusion coefficient, Ds, were measured at two temperatures, 21 degrees C and -5 degrees C, to correct for bulk density effects. Freezing decreased NSR of both NH4+ and NO3-, with theta liquid linked to nitrate and ammonia NSR in frozen soil. Similarly for Ds, decreases due to freezing were much more pronounced in soils with low theta liquid compared to soils with higher theta liquid contents. Additional studies are needed to determine the relationship between degradation rates and theta liquid under frozen conditions. Environ. Toxicol. Chem. 2012;31:395-401. (C) 2011 SETAC</t>
  </si>
  <si>
    <t>[Harvey, Alexis Nadine; Siciliano, Steven Douglas] Univ Saskatchewan, Dept Soil Sci, Saskatoon, SK S7N 0W0, Canada; [Snape, Ian] Australian Antarctic Div, Kingston, Tas, Australia</t>
  </si>
  <si>
    <t>Siciliano, SD (corresponding author), Univ Saskatchewan, Dept Soil Sci, Saskatoon, SK S7N 0W0, Canada.</t>
  </si>
  <si>
    <t>steven.siciliano@usask.ca</t>
  </si>
  <si>
    <t>Natural Sciences and Engineering Research Council of Canada; Garfield Weston Foundation; Australian Antarctic Division</t>
  </si>
  <si>
    <t>Natural Sciences and Engineering Research Council of Canada(Natural Sciences and Engineering Research Council of Canada (NSERC)CGIAR); Garfield Weston Foundation; Australian Antarctic Division</t>
  </si>
  <si>
    <t>Funding for this study was provided by the Natural Sciences and Engineering Research Council of Canada Special Opportunity Grant, the Australian Antarctic Division, and the Garfield Weston Foundation.</t>
  </si>
  <si>
    <t>0730-7268</t>
  </si>
  <si>
    <t>ENVIRON TOXICOL CHEM</t>
  </si>
  <si>
    <t>Environ. Toxicol. Chem.</t>
  </si>
  <si>
    <t>10.1002/etc.745</t>
  </si>
  <si>
    <t>875NB</t>
  </si>
  <si>
    <t>WOS:000299036300022</t>
  </si>
  <si>
    <t>Validating potential toxicity assays to assess petroleum hydrocarbon toxicity in polar soil</t>
  </si>
  <si>
    <t>Nitrification; Antarctic; Diesel; Liquid water; Frozen soil</t>
  </si>
  <si>
    <t>LIQUID WATER-CONTENT; AMMONIA MONOOXYGENASE; NITROSOMONAS-EUROPAEA; ANTARCTIC SOILS; AGED SOILS; BIOAVAILABILITY; N-15; BIODEGRADATION; NITRIFICATION; RATES</t>
  </si>
  <si>
    <t>Potential microbial activities are commonly used to assess soil toxicity of petroleum hydrocarbons (PHC) and are assumed to be a surrogate for microbial activity within the soil ecosystem. However, this assumption needs to be evaluated for frozen soil, in which microbial activity is limited by liquid water (theta liquid). Influence of theta liquid on in situ toxicity was evaluated and compared to the toxicity endpoints of potential microbial activities using soil from an aged diesel fuel spill at Casey Station, East Antarctica. To determine in situ toxicity, gross mineralization and nitrification rates were determined by the stable isotope dilution technique. Petroleum hydrocarbon-contaminated soil (0-8,000 mg kg-1), packed at bulk densities of 1.4, 1.7, and 2.0 g cm-3 to manipulate liquid water content, was incubated at -5 degrees C for one, two, and three months. Although theta liquid did not have a significant effect on gross mineralization or nitrification, gross nitrification was sensitive to PHC contamination, with toxicity decreasing over time. In contrast, gross mineralization was not sensitive to PHC contamination. Toxic response of gross nitrification was comparable to potential nitrification activity (PNA) with similar EC25 (effective concentration causing a 25% effect in the test population) values determined by both measurement endpoints (400 mg kg-1 for gross nitrification compared to 200 mg kg-1 for PNA), indicating that potential microbial activity assays are good surrogates for in situ toxicity of PHC contamination in polar regions. Environ. Toxicol. Chem. 2012;31:402-407. (C) 2011 SETAC</t>
  </si>
  <si>
    <t>Natural Science and Engineering Research Council of Canada; Garfield Weston Foundation</t>
  </si>
  <si>
    <t>Natural Science and Engineering Research Council of Canada(Natural Sciences and Engineering Research Council of Canada (NSERC)); Garfield Weston Foundation</t>
  </si>
  <si>
    <t>The authors thank the Natural Science and Engineering Research Council of Canada and the Garfield Weston Foundation for financial support.</t>
  </si>
  <si>
    <t>10.1002/etc.744</t>
  </si>
  <si>
    <t>WOS:000299036300023</t>
  </si>
  <si>
    <t>Ryan, KG; McMinn, A; Hegseth, EN; Davy, SK</t>
  </si>
  <si>
    <t>Ryan, Ken G.; McMinn, Andrew; Hegseth, Else N.; Davy, Simon K.</t>
  </si>
  <si>
    <t>THE EFFECTS OF ULTRAVIOLET-B RADIATION ON ANTARCTIC SEA-ICE ALGAE</t>
  </si>
  <si>
    <t>JOURNAL OF PHYCOLOGY</t>
  </si>
  <si>
    <t>Antarctic; diatom; dinoflagellate; sea ice; sea-ice algae; UV; UVB</t>
  </si>
  <si>
    <t>DINOFLAGELLATE POLARELLA-GLACIALIS; BOTTOM-ICE; MCMURDO-SOUND; UV-RADIATION; MICROBIAL COMMUNITIES; MICROALGAL COMMUNITY; OZONE DEPLETION; FRAZIL ICE; GROWTH; PHYTOPLANKTON</t>
  </si>
  <si>
    <t>The impacts of ultraviolet-B radiation (UVB) on polar sea-ice algal communities have not yet been demonstrated. We assess the impacts of UV on these communities using both laboratory experiments on algal isolates and by modification of the in situ spectral distribution of the under-ice irradiance. In the latter experiment, filters were attached to the upper surface of the ice so that the algae were exposed in situ to treatments of ambient levels of PAR and UV radiation, ambient radiation minus UVB, and ambient radiation minus all UV. After 16 d, significant increases in chl a and cell numbers were recorded for all treatments, but there were no significant differences among the different treatments. Bottom-ice algae exposed in vitro were considerably less tolerant to UVB than those in situ, but this tolerance improved when algae were retained within a solid block of ice. In addition, algae extracted from brine channels in the upper meter of sea ice and exposed to PAR and UVB in the laboratory were much more tolerant of high UVB doses than were any bottom-ice isolates. This finding indicates that brine algae may be better adapted to high PAR and UVB than are bottom-ice algae. The data indicate that the impact of increased levels of UVB resulting from springtime ozone depletion on Antarctic bottom-ice communities is likely to be minimal. These algae are likely protected by strong UVB attenuation by the overlying ice and snow, by other inorganic and organic substances in the ice matrix, and by algal cells closer to the surface.</t>
  </si>
  <si>
    <t>[Ryan, Ken G.; Davy, Simon K.] Victoria Univ Wellington, Sch Biol Sci, Wellington, New Zealand; [McMinn, Andrew] Univ Tasmania, Inst Marine &amp; Antarct Studies, Hobart, Tas, Australia; [Hegseth, Else N.] Univ Tromso, Norwegian Coll Fishery Sci, N-9037 Tromso, Norway</t>
  </si>
  <si>
    <t>Victoria University Wellington; University of Tasmania; UiT The Arctic University of Tromso</t>
  </si>
  <si>
    <t>Ryan, KG (corresponding author), Victoria Univ Wellington, Sch Biol Sci, POB 600, Wellington, New Zealand.</t>
  </si>
  <si>
    <t>ken.ryan@vuw.ac.nz</t>
  </si>
  <si>
    <t>McMinn, Andrew/A-9910-2008; Ryan, Ken/F-5652-2013</t>
  </si>
  <si>
    <t>Davy, Simon/0000-0003-3584-5356; Ryan, Ken/0000-0001-7075-0112</t>
  </si>
  <si>
    <t>FRST [CO8817, VICX0706]; ASAC grant; University of Tasmania; United States National Science Foundation's Office of Polar Programs via Raytheon Polar Services Company</t>
  </si>
  <si>
    <t>FRST(New Zealand Foundation for Research, Science and Technology); ASAC grant; University of Tasmania; United States National Science Foundation's Office of Polar Programs via Raytheon Polar Services Company</t>
  </si>
  <si>
    <t>Financial assistance for this study was provided by FRST contracts no CO8817 and VICX0706 for the New Zealand component and an ASAC grant and a University of Tasmania ARC grant for the Australian contribution. We thank Ian Hawes for the loan of the PUV500 radiometer. We are particularly grateful to Antarctic New Zealand and the Scott Base staff, especially Shul Gordon and Brian Staite, for logistic and field support for Events K136 and K043. UV data from McMurdo was provided by the NSF UV Monitoring Network, operated by Biospherical Instruments Inc. under a contract from the United States National Science Foundation's Office of Polar Programs via Raytheon Polar Services Company.</t>
  </si>
  <si>
    <t>0022-3646</t>
  </si>
  <si>
    <t>J PHYCOL</t>
  </si>
  <si>
    <t>J. Phycol.</t>
  </si>
  <si>
    <t>10.1111/j.1529-8817.2011.01104.x</t>
  </si>
  <si>
    <t>Plant Sciences; Marine &amp; Freshwater Biology</t>
  </si>
  <si>
    <t>884TB</t>
  </si>
  <si>
    <t>WOS:000299730600007</t>
  </si>
  <si>
    <t>Petrou, K; Kranz, SA; Doblin, MA; Ralph, PJ</t>
  </si>
  <si>
    <t>Petrou, Katherina; Kranz, Sven A.; Doblin, Martina A.; Ralph, Peter J.</t>
  </si>
  <si>
    <t>PHOTOPHYSIOLOGICAL RESPONSES OF FRAGILARIOPSIS CYLINDRUS (BACILLARIOPHYCEAE) TO NITROGEN DEPLETION AT TWO TEMPERATURES</t>
  </si>
  <si>
    <t>diatom; Fragilariopsis cylindrus; NPQ; photoprotection; QB nonreducing PSII centers</t>
  </si>
  <si>
    <t>PHOTOSYNTHETIC ENERGY-CONVERSION; MAXIMUM QUANTUM EFFICIENCY; PHOTOSYSTEM-II; SOUTHERN-OCEAN; SEA-ICE; NORTH-ATLANTIC; CHLAMYDOMONAS-REINHARDTII; FLUORESCENCE TRANSIENT; PHAEOCYSTIS-ANTARCTICA; EAST ANTARCTICA</t>
  </si>
  <si>
    <t>The photosynthetic efficiency and photoprotective capacity of the sea-ice diatom, Fragilariopsis cylindrus (Grunow) W. Krieg., grown in a matrix of nitrogen repletion and depletion at two different temperatures (-1 degrees C and +6 degrees C) was investigated. Temperature showed no significant effect on photosynthetic efficiency or photoprotection in F. cylindrus. Cultures under nitrogen depletion showed enhanced photoprotective capacity with an increase in nonphotochemical quenching (NPQ) when compared with nitrogen-replete cultures. This phenomenon was achieved at no apparent cost to the photosynthetic efficiency of PSII (FV/FM). Nitrogen depletion yielded a partially reduced electron transport chain in which maximum fluorescence (FM) could only be obtained by adding 3-(3,4-dichlorophenyl)-1,1-dimethylurea (DCMU). reoxidation curves showed the presence of QB nonreducing PSII centers under nitrogen depletion. Fast induction curves (FICs) and electron transport rates (ETRs) revealed slowing of the electrons transferred from the primary (QA) to the secondary (QB) quinone electron acceptors of PSII. The data presented show that nitrogen depletion in F. cylindrus leads to the formation of QB nonreducing PSII centers within the photosystem. On a physiological level, the formation of QB nonreducing PSII centers in F. cylindrus provides the cell with protection against photoinhibition by facilitating the rapid induction of NPQ. This strategy provides an important ecological advantage, especially during the Antarctic spring, maintaining photosynthetic efficiency under high light and nutrient-limiting conditions.</t>
  </si>
  <si>
    <t>[Petrou, Katherina; Doblin, Martina A.; Ralph, Peter J.] Univ Technol Sydney, Dept Environm Sci, Broadway, NSW 2007, Australia; [Kranz, Sven A.] Alfred Wegener Inst Polar &amp; Marine Res, D-27570 Bremerhaven, Germany</t>
  </si>
  <si>
    <t>University of Technology Sydney; Helmholtz Association; Alfred Wegener Institute, Helmholtz Centre for Polar &amp; Marine Research</t>
  </si>
  <si>
    <t>Ralph, PJ (corresponding author), Univ Technol Sydney, Dept Environm Sci, POB 123, Broadway, NSW 2007, Australia.</t>
  </si>
  <si>
    <t>peter.ralph@uts.edu.au</t>
  </si>
  <si>
    <t>Ralph, Peter/L-1527-2019; Doblin, Martina/L-1804-2019; Kranz, Sven/ABG-9009-2020</t>
  </si>
  <si>
    <t>Ralph, Peter/0000-0002-3103-7346; Doblin, Martina/0000-0001-8750-3433; Petrou, Katherina/0000-0002-2703-0694</t>
  </si>
  <si>
    <t>Australian Antarctic Science grant [2752]; ARC [DP0773558]; Aquatic Photosynthesis Group; Department of Environmental Sciences, University of Technology, Sydney; Australian Postgraduate Award; Commonwealth Scientific and Industrial Research Organisation (CSIRO); Australian Research Council [DP0773558] Funding Source: Australian Research Council</t>
  </si>
  <si>
    <t>Australian Antarctic Science grant; ARC(Australian Research Council); Aquatic Photosynthesis Group; Department of Environmental Sciences, University of Technology, Sydney; Australian Postgraduate Award(Australian Government); Commonwealth Scientific and Industrial Research Organisation (CSIRO)(Commonwealth Scientific &amp; Industrial Research Organisation (CSIRO)); Australian Research Council(Australian Research Council)</t>
  </si>
  <si>
    <t>The authors thank the two anonymous reviewers for their comments and suggestions for improving the manuscript. We also thank Marlene Zbinden for her assistance with cell quantitation and Marlene Zbinden and Sue Fenech for their assistance with the nutrient analyses. This work was supported by an Australian Antarctic Science grant (2752) and ARC discovery grant (DP0773558) awarded to Peter Ralph. Additional financial support was provided by the Aquatic Photosynthesis Group and Department of Environmental Sciences, University of Technology, Sydney. Katherina Petrou was supported by an Australian Postgraduate Award and the Commonwealth Scientific and Industrial Research Organisation (CSIRO) Flagship top-up scholarship.</t>
  </si>
  <si>
    <t>1529-8817</t>
  </si>
  <si>
    <t>10.1111/j.1529-8817.2011.01107.x</t>
  </si>
  <si>
    <t>WOS:000299730600012</t>
  </si>
  <si>
    <t>de Souza, MS; Mendes, CRB; Garcia, VMT; Pollery, R; Brotas, V</t>
  </si>
  <si>
    <t>de Souza, Marcio Silva; Borges Mendes, Carlos Rafael; Tavano Garcia, Virginia Maria; Pollery, Ricardo; Brotas, Vanda</t>
  </si>
  <si>
    <t>Phytoplankton community during a coccolithophorid bloom in the Patagonian Shelf: microscopic and high-performance liquid chromatography pigment analyses</t>
  </si>
  <si>
    <t>JOURNAL OF THE MARINE BIOLOGICAL ASSOCIATION OF THE UNITED KINGDOM</t>
  </si>
  <si>
    <t>coccolithophorids; Patagonian shelf; phytoplankton community; CHEMTAX; pigments; taxonomy</t>
  </si>
  <si>
    <t>EMILIANIA-HUXLEYI PRYMNESIOPHYCEAE; CLASS ABUNDANCES; BERING-SEA; VARIABILITY; CHEMTAX; MARKERS; GROWTH</t>
  </si>
  <si>
    <t>We describe the phytoplankton community and biomass during a summer coccolithophorid bloom sampled over the Patagonian shelf (48.5 degrees S-50.5 degrees S). Those phytoplankton species can contribute to the flux of calcium carbonate out of surface waters. Results from both microscope and high-performance liquid chromatography (HPLC) analysis are shown to complement information on the phytoplankton community. From CHEMTAX analysis of HPLC data, the most important organisms and groups identified were the coccolithophorid Emiliania huxleyi, the haptophyte Phaeocystis antarctica, dinoflagellates, diatoms, cryptophytes, prasinophytes and cyanobacteria. Phytoplankton microscope counts were converted into phytoplankton group-specific biovolume estimates. Although some microscope-identified taxa could not be determined by CHEMTAX, e.g. the autotrophic ciliate Myrionecta rubra, cluster analyses from both techniques showed similar results for the main groups. Both Emiliania huxleyi cell concentration and biomass, and the pigment 19'-hexanoyloxyfucoxanthin were the most important biological features during the sampling period. At surface, nitrate was moderately high (0.2-4.2 mu M) in coccolithophorid-dominated samples, whereas phosphate (&lt;0.33 mu M) and silicate (&lt;1.35 mu M) concentrations were low. Among the environmental factors low Si:N ratios were mainly associated with the dominance of E. huxleyi. Competition and probably differential grazing could also promote a coccolithophorid outgrowth over other photoautotrophs during the summer season in the Patagonian shelf</t>
  </si>
  <si>
    <t>[de Souza, Marcio Silva; Borges Mendes, Carlos Rafael; Tavano Garcia, Virginia Maria] Inst Oceanog FURG, Lab Fitoplancton &amp; Microorganismos Marinhos, BR-96201900 Rio Grande, Brazil; [Borges Mendes, Carlos Rafael; Brotas, Vanda] Univ Lisbon, Fac Ciencias, Ctr Oceanog, P-1749016 Lisbon, Portugal; [Pollery, Ricardo] Inst Biol UFRJ, Dept Ecol, Lab Biogeoquim, BR-21941590 Rio De Janeiro, Brazil</t>
  </si>
  <si>
    <t>de Souza, MS (corresponding author), Inst Oceanog FURG, Lab Fitoplancton &amp; Microorganismos Marinhos, POB 474,Campus Carreiros, BR-96201900 Rio Grande, Brazil.</t>
  </si>
  <si>
    <t>souza_msilva@yahoo.com.br</t>
  </si>
  <si>
    <t>de Souza, Márcio Silva/AAR-5757-2021; Mendes, Carlos/AAD-6504-2021; Mendes, Carlos/I-1520-2012; Mendes, Carlos/GVU-7596-2022; Tavano, Virginia/C-5241-2013; Brotas, Vanda/A-2410-2012</t>
  </si>
  <si>
    <t>de Souza, Márcio Silva/0000-0003-1572-9307; Mendes, Carlos/0000-0001-6875-8860; Mendes, Carlos/0000-0001-6875-8860; Tavano, Virginia/0000-0003-0039-8111; Brotas, Vanda/0000-0001-8612-4167</t>
  </si>
  <si>
    <t>Navy RV 'Ary Rongel', Arlindo Moreira Serrado; CIRM/SECIRM; Brazilian National Council for Scientific and Technological Development (CNPq); Brazilian Ministry of Environment (MMA); FCT-GRICES/CAPES; FCT, Portugal [SFRH/BD/36336/2007]; CAPES (Brazil); Fundação para a Ciência e a Tecnologia [SFRH/BD/36336/2007] Funding Source: FCT</t>
  </si>
  <si>
    <t>Navy RV 'Ary Rongel', Arlindo Moreira Serrado; CIRM/SECIRM; Brazilian National Council for Scientific and Technological Development (CNPq)(Conselho Nacional de Desenvolvimento Cientifico e Tecnologico (CNPQ)); Brazilian Ministry of Environment (MMA); FCT-GRICES/CAPES; FCT, Portugal(Fundacao para a Ciencia e a Tecnologia (FCT)); CAPES (Brazil)(Coordenacao de Aperfeicoamento de Pessoal de Nivel Superior (CAPES)); Fundação para a Ciência e a Tecnologia(Fundacao para a Ciencia e a Tecnologia (FCT))</t>
  </si>
  <si>
    <t>We thank the Captain of Navy RV 'Ary Rongel', Arlindo Moreira Serrado, and his officers and crew as well as SECIRM's officer on-board for all their support and help during the field survey. Laboratory facilities were provided by the Centro de Oceanografia da Faculdade de Ciencias da Universidade de Lisboa (Portugal) for HPLC analyses, and by the Laboratorio de Fitoplancton e Microorganismos Marinhos (Institute of Oceanography, FURG, Brazil) for microscopic analyses. We are grateful to M.D. Mackey for a copy of the CHEMTAX software. The present work was carried out as part of the SOS-Climate project inserted in the Brazilian Antarctic Program under the auspices of the CIRM/SECIRM. This work was supported by financial resources from both the Brazilian National Council for Scientific and Technological Development (CNPq) and the Brazilian Ministry of Environment (MMA), as well as by the program FCT-GRICES/CAPES. C.R.M. was funded by a PhD grant from FCT, Portugal [SFRH/BD/36336/2007]. A PhD fellowship from CAPES (Brazil) was granted to M.S.deS.</t>
  </si>
  <si>
    <t>0025-3154</t>
  </si>
  <si>
    <t>1469-7769</t>
  </si>
  <si>
    <t>J MAR BIOL ASSOC UK</t>
  </si>
  <si>
    <t>J. Mar. Biol. Assoc. U.K.</t>
  </si>
  <si>
    <t>10.1017/S0025315411000439</t>
  </si>
  <si>
    <t>883SO</t>
  </si>
  <si>
    <t>WOS:000299655400002</t>
  </si>
  <si>
    <t>Bian, LG; Lin, Z; Zhang, DQ; Zheng, XD; Lu, LH</t>
  </si>
  <si>
    <t>Bian LinGen; Lin Zhong; Zhang DongQi; Zheng XiangDong; Lu LongHua</t>
  </si>
  <si>
    <t>The vertical structure and seasonal changes of atmosphere ozone and temperature at Zhongshan Station over East Antarctica</t>
  </si>
  <si>
    <t>Antarctica; atmospheric ozone and temperature; vertical structure; seasonal variation</t>
  </si>
  <si>
    <t>TROPICAL TROPOPAUSE</t>
  </si>
  <si>
    <t>The vertical structure of the atmospheric ozone and temperature as well as the seasonal variations is presented by using ozone sounding data at Zhongshan Station over East Antarctica from February, 2008 to February, 2009. The results show that the heights of thermal tropopause and ozone tropopause are mostly the same with yearly mean 7.9 and 7.4 km separately above the station. There is obvious seasonal variation in the pressure and temperature of the tropopause, manifested by the clear one-wave pattern with an opposite phase. As the turning point of the tropopause temperature is visible in autumn and faint in spring and winter, the tropopause height can be better confirmed by utilization of the changes of ozone. Seasonal variation of the tropospheric ozone of vertical distribution is not clear, relative to stratosphere. In the spring, ozone in the low level of stratosphere lost seriously. The minimum partial ozone in 14 km was 1.57 MPa only and the maximum partial ozone occurred in the up level stratosphere. In the rest of the season the ozone increases with height rising in the low level of stratosphere. The evidence shows that ozone lost in spring is closely related with low temperature of polar night and the process of PSC photochemical destruction ozone in the stratosphere. From the vertical characteristics and seasonal variation of ozone and temperature, it is meaningful to understand formation and development of Antarctic ozone deletion.</t>
  </si>
  <si>
    <t>[Bian LinGen; Lin Zhong; Zhang DongQi; Zheng XiangDong; Lu LongHua] Chinese Acad Meteorol Sci, State Key Lab Severe Weather, Beijing 100081, Peoples R China</t>
  </si>
  <si>
    <t>Bian, LG (corresponding author), Chinese Acad Meteorol Sci, State Key Lab Severe Weather, Beijing 100081, Peoples R China.</t>
  </si>
  <si>
    <t>National Natural Science Foundation of China [41076132]; Program of China Polar Environment Investigation and Assessment; Chinese Meteorological Administration; Chinese Arctic and Antarctic Administration under the National Oceanic Administration</t>
  </si>
  <si>
    <t>National Natural Science Foundation of China(National Natural Science Foundation of China (NSFC)); Program of China Polar Environment Investigation and Assessment; Chinese Meteorological Administration; Chinese Arctic and Antarctic Administration under the National Oceanic Administration</t>
  </si>
  <si>
    <t>This work was supported by National Natural Science Foundation of China (Grant No. 41076132) and the Program of China Polar Environment Investigation and Assessment (2011-2015). We thank the Chinese Meteorological Administration and Chinese Arctic and Antarctic Administration under the National Oceanic Administration that provided support for building the atmosphere monitoring site at Zhongshan Station. All the members of the 24th and 25th Chinese Antarctic Expedition are acknowledged for their help in collecting the data.</t>
  </si>
  <si>
    <t>10.1007/s11430-011-4355-2</t>
  </si>
  <si>
    <t>881SN</t>
  </si>
  <si>
    <t>WOS:000299508900010</t>
  </si>
  <si>
    <t>Chao, JP; Li, YK</t>
  </si>
  <si>
    <t>Chao JiPing; Li YaoKun</t>
  </si>
  <si>
    <t>Two equilibria of the Antarctic Circumpolar Current and its associated Meridional Overturning Circulation</t>
  </si>
  <si>
    <t>Antarctic Circumpolar Current; Meridional Overturning Circulation; inertia theory; two equilibria</t>
  </si>
  <si>
    <t>EQUATORIAL INERTIAL JETS; UNDERCURRENT; OCEAN; MODEL</t>
  </si>
  <si>
    <t>The Antarctic Circumpolar Current (ACC) and its associated Meridional Overturning Circulation (MOC) is investigated through a nonlinear inertia theory model, which consists of two layers-an upper Ekman layer driven mainly by sea surface wind stress and a lower thermocline controlled by ideal fluid nonlinear equations which can be solved by identifying the form of the arbitrary functions. The results show that the thermocline has a two-equilibrium solution though given the same Ekman layer condition. Compared to the first equilibrium, the second one has a heavier intensity and deeper circulation, which seems more consistent with the existing data.</t>
  </si>
  <si>
    <t>[Li YaoKun] Chinese Acad Sci, Inst Atmospher Phys, State Key Lab Numer Modeling Atmospher Sci &amp; Geop, Beijing 100029, Peoples R China; [Chao JiPing] Natl Marine Environm Forecasting Ctr, Beijing 100081, Peoples R China; [Chao JiPing] State Ocean Adm, Inst Oceanog 1, Qingdao 266061, Peoples R China; [Li YaoKun] Chinese Acad Sci, Grad Univ, Beijing 100049, Peoples R China</t>
  </si>
  <si>
    <t>Chinese Academy of Sciences; Institute of Atmospheric Physics, CAS; National Marine Environmental Forecasting Center; First Institute of Oceanography, Ministry of Natural Resources; Chinese Academy of Sciences; University of Chinese Academy of Sciences, CAS</t>
  </si>
  <si>
    <t>Li, YK (corresponding author), Chinese Acad Sci, Inst Atmospher Phys, State Key Lab Numer Modeling Atmospher Sci &amp; Geop, Beijing 100029, Peoples R China.</t>
  </si>
  <si>
    <t>lyknq@lasg.iap.ac.cn</t>
  </si>
  <si>
    <t>National Basic Research Program of China [2010CB950300]</t>
  </si>
  <si>
    <t>National Basic Research Program of China(National Basic Research Program of China)</t>
  </si>
  <si>
    <t>The data used come from NOAA's GODAS and ICOADS dataset from its website: http://www.esrl.noaa.gov/psd/. Dr. Liu Fei offers some help for calculating. The communication with Dr. Sun Cheng helps us greatly. We are grateful to those who read the manuscript and gave helpful comments. This work was supported by National Basic Research Program of China (Grant No. 2010CB950300).</t>
  </si>
  <si>
    <t>10.1007/s11430-011-4304-0</t>
  </si>
  <si>
    <t>WOS:000299508900016</t>
  </si>
  <si>
    <t>Kuanpradit, C; Stewart, MJ; York, PS; Degnan, BM; Sobhon, P; Hanna, PJ; Chavadej, J; Cummins, SF</t>
  </si>
  <si>
    <t>Kuanpradit, Chitraporn; Stewart, Michael J.; York, Patrick S.; Degnan, Bernard M.; Sobhon, Prasert; Hanna, Peter J.; Chavadej, Jittipan; Cummins, Scott F.</t>
  </si>
  <si>
    <t>Characterization of mucus-associated proteins from abalone (Haliotis) - candidates for chemical signaling</t>
  </si>
  <si>
    <t>FEBS JOURNAL</t>
  </si>
  <si>
    <t>abalone; animal aggregation; Haliotis; mucus-associated proteins; RP-HPLC</t>
  </si>
  <si>
    <t>SEX-PHEROMONE; WATER; ATTRACTIN; ASININA; BEHAVIOR; FAMILY; FERTILIZATION; CONSEQUENCES; SCHISTOSOMIN; AGGREGATION</t>
  </si>
  <si>
    <t>Living in groups is a widespread phenomenon in the animal kingdom. For free-spawning aquatic animals, such as the abalone (Haliotis), being in the close proximity to potential mating partners enhances reproductive success. In this study, we investigated whether chemical cues could be present in abalone mucus that enable species-specific aggregation. A comparative MS analysis of mucus obtained from trailing or fixed stationary Haliotis asinina, and from seawater surrounding aggregations, indicated that water-soluble biomolecules are present and that these can stimulate sensory activity in conspecifics. Purified extracts of trail mucus contain at least three small proteins [termed H. asinina mucus-associated proteins (Has-MAPs)-13], which readily diffuse into the surrounding seawater and evoke a robust cephalic tentacle response in conspecifics. Mature Has-MAP-1 is approximately 9.9 kDa in size, and has a glycine-rich N-terminal region. Has-MAP-2 is approximately 6.2 kDa in size, and has similarities to schistosomin, a protein that is known to play a role in mollusc reproduction. The mature Has-MAP-3 is approximately 12.5 kDa in size, and could only be identified within trail mucus of animals outside of the reproductive season. All three Has-MAP genes are expressed at high levels within secretory cells of the juvenile abalone posterior pedal gland, consistent with a role in scent marking. We infer from these results that abalone mucus-associated proteins are candidate chemical cues that could provide informational cues to conspecifics living in close proximity and, given their apparent stability and hydrophilicity, animals further afield.</t>
  </si>
  <si>
    <t>[Cummins, Scott F.] Univ Sunshine Coast, Fac Sci Hlth &amp; Educ, Maroochydore, Australia; [Kuanpradit, Chitraporn] Srinakharinwirot Univ, Dept Anat, Fac Med, Bangkok, Thailand; [Kuanpradit, Chitraporn; Sobhon, Prasert; Hanna, Peter J.; Chavadej, Jittipan] Mahidol Univ, Fac Sci, Dept Anat, Bangkok 10400, Thailand; [Stewart, Michael J.] Univ Tasmania, Inst Marine &amp; Antarctic Studies, Hobart, Tas, Australia; [York, Patrick S.; Degnan, Bernard M.] Univ Queensland, Sch Biol Sci, Brisbane, Qld, Australia; [Hanna, Peter J.] Deakin Univ, Fac Sci &amp; Technol, Deans Off, Geelong, Vic 3217, Australia</t>
  </si>
  <si>
    <t>University of the Sunshine Coast; Srinakharinwirot University; Mahidol University; University of Tasmania; University of Queensland; Deakin University</t>
  </si>
  <si>
    <t>Cummins, SF (corresponding author), Univ Sunshine Coast, Fac Sci Hlth &amp; Educ, Maroochydore, Qld, Australia.</t>
  </si>
  <si>
    <t>scummins@usc.edu.au</t>
  </si>
  <si>
    <t>Cummins, Scott/I-6420-2016</t>
  </si>
  <si>
    <t>Cummins, Scott/0000-0002-1454-2076; Degnan, Bernard/0000-0001-7573-8518</t>
  </si>
  <si>
    <t>Herman Slade Foundation; Australian Research Council; Thailand Research Fund; Commission on Higher Education; Mahidol University</t>
  </si>
  <si>
    <t>Herman Slade Foundation; Australian Research Council(Australian Research Council); Thailand Research Fund(Thailand Research Fund (TRF)); Commission on Higher Education; Mahidol University</t>
  </si>
  <si>
    <t>We thank the Heron Island Research Centre and Bribie Island Aquaculture Research Centre for providing the captive-reared animals and facilities used in this study. This work was supported by grants from the Herman Slade Foundation (S. F. Cummins), the Australian Research Council (B. M. Degnan), and the Thailand Research Fund and Commission on Higher Education and Mahidol University (C. Kuanpradit, P. Sobhon, and J. Chavadej). We thank S. Smith for protein sequence analyses, and G. Nette for the use of RP-HPLC equipment.</t>
  </si>
  <si>
    <t>1742-464X</t>
  </si>
  <si>
    <t>1742-4658</t>
  </si>
  <si>
    <t>FEBS J</t>
  </si>
  <si>
    <t>FEBS J.</t>
  </si>
  <si>
    <t>10.1111/j.1742-4658.2011.08436.x</t>
  </si>
  <si>
    <t>878KJ</t>
  </si>
  <si>
    <t>WOS:000299255500007</t>
  </si>
  <si>
    <t>Sykes, LR; Ekström, G</t>
  </si>
  <si>
    <t>Sykes, Lynn R.; Ekstroem, Goeran</t>
  </si>
  <si>
    <t>Earthquakes along Eltanin transform system, SE Pacific Ocean: fault segments characterized by strong and poor seismic coupling and implications for long-term earthquake prediction</t>
  </si>
  <si>
    <t>Earthquake interaction; forecasting; and prediction; Seismicity and tectonics; Transform faults; Oceanic transform and fracture zone processes; Dynamics and mechanics of faulting</t>
  </si>
  <si>
    <t>FRACTURE-ZONE; SOUTH-PACIFIC; SOURCE PARAMETERS; SURFACE-WAVES; RIDGE; RISE; SLIP; PREDICTABILITY; ANOMALIES; SEQUENCES</t>
  </si>
  <si>
    <t>Centroid moment tensor solutions are recomputed for 190 earthquakes from 1976 to 2010 along the Heezen, Tharp and Hollister transform faults of the Eltanin system using a 3-D seismic velocity model. The total length of the three en echelon faults is nearly 1000 km; each is characterized by fast long-term rates of displacement of about 80 mm yr1. Strike-slip faulting with moment magnitudes Mw up to 6.4 characterizes most of these events. The few involving normal faulting are located up to 40 km on either side of the transforms and involve extension nearly normal to the transforms. This partitioning of slip likely results from changes during the last few million years in the Euler pole for relative motion between the Antarctic and Pacific plates. Some parts of the Heezen and Tharp transforms exhibit strong seismic coupling but others were aseismic at the resolution of our study, Mw &gt; 5.05.5. Earthquakes were not found along nearby fast spreading ridges at that resolution. We calculate downdip widths of seismic coupling of about 5 km for four strongly coupled segments from observed moment rates and lengths along strike assuming earthquake activity accounts for the entire plate motion. Major differences in seismic coupling along strike are not in accord with common thermal models of plate cooling but instead are attributed to varying degrees of metamorphism, rock type and effective normal stress and possibly to the presence of short intratransform spreading centres. One 3042-km-long segment of the Heezen transform that appears to be an isolated well-coupled asperity has ruptured in eight earthquakes of Mw 5.96.1 quasi-periodically with a coefficient of variation of 0.26 every 4.0 +/- 1.0 yr. Other well-coupled fault segments, which were sites with earthquakes up to Mw 6.39 and fewer events since 1976, have average repeat times of about 724 yr. The fast rate of plate motion, maximum size of events and relatively short repeat times make these fault segments a good laboratory for research on quasi-periodic behaviour and earthquake prediction.</t>
  </si>
  <si>
    <t>[Sykes, Lynn R.] Columbia Univ, Lamont Doherty Earth Observ, Palisades, NY 10964 USA; Columbia Univ, Dept Earth &amp; Environm Sci, Palisades, NY 10964 USA</t>
  </si>
  <si>
    <t>Columbia University; Columbia University</t>
  </si>
  <si>
    <t>Sykes, LR (corresponding author), Columbia Univ, Lamont Doherty Earth Observ, Palisades, NY 10964 USA.</t>
  </si>
  <si>
    <t>sykes@ldeo.columbia.edu</t>
  </si>
  <si>
    <t>Ekstrom, Goran/C-9771-2012</t>
  </si>
  <si>
    <t>Ekstrom, Goran/0000-0001-6410-275X</t>
  </si>
  <si>
    <t>NSF [EAR-09-24694]; Division Of Earth Sciences; Directorate For Geosciences [0824694] Funding Source: National Science Foundation</t>
  </si>
  <si>
    <t>NSF(National Science Foundation (NSF)); Division Of Earth Sciences; Directorate For Geosciences(National Science Foundation (NSF)NSF - Directorate for Geosciences (GEO))</t>
  </si>
  <si>
    <t>We thank S. Carbotte and C. Scholz of Lamont and journal reviewers J. McGuire and C. Laederach for critically examining the manuscript and for valuable suggestions and P.G. Richards, W.B.F. Ryan and M. Tolstoy for helpful discussions. S. Carbotte kindly computed the bathymetric map in Fig. 2. GE was partially supported by NSF grant EAR-09-24694. Lamont-Doherty Earth Observatory Contribution 7505.</t>
  </si>
  <si>
    <t>10.1111/j.1365-246X.2011.05284.x</t>
  </si>
  <si>
    <t>872WJ</t>
  </si>
  <si>
    <t>WOS:000298840800003</t>
  </si>
  <si>
    <t>Amsler, CD; McClintock, JB; Baker, BJ</t>
  </si>
  <si>
    <t>Amsler, Charles D.; McClintock, James B.; Baker, Bill J.</t>
  </si>
  <si>
    <t>Amphipods exclude filamentous algae from the Western Antarctic Peninsula benthos: experimental evidence</t>
  </si>
  <si>
    <t>Algae; Amphipods; Epiphytes; Herbivory</t>
  </si>
  <si>
    <t>COMMUNITY STRUCTURE; SUBTIDAL MACROALGAE; MARINE MACROALGAE; ZOSTERA-MARINA; BIOMASS; PRODUCTIVITY; MESOHERBIVORY; PALATABILITY; EVOLUTION; DEFENSES</t>
  </si>
  <si>
    <t>Hard bottom, subtidal communities along the Western Antarctic Peninsula are dominated by forests of large, chemically defended macroalgae that support a very dense assemblage of amphipods. Free-living filamentous algae are rare in the subtidal, but filamentous algal endophytes are common in many of the larger macroalgae, both likely as the result of amphipod grazing pressure. Filamentous algae are common in the intertidal, but primarily in the upper intertidal and on high-energy shores where amphipods are likely to be excluded much of the time. We tested the hypothesis that free-living, filamentous algae would be rapidly consumed if transplanted from the intertidal to the subtidal, and our results clearly supported this hypothesis. The filamentous, intertidal green alga Cladophora repens was transplanted to the benthos in 6 different macroalgal habitats. Control algae were transplanted in 3 m deeper waters nearby (usually 12 m or less laterally) but suspended 3 m off the bottom where amphipods are absent or rare. Overall consumption during approximately 6 h on the bottom ranged from 22 to 98% of the initial biomass, while significantly less biomass loss occurred in the water column.</t>
  </si>
  <si>
    <t>[Amsler, Charles D.; McClintock, James B.] Univ Alabama Birmingham, Dept Biol, Birmingham, AL 35294 USA; [Baker, Bill J.] Univ S Florida, Dept Chem, Tampa, FL 33620 USA</t>
  </si>
  <si>
    <t>Amsler, CD (corresponding author), Univ Alabama Birmingham, Dept Biol, Birmingham, AL 35294 USA.</t>
  </si>
  <si>
    <t>amsler@uab.edu</t>
  </si>
  <si>
    <t>Amsler, Charles/0000-0002-4843-3759</t>
  </si>
  <si>
    <t>National Science Foundation [ANT-0838773, ANT-0828776]; Directorate For Geosciences; Office of Polar Programs (OPP) [0838773] Funding Source: National Science Foundation</t>
  </si>
  <si>
    <t>We are grateful to our fellow 2010 and 2011 Palmer Station field team members for diving and other field assistance and to Drs. F. Kupper, P. Kraufvelin and an anonymous reviewer for constructive suggestions for improving an earlier draft of the manuscript. This project would not have been possible without hard work and outstanding logistical support in Antarctica from the employees and subcontractors of Raytheon Polar Services Company. The work was funded by National Science Foundation awards ANT-0838773 (CDA, JBM) and ANT-0828776 (BJB) from the Antarctic Organisms and Ecosystems program.</t>
  </si>
  <si>
    <t>10.1007/s00300-011-1049-3</t>
  </si>
  <si>
    <t>873CI</t>
  </si>
  <si>
    <t>WOS:000298858100002</t>
  </si>
  <si>
    <t>Iglésias, SP; Dettai, A; Ozouf-Costaz, C</t>
  </si>
  <si>
    <t>Iglesias, Samuel P.; Dettai, Agnes; Ozouf-Costaz, Catherine</t>
  </si>
  <si>
    <t>Barbapellis pterygalces, new genus and new species of a singular eelpout (Zoarcidae: Teleostei) from the Antarctic deep waters</t>
  </si>
  <si>
    <t>New species; Zoarcidae; Southern Ocean; CEAMARC; DNA barcode</t>
  </si>
  <si>
    <t>PERCIFORMES</t>
  </si>
  <si>
    <t>A new genus and species of deep-sea eelpout (Zoarcidae), Barbapellis pterygalces, is herein described from a single adult female specimen carrying eggs and measuring 204 mm in total length. It was collected on the eastern Antarctic continental slope, off Terre Ad,lie, at ca. 1,200 m depth, on muddy bottom. Barbapellis is placed in the subfamily Gymnelinae and can be distinguished from all other genera by morphological characters unusual in zoarcids as well as by molecular barcoding. The genus is characterized by the presence of a complex system of cephalic skin crests and flaps, especially well developed around the mouth. A new terminology is proposed for the eleven crests and sevenfolds described. The skin folds may be used for foraging on muddy sea bottoms. The genus is also characterized by large, flexible, and highly palmate pectoral fins. The designation of the new genus is discussed.</t>
  </si>
  <si>
    <t>[Iglesias, Samuel P.] Museum Natl Hist Nat, Dept Milieux &amp; Peuplements Aquat, Stn Biol Marine Concarneau, USM 0405, F-75231 Paris, France; [Iglesias, Samuel P.] UPMC, CNRS, UMR 7208, MNHN,IRD, Paris, France; [Dettai, Agnes; Ozouf-Costaz, Catherine] Museum Natl Hist Nat, Dept Systemat &amp; Evolut, UMR 7138, F-75231 Paris, France</t>
  </si>
  <si>
    <t>Museum National d'Histoire Naturelle (MNHN); Centre National de la Recherche Scientifique (CNRS); CNRS - Institute of Ecology &amp; Environment (INEE); Institut de Recherche pour le Developpement (IRD); Museum National d'Histoire Naturelle (MNHN); Sorbonne Universite; Centre National de la Recherche Scientifique (CNRS); CNRS - National Institute for Biology (INSB); Sorbonne Universite; Museum National d'Histoire Naturelle (MNHN)</t>
  </si>
  <si>
    <t>Iglésias, SP (corresponding author), Museum Natl Hist Nat, Dept Milieux &amp; Peuplements Aquat, Stn Biol Marine Concarneau, USM 0405, F-75231 Paris, France.</t>
  </si>
  <si>
    <t>iglesias@mnhn.fr</t>
  </si>
  <si>
    <t>Iglesias, Samuel Paco/ABH-9759-2020; Dettai, Agnes/Q-6743-2019</t>
  </si>
  <si>
    <t>Iglesias, Samuel Paco/0000-0002-2926-9770;</t>
  </si>
  <si>
    <t>Australian Antarctic Division; Japanese Science Foundation; French polar institute IPEV; Centre National de la Recherche Scientifique; Museum national d'Histoire naturelle; Agence Nationale de la Recherche [07-BLAN-0213-01]</t>
  </si>
  <si>
    <t>Australian Antarctic Division; Japanese Science Foundation; French polar institute IPEV; Centre National de la Recherche Scientifique(Centre National de la Recherche Scientifique (CNRS)); Museum national d'Histoire naturelle; Agence Nationale de la Recherche(Agence Nationale de la Recherche (ANR))</t>
  </si>
  <si>
    <t>We thank the crew and participants of the cruises involved in the capture of the samples, and especially the chief scientists of the cruise of the Census of Antarctic Marine Life-Cooperative East Antarctic Marine Census project (CAML-CEAMARC). The CAML-CEAMARC cruises of R/V Aurora Australis and TS Umitaka maru (IPY project No. 53) were supported by the Australian Antarctic Division, the Japanese Science Foundation, the French polar institute IPEV (ICOTA and REVOLTA programs), the Centre National de la Recherche Scientifique, the Museum national d'Histoire naturelle, and the Agence Nationale de la Recherche (White Project ANTFLOCKs USAR No. 07-BLAN-0213-01 directed by Guillaume Lecointre). This project is a contribution to the EBA-SCAR program. We thank William T. White for the English revision of the manuscript, Romain Causse for his help with the map, Guy Duhamel for bibliographic references, and Melyne Hautecoeur for X-rays.</t>
  </si>
  <si>
    <t>10.1007/s00300-011-1057-3</t>
  </si>
  <si>
    <t>WOS:000298858100006</t>
  </si>
  <si>
    <t>Izaguirre, I; Pizarro, H; Allende, L; Unrein, F; Rodríguez, P; Marinone, MC; Tell, G</t>
  </si>
  <si>
    <t>Izaguirre, Irina; Pizarro, Haydee; Allende, Luz; Unrein, Fernando; Rodriguez, Patricia; Cristina Marinone, Maria; Tell, Guillermo</t>
  </si>
  <si>
    <t>Responses of a Maritime Antarctic lake to a catastrophic draining event under a climate change scenario</t>
  </si>
  <si>
    <t>Catastrophic draining event; Lake; Phytoplankton; Permafrost; Maritime Antarctica; Climate change</t>
  </si>
  <si>
    <t>HOPE BAY; TROPHIC STATUS; SEASONAL DYNAMICS; PENINSULA; PHYTOPLANKTON; COMMUNITIES; TRENDS; PRECIPITATION; PICOPLANKTON; VARIABILITY</t>
  </si>
  <si>
    <t>The limnological features of Lake Boeckella, the main water body of Esperanza/Hope Bay (Antarctic Peninsula), were evaluated over a 16-year period, under a climate change context evidenced by the increasing air temperature trend reported for this region for the last 50 years. We analyzed the physicochemical and phytoplankton data of the lake obtained from 1991 to 2007 during the austral summers. At the beginning of January 2001, a sudden water level drop (similar to 3 m) occurred in Lake Boeckella as a consequence of an extremely high water discharge to the sea. This was triggered by the progressive thawing of the permafrost in the basin of the system. After this disturbance, nutrients, conductivity, chlorophyll a (Chl a) and picoplankton density showed strong peaks. The pre-draining and post-draining periods showed significant differences for most of the limnological variables analyzed. Secchi disk depth significantly decreased throughout the study period, resulting in a thinner euphotic layer. Chrysophyceae and Volvocales dominated the &gt; 2 mu m phytoplankton fraction in the lake, but from 2004 onwards, other small-sized eukaryotic algae (3-5 mu m) also became very abundant. Autotrophic picoplankton showed a significant peak during the summer when the water level decreased. A shift in their composition was observed through the study period: in 1998, picocyanobacteria were numerically dominant; from 2002 onwards, picoeukaryotes increased and became dominant in 2004. This study suggests that climate change may trigger the thawing of the permafrost in the catchments of Maritime Antarctic lakes, leading to catastrophic draining events, which favor natural eutrophication processes.</t>
  </si>
  <si>
    <t>[Izaguirre, Irina; Pizarro, Haydee; Allende, Luz; Rodriguez, Patricia; Cristina Marinone, Maria; Tell, Guillermo] Univ Buenos Aires, Fac Ciencias Exactas &amp; Nat, RA-1053 Buenos Aires, DF, Argentina; [Izaguirre, Irina; Pizarro, Haydee; Allende, Luz; Unrein, Fernando; Rodriguez, Patricia; Tell, Guillermo] Consejo Nacl Invest Cient &amp; Tecn, RA-1033 Buenos Aires, DF, Argentina; [Unrein, Fernando] Inst Tecnol Chascomus IIB INTECH, Inst Invest Biotecnol, RA-7130 Chascomus, Argentina</t>
  </si>
  <si>
    <t>Izaguirre, I (corresponding author), Univ Buenos Aires, Fac Ciencias Exactas &amp; Nat, Pab 2,C1428EHA Buenos Aires, RA-1053 Buenos Aires, DF, Argentina.</t>
  </si>
  <si>
    <t>iri@ege.fcen.uba.ar</t>
  </si>
  <si>
    <t>Rodriguez, Patricia/0000-0002-7134-8966; Unrein, Fernando/0000-0002-8592-1858</t>
  </si>
  <si>
    <t>Instituto Antartico Argentino (Direccion Nacional del Antartico); Argentinean from Agencia Nacional de Promocion Cientifica y Tecnologica [PICT/04440, PICT 32732]</t>
  </si>
  <si>
    <t>Instituto Antartico Argentino (Direccion Nacional del Antartico); Argentinean from Agencia Nacional de Promocion Cientifica y Tecnologica</t>
  </si>
  <si>
    <t>The Antarctic expeditions were supported by the Instituto Antartico Argentino (Direccion Nacional del Antartico). The studies were financed by Argentinean grants from the Agencia Nacional de Promocion Cientifica y Tecnologica-PICT/04440 and PICT 32732. We thank the crews of the Argentinean Esperanza Station of the different campaigns for their logistic support. We also thank the help of our colleagues Alicia Vinocur, Gabriela Mataloni, Pablo Almada, Rodrigo Sinistro, Monica Pose, Mar a Laura Sanchez and Mar a Romina Schiaffino during different Antarctic expeditions. We are also grateful to Dr. Peter Convey, Dr. Dieter Piepenburg and two anonymous reviewers for their valuable comments on the manuscript.</t>
  </si>
  <si>
    <t>10.1007/s00300-011-1066-2</t>
  </si>
  <si>
    <t>WOS:000298858100008</t>
  </si>
  <si>
    <t>Schapira, M; McQuaid, CD; Froneman, PW</t>
  </si>
  <si>
    <t>Schapira, Mathilde; McQuaid, Christopher D.; Froneman, Pierre W.</t>
  </si>
  <si>
    <t>Metabolism of free-living and particle-associated prokaryotes: Consequences for carbon flux around a Southern Ocean archipelago</t>
  </si>
  <si>
    <t>Prokaryotes; Production/respiration; Growth efficiency; Free-living; Particles-associated; HDNA/LDNA; Southern Ocean</t>
  </si>
  <si>
    <t>PRINCE-EDWARD-ISLANDS; WATER-COLUMN; CYTOMETRIC CHARACTERISTICS; BACTERIAL RESPIRATION; GROWTH EFFICIENCY; ORGANIC-MATTER; POLAR OCEANS; MAJOR ROLE; BACTERIOPLANKTON; PHYTOPLANKTON</t>
  </si>
  <si>
    <t>The sub-Antarctic Prince Edward archipelago lies in the path of the Antarctic Circumpolar Current, giving the islands a distinct upstream/downstream axis. Here we examined the possibility of an Island Mass Effect on the prokaryotic community, comparing prokaryotic metabolism in the upstream, inter-island and downstream regions of the islands. Abundance and flow cytometric community structure, heterotrophic production (PHP) and respiration rates (R-ETS) were investigated separately for the particle-associated (PA) and free-living (FL) prokaryote communities. Temperature, salinity structure and low chlorophyll a concentrations (&lt;0.4 mu g 1(-1)) suggested a flow-through hydrological regime prevailed during the study. FL and PA abundances and PHP did not vary significantly over the study area. In contrast, FL and PA R-ETS decreased significantly along the upstream to downstream axis. This decrease in R-ETS resulted in high prokaryotic growth efficiencies (PGE) downstream of the islands. This suggests higher carbon sequestration efficiency downstream than upstream of the islands. No significant differences were observed between FL and PA-PGE downstream. In contrast, PA-PGE was significantly higher than FL-PGE at most upstream stations, suggesting quite different carbon utilisation by free-living and particle-associated prokaryotes with potentially important implications for overall carbon flux around the Archipelago. These findings provide new insights into the metabolic and functional roles of the two prokaryotic fractions within pelagic ecosystems. In particular, the observation that carbon consumption on particles is higher than would be expected from estimates of bulk PGE has important implications for our understanding of carbon cycling in the ocean. (C) 2011 Elsevier B.V. All rights reserved.</t>
  </si>
  <si>
    <t>[Schapira, Mathilde; McQuaid, Christopher D.; Froneman, Pierre W.] Rhodes Univ, Dept Zool &amp; Entomol, So Ocean Grp, ZA-6140 Grahamstown, South Africa</t>
  </si>
  <si>
    <t>Rhodes University</t>
  </si>
  <si>
    <t>Schapira, M (corresponding author), IFREMER, Lab Environm &amp; Ressource Normandie, Ave Gen Gaulle,BP 32, F-14520 Port En Bessin, France.</t>
  </si>
  <si>
    <t>mathilde.schapira@ifremer.fr</t>
  </si>
  <si>
    <t>Froneman, William/C-9085-2012; Froneman, William/GLS-0460-2022; McQuaid, Christopher/AAT-3725-2020</t>
  </si>
  <si>
    <t>Froneman, William/0000-0003-0615-1355; McQuaid, Christopher/0000-0002-3473-8308; Schapira, Mathilde/0000-0002-0130-9398</t>
  </si>
  <si>
    <t>South African Department of Environmental Affairs and Tourism; South African National Antarctic Program (SANAP); Rhodes University; South African Research Chairs Initiative of the Department of Science and Technology; National Research Foundation</t>
  </si>
  <si>
    <t>The authors gratefully acknowledge officers and crew of the research and supply vessel S.A. Agulhas for their invaluable assistance at sea and the South African Department of Environmental Affairs and Tourism for providing funds and facilities for this study. Thanks also to the Rhodes University students who assisted for the data collection at sea. Dr. M. Van de Venter from the Department of Biochemistry and Microbiology in Nelson Mandela Metropolitan University (NMMU) is acknowledged for providing technical support during the flow cytometry work. Funding was provided by the South African National Antarctic Program (SANAP) and Rhodes University. This work is based upon research supported by the South African Research Chairs Initiative of the Department of Science and Technology and the National Research Foundation.</t>
  </si>
  <si>
    <t>10.1016/j.jmarsys.2011.08.009</t>
  </si>
  <si>
    <t>847UF</t>
  </si>
  <si>
    <t>WOS:000296997300006</t>
  </si>
  <si>
    <t>Shimura, T; Akai, J; Lazic, B; Armbruster, T; Shimizu, M; Kamei, A; Tsukada, K; Owada, M; Yuhara, M</t>
  </si>
  <si>
    <t>Shimura, Toshiaki; Akai, Junji; Lazic, Biljana; Armbruster, Thomas; Shimizu, Masaaki; Kamei, Atsushi; Tsukada, Kazuhiro; Owada, Masaaki; Yuhara, Masaki</t>
  </si>
  <si>
    <t>Magnesiohogbomite-2N4S: A new polysome from the central Sor Rondane Mountains, East Antarctica</t>
  </si>
  <si>
    <t>Hogbomite; polysomatism; crystal structure; corundum; spinel; Sor Rondane Mountains; East Antarctica</t>
  </si>
  <si>
    <t>MG-AL ROCK; PARAGENETIC RELATIONS; SOUTHERN MADAGASCAR; CRYSTAL-CHEMISTRY; HOGBOMITE; INDIA; SAPPHIRINE; MINERALS; NOLANITE; COMPLEX</t>
  </si>
  <si>
    <t>Hogbomite-group minerals are complex Fe-Mg-Zn-Al-Ti oxides related to the spinel group. Their polysomatic structure is composed of spinel (S) and nolanite (N) modules. The new polysome magnesiohogbomite-2N4S (IMA 2010-084) was found in the Sor Rondane Mountains, East Antarctica. It occurs in Mg-Al-rich, Si-poor skarns, characterized by a corundum-spinel-phlogopite-clinochlore assemblage. The new magnesiohogbomite polysome formed during the retrograde metamorphic stage. Magnesiohogbomite-2N4S appears macroscopically orange red, the streak is light orange colored. Euhedral crystals are hexagonal plates or prisms with cleavage planes on {001}. The mineral is optically uniaxial (-) and pleochroic with O = reddish brown and E = pale brown. The mean refractive index calculated from reflectance data in air at 589 nm is 1.85(3). The calculated density is 3.702(2) g/cm(3). The Mohs hardness is 6.5-7, and VHN300 = 1020-1051, mean 1032 kg/mm(2). The crystal structure of the new polysome magnesiohogbomite-2N4S has been solved and refined (R1 = 2.74%) from single-crystal XRD data. The crystal chemical formula is T10M24O46(OH)(2) where T and M represent tetrahedral and octahedral sites. The mineral is hexagonal, space group P6(3)mc (no. 186), a = 5.71050(10), c = 27.6760(4) angstrom, Z = 1, V= 781.60(2) angstrom(3). The strongest lines in the powder XRD pattern [d(angstrom), I (%), hkl] are: 2.8561(4), 37, 110; 2.6120(3), 39, 109; 2.42818(16), 100, 116; 2.4160(4), 39, 10l0; 2.01181(13), 50,208; 1.54892(16), 35,2110; 1.42785(6), 57, 220. Strongest peaks in Raman spectra are at 302, 419, 479, 498, 709, 780, and 872 cm(-1), with a broad OH-characteristic absorption around 3400 cm(-1). The mean chemical composition (wt%) is SiO2 0.05, TiO2 7.08, SnO2 0.15, Al2O3 66.03, Cr2O3 0.02, Fe2O3 0.50, FeO 4.87, MnO 0.06, MgO 18.71, CaO 0.01, ZnO 0.96, NiO 0.01, CoO 0.02, F 0.06, Cl 0.01, H2O 1.00, sum 99.51. The simplified formula is (Mg8.2Fe1.2Zn0.2)(2+)(Al22.7Fe0.1)(3+) Ti1.64+O46(OH)(2) and ideal formula is Mg10Al22Ti2O46(OH)(2). This mineral is a solid solution between the two ideal end-members, (Mg,Fe,Zn)(10)(2+)(Al,Fe)(22)3+Ti24+O46(OH)(2) and (Mg,Fe,Zn)(8)(2+)(Al,Fe)(26)O-3+(46)(OH)(2).</t>
  </si>
  <si>
    <t>[Shimura, Toshiaki; Akai, Junji] Niigata Univ, Fac Sci, Dept Geol, Nishi Ku, Niigata 9502181, Japan; [Lazic, Biljana; Armbruster, Thomas] Univ Bern, Inst Geol Sci, CH-3012 Bern, Switzerland; [Shimizu, Masaaki] Toyama Univ, Fac Sci, Dept Earth Sci, Toyama 9308555, Japan; [Kamei, Atsushi] Shimane Univ, Dept Geosci, Matsue, Shimane 6908504, Japan; [Tsukada, Kazuhiro] Nagoya Univ Museum, Chikusa Ku, Nagoya, Aichi 4648601, Japan; [Owada, Masaaki] Yamaguchi Univ, Grad Sch Sci &amp; Engn, Yamaguchi 7538512, Japan; [Yuhara, Masaki] Fukuoka Univ, Fac Sci, Dept Earth Syst Sci, Jonan Ku, Fukuoka 8140180, Japan</t>
  </si>
  <si>
    <t>Niigata University; University of Bern; University of Toyama; Shimane University; Nagoya University; Yamaguchi University; Fukuoka University</t>
  </si>
  <si>
    <t>Shimura, T (corresponding author), Niigata Univ, Fac Sci, Dept Geol, Nishi Ku, 2-8050 Ikarashi, Niigata 9502181, Japan.</t>
  </si>
  <si>
    <t>smr@gs.niigata-u.ac.jp</t>
  </si>
  <si>
    <t>Krueger, Biljana/J-9001-2019; Armbruster, Thomas/AAI-3464-2020</t>
  </si>
  <si>
    <t>Krueger, Biljana/0000-0003-2025-6460; Armbruster, Thomas/0000-0002-9586-2097</t>
  </si>
  <si>
    <t>Japan Society for the Promotion of Science [20540443]; Uchida Energy Science Promotion Foundation [22-1-11]; Grants-in-Aid for Scientific Research [23540534, 20540443] Funding Source: KAKEN</t>
  </si>
  <si>
    <t>Japan Society for the Promotion of Science(Ministry of Education, Culture, Sports, Science and Technology, Japan (MEXT)Japan Society for the Promotion of Science); Uchida Energy Science Promotion Foundation(Uchida Energy Science Promotion Foundation); Grants-in-Aid for Scientific Research(Ministry of Education, Culture, Sports, Science and Technology, Japan (MEXT)Japan Society for the Promotion of ScienceGrants-in-Aid for Scientific Research (KAKENHI))</t>
  </si>
  <si>
    <t>We are grateful to Y. Hiroi, K. Shiraishi, Y. Motoyoshi, T. Hokada, S. Matsubara, E. Grew, T. Tsunogae, T. Kawasaki, and Y. Nishimiya for discussions. Pete Williams improved the submission to the IMA-CNMNC. M. Abe, all of the JARE-50 members, National Institute of Polar Research (NIPR), Alain Hubert, and BELARE supported our fieldwork during the 50th Japanese Antarctic Research Expedition (JARE-50) (2008-2009). N. Fujibayashi helped us for mineral separation, and M. Ohki helped us to measure the VI-IN hardness. H. Morii remodeled the EPMA stage. We thank A.I.S. Kemp, for his revision of the draft. We appreciate constructive reviews of the manuscript by F. Colombo, R. Miyawaki, A. Pring, and R. Peterson. Parts of this study were supported by the Grant-in-Aid for Scientific Research provided by Japan Society for the Promotion of Science (no. 20540443 to T. Shimura) and the Uchida Energy Science Promotion Foundation (no. 22-1-11 to T. Shimura).</t>
  </si>
  <si>
    <t>FEB-MAR</t>
  </si>
  <si>
    <t>10.2138/am.2012.3827</t>
  </si>
  <si>
    <t>891ID</t>
  </si>
  <si>
    <t>WOS:000300209500003</t>
  </si>
  <si>
    <t>Jickells, T; Tyler, P; Francis, J</t>
  </si>
  <si>
    <t>Jickells, Tim; Tyler, Paul; Francis, Jane</t>
  </si>
  <si>
    <t>Synthetic Antarctic Science</t>
  </si>
  <si>
    <t>10.1017/S0954102012000053</t>
  </si>
  <si>
    <t>WOS:000299936300001</t>
  </si>
  <si>
    <t>Lyons, WB; Welch, KA; Gardner, CB; Jaros, C; Moorhead, DL; Knoepfle, JL; Doran, PT</t>
  </si>
  <si>
    <t>Lyons, W. Berry; Welch, Kathleen A.; Gardner, Christopher B.; Jaros, Chris; Moorhead, Daryl L.; Knoepfle, Jennifer L.; Doran, Peter T.</t>
  </si>
  <si>
    <t>The geochemistry of upland ponds, Taylor Valley, Antarctica</t>
  </si>
  <si>
    <t>climate variation; evapoconcentration; McMurdo Dry Valleys; meltwater; solutes</t>
  </si>
  <si>
    <t>MCMURDO DRY VALLEYS; SOUTHERN VICTORIA LAND; TERRESTRIAL WATERS; CHEMISTRY; STREAMS; REGION; LAKES; STRATIFICATION; EVOLUTION; SNOW</t>
  </si>
  <si>
    <t>The McMurdo Dry Valleys of Antarctica are the largest ice-free region on the continent. These valleys contain numerous water bodies that receive seasonal melt from glaciers. For forty years, research emphasis has been placed on the larger water bodies, the permanent ice-covered lakes. We present results from the first study describing the geochemistry of ponds in the higher elevations of Taylor Valley. Unlike the lakes at lower elevations, the landscape on which these ponds lie is among the oldest in Taylor Valley. These upland ponds wax and wane in size depending on the local climatic conditions, and their ionic concentrations and isotopic composition vary annually depending on the amount of meltwater generated and their hydrologic connectivity. This study evaluates the impact of changes in summer climate on the chemistry of these ponds. Although pond chemistry reflects the initial meltwater chemistry, dissolution and chemical weathering within the stream channels, and possibly permafrost fluid input, the primary control is the dilution effect of glacier melt during warmer summers. These processes lead to differences in solute concentrations and ionic ratios between ponds, despite their nearby proximity. The change in size of these ponds over time has important consequences on their geochemical behaviour and potential to provide water and solutes to the subsurface.</t>
  </si>
  <si>
    <t>[Lyons, W. Berry; Welch, Kathleen A.; Gardner, Christopher B.] Ohio State Univ, Byrd Polar Res Ctr, Columbus, OH 43210 USA; [Lyons, W. Berry; Gardner, Christopher B.] Ohio State Univ, Sch Earth Sci, Columbus, OH 43210 USA; [Jaros, Chris] Univ Colorado, INSTAAR, Boulder, CO 80309 USA; [Moorhead, Daryl L.] Univ Toledo, Dept Earth Ecol &amp; Environm Sci, Toledo, OH 43606 USA; [Knoepfle, Jennifer L.; Doran, Peter T.] Univ Illinois, Dept Earth &amp; Environm Sci, Chicago, IL 60607 USA</t>
  </si>
  <si>
    <t>University System of Ohio; Ohio State University; University System of Ohio; Ohio State University; University of Colorado System; University of Colorado Boulder; University System of Ohio; University of Toledo; University of Illinois System; University of Illinois Chicago; University of Illinois Chicago Hospital</t>
  </si>
  <si>
    <t>Lyons, WB (corresponding author), Ohio State Univ, Byrd Polar Res Ctr, Columbus, OH 43210 USA.</t>
  </si>
  <si>
    <t>lyons.142@osu.edu</t>
  </si>
  <si>
    <t>Gardner, Christopher/0000-0003-0400-3754; Welch, Kathleen/0000-0003-1028-3086</t>
  </si>
  <si>
    <t>NSF [OPP ANT-0423595, OPP-9813061]; Royal Society</t>
  </si>
  <si>
    <t>NSF(National Science Foundation (NSF)); Royal Society(Royal Society)</t>
  </si>
  <si>
    <t>This work was supported by NSF grants - OPP ANT-0423595 and OPP-9813061. We thank our MCM-LTER colleagues Diane McKnight, Diana Wall, John Priscu and Andrew Fountain for their intellectual input and insights. We greatly appreciate the help of Paul Morin and Spencer Niebuhr, AGIC, University of Minnesota, for providing satellite images in a very timely manner. We also thank Joe Levy for discussions regarding subsurface water/salt flow in Taylor Valley. We thank J. Gudding, A. Jacobs, L. Miller, L. Michaud and other MCM-LTER personnel for help in sample collection. We thank B. Vaughn at INSTAAR, University of Colorado, for the stable isotope analysis. We are extremely grateful to two anonymous reviewers whose comments and criticisms greatly improved the original manuscript. The senior author thanks Prof J. Laybourn-Parry and the School of Physical Sciences and Geography for their hospitality as the first draft of this paper was completed at Keele University on a Royal Society Travel Fellowship grant to JLP and WBL.</t>
  </si>
  <si>
    <t>10.1017/S0954102011000617</t>
  </si>
  <si>
    <t>WOS:000299936300002</t>
  </si>
  <si>
    <t>Verleyen, E; Hodgson, DA; Gibson, J; Imura, S; Kaup, E; Kudoh, S; De Wever, A; Hoshino, T; McMinn, A; Obbels, D; Roberts, D; Roberts, S; Sabbe, K; Souffreau, C; Tavernier, I; Van Nieuwenhuyze, W; van Ranst, E; Vindevogel, N; Vyverman, W</t>
  </si>
  <si>
    <t>Verleyen, Elie; Hodgson, Dominic A.; Gibson, John; Imura, Satoshi; Kaup, Enn; Kudoh, Sakae; De Wever, Aaike; Hoshino, Tamotsu; McMinn, Andrew; Obbels, Dagmar; Roberts, Donna; Roberts, Steve; Sabbe, Koen; Souffreau, Caroline; Tavernier, Ines; van Nieuwenhuyze, Wim; van Ranst, Eric; Vindevogel, Nicole; Vyverman, Wim</t>
  </si>
  <si>
    <t>Chemical limnology in coastal East Antarctic lakes: monitoring future climate change in centres of endemism and biodiversity</t>
  </si>
  <si>
    <t>hydrological balance; Lutzow-Holm Bay; Prydz Bay; Schirmacher Oasis; snow accumulation; specific conductance</t>
  </si>
  <si>
    <t>SALINE LAKES; ENVIRONMENTAL-CHANGE; VESTFOLD HILLS; BIOLOGY; COMMUNITIES; RESPONSES; SNOWFALL; HISTORY</t>
  </si>
  <si>
    <t>Polar lakes respond quickly to climate-induced environmental changes. We studied the chemical limnological variability in 127 lakes and ponds from eight ice-free regions along the East Antarctic coastline, and compared repeat specific conductance measurements from lakes in the Larsemann Hills and Skarvsnes covering the periods 1987-2009 and 1997-2008, respectively. Specific conductance, the concentration of the major ions, pH and the concentration of the major nutrients underlie the variation in limnology between and within the regions. This limnological variability is probably related to differences in the time of deglaciation, lake origin and evolution, geology and geomorphology of the lake basins and their catchment areas, sub-regional climate patterns, the distance of the lakes and the lake districts to the ice sheet and the Southern Ocean, and the presence of particular biota in the lakes and their catchment areas. In regions where repeat surveys were available, inter-annual and inter-decadal variability in specific conductance was relatively large and most pronounced in the non-dilute lakes with a low lake depth to surface area ratio. We conclude that long-term specific conductance measurements in these lakes are complementary to snow accumulation data from ice cores, inexpensive, easy to obtain, and should thus be part of long-term limnological and biological monitoring programmes.</t>
  </si>
  <si>
    <t>[Verleyen, Elie; De Wever, Aaike; Obbels, Dagmar; Sabbe, Koen; Souffreau, Caroline; Tavernier, Ines; van Nieuwenhuyze, Wim; Vyverman, Wim] Univ Ghent, Lab Protistol &amp; Aquat Ecol, Dept Biol, B-9000 Ghent, Belgium; [Hodgson, Dominic A.; Roberts, Steve] British Antarctic Survey, NERC, Cambridge CB3 0ET, England; [Gibson, John] Tasmanian Aquaculture &amp; Fisheries Inst, Marine Res Labs, Hobart, Tas 7001, Australia; [Imura, Satoshi; Kudoh, Sakae] Natl Inst Polar Res, Tachikawa, Tokyo 1908518, Japan; [Kaup, Enn] Tallinn Univ Technol, Inst Geol, EE-19086 Tallinn, Estonia; [De Wever, Aaike] Royal Belgian Inst Nat Sci, B-1000 Brussels, Belgium; [Hoshino, Tamotsu] Natl Inst Adv Ind Sci &amp; Technol, Toyohir Ku, Sapporo, Hokkaido 0628517, Japan; [McMinn, Andrew] Univ Tasmania, Inst Antarctic &amp; So Ocean Studies, Hobart, Tas 7001, Australia; [Roberts, Donna] Antarctic Climate &amp; Ecosyst Cooperat Res Ctr, Hobart, Tas 7001, Australia; [van Ranst, Eric; Vindevogel, Nicole] Univ Ghent, Dept Geol &amp; Soil Sci WE13, B-9000 Ghent, Belgium</t>
  </si>
  <si>
    <t>Ghent University; UK Research &amp; Innovation (UKRI); Natural Environment Research Council (NERC); NERC British Antarctic Survey; University of Tasmania; Research Organization of Information &amp; Systems (ROIS); National Institute of Polar Research (NIPR) - Japan; Tallinn University of Technology; Royal Belgian Institute of Natural Sciences; National Institute of Advanced Industrial Science &amp; Technology (AIST); University of Tasmania; Antarctic Climate &amp; Ecosystems Cooperative Research Centre (ACE CRC); Ghent University</t>
  </si>
  <si>
    <t>Verleyen, E (corresponding author), Univ Ghent, Lab Protistol &amp; Aquat Ecol, Dept Biol, Krijgslaan 281-S8, B-9000 Ghent, Belgium.</t>
  </si>
  <si>
    <t>elie.verleyen@ugent.be</t>
  </si>
  <si>
    <t>De Wever, Aaike/A-4691-2009; HOSHINO, Tamotsu/R-2959-2019; Hoshino, Tamotsu/F-3357-2017; McMinn, Andrew/A-9910-2008</t>
  </si>
  <si>
    <t>Souffreau, Caroline/0000-0003-0997-9190; De Wever, Aaike/0000-0001-8804-8321; Roberts, Donna/0000-0001-6701-6662; Roberts, Stephen/0000-0003-3407-9127</t>
  </si>
  <si>
    <t>Belgian Federal Science Policy Office (BelSPO); Fund for Scientific Research in Flanders (FWO) project [3G/0533/07]; Natural Environment Research Council (UK); National Institute of Polar Research (Japan); FWO; institute for the promotion of Science and Technology in Flanders (Belgium); Estonian Ministry of Education and Science [SF0320080s07]; NERC [bas0100024] Funding Source: UKRI; Natural Environment Research Council [bas0100024] Funding Source: researchfish; Grants-in-Aid for Scientific Research [23247012] Funding Source: KAKEN</t>
  </si>
  <si>
    <t>Belgian Federal Science Policy Office (BelSPO)(Belgian Federal Science Policy Office); Fund for Scientific Research in Flanders (FWO) project(FWO); Natural Environment Research Council (UK)(UK Research &amp; Innovation (UKRI)Natural Environment Research Council (NERC)); National Institute of Polar Research (Japan); FWO(FWO); institute for the promotion of Science and Technology in Flanders (Belgium); Estonian Ministry of Education and Science(Ministry of Education and Research, Estonia); NERC(UK Research &amp; Innovation (UKRI)Natural Environment Research Council (NERC)); Natural Environment Research Council(UK Research &amp; Innovation (UKRI)Natural Environment Research Council (NERC)); Grants-in-Aid for Scientific Research(Ministry of Education, Culture, Sports, Science and Technology, Japan (MEXT)Japan Society for the Promotion of ScienceGrants-in-Aid for Scientific Research (KAKENHI))</t>
  </si>
  <si>
    <t>This work benefited from the HOLANT and AMBIO projects funded by the Belgian Federal Science Policy Office (BelSPO), the Fund for Scientific Research in Flanders (FWO) project 3G/0533/07, the Natural Environment Research Council (UK), and the MERLIN and REGAL projects funded by the National Institute of Polar Research (Japan). The work was only possible with the logistic support of the Australian Antarctic Division, the British Antarctic Survey, the Japanese National Institute for Polar Research (JARE 48) and the Indian Antarctic Expedition. EV and CS are funded by FWO. IT is financed by the institute for the promotion of Science and Technology in Flanders (Belgium). EK was partly funded by the target grant SF0320080s07 of the Estonian Ministry of Education and Science. Geological maps were provided by the Australian Antarctic Division Data Centre (Henk Brolsma), the National Institute of Polar Research Japan, and the National Centre for Antarctic and Ocean Research India. Professor John P. Smol and two anonymous reviewers are thanked for their constructive comments on a previous version of the manuscript. We thank M. Jamie Oliver (BAS) for his help in preparing the figures.</t>
  </si>
  <si>
    <t>10.1017/S0954102011000642</t>
  </si>
  <si>
    <t>WOS:000299936300004</t>
  </si>
  <si>
    <t>Yu, J; Liu, HX; Wang, L; Jezek, KC; Heo, J</t>
  </si>
  <si>
    <t>Yu, Jaehyung; Liu, Hongxing; Wang, Lei; Jezek, Kenneth C.; Heo, Joonghyeok</t>
  </si>
  <si>
    <t>Blue ice areas and their topographical properties in the Lambert glacier, Amery Iceshelf system using Landsat ETM plus , ICESat laser altimetry and ASTER GDEM data</t>
  </si>
  <si>
    <t>extent of blue ice; formation of blue ice; surface texture of blue ice; topographic profile analysis</t>
  </si>
  <si>
    <t>EAST ANTARCTICA; MASS-BALANCE; SHEET; SNOW; IMAGERY; AVHRR; MELT</t>
  </si>
  <si>
    <t>Blue ice extent and its geographical distribution during the three years from December 1999-January 2003 have been mapped together with rock exposure areas for the entire Lambert-Amery glacial basin at an unprecedented level of spatial detail using Landsat ETM+ images. Various geometric and shape attributes for each blue ice patch have been derived. The total area of blue ice is estimated to be 20 422 km(2), accounting for 1.48% of the glacial basin. We also found that the image texture information is helpful for distinguishing different types of blue ice: rough blue ice, smooth blue ice, and level blue ice. Rough blue ice areas are mostly associated with glacial dynamics and located in relatively low elevation regions, smooth blue ice areas are often related to nunataks and mountains, steep slopes and wind blows, and level blue ice areas are formed by melt-induced lakes in the margin of the ice shelf and melt-induced ponds on the ice shelf in low elevations. The elevation and surface slope properties of different types of blue ice area are characterized through regional topographical analysis with ICESat laser altimetry data. The effect of mountain height on the blue ice extent is also examined with local topographic profile analysis based on the ASTER global digital elevation model. The wide variation of the ratio of blue ice area length to mountain height indicates that the factors controlling the formation and extent of blue ice are more complicated than we previously thought.</t>
  </si>
  <si>
    <t>[Yu, Jaehyung] Chungnam Natl Univ, Dept Geol &amp; Earth Environm Sci, Taejon, South Korea; [Liu, Hongxing] Univ Cincinnati, Dept Geog, Cincinnati, OH 45221 USA; [Wang, Lei] Louisiana State Univ, Dept Geog &amp; Anthropol, Baton Rouge, LA 70803 USA; [Jezek, Kenneth C.] Ohio State Univ, Byrd Polar Res Ctr, Columbus, OH 43210 USA; [Heo, Joonghyeok] Texas A&amp;M Univ, Dept Geol &amp; Geophys, College Stn, TX 77843 USA</t>
  </si>
  <si>
    <t>Chungnam National University; University System of Ohio; University of Cincinnati; Louisiana State University System; Louisiana State University; University System of Ohio; Ohio State University; Texas A&amp;M University System; Texas A&amp;M University College Station</t>
  </si>
  <si>
    <t>Yu, J (corresponding author), Chungnam Natl Univ, Dept Geol &amp; Earth Environm Sci, Taejon, South Korea.</t>
  </si>
  <si>
    <t>jaehyung.yu@cnu.ac.kr</t>
  </si>
  <si>
    <t>Heo, Joonghyeok/AAV-5151-2021</t>
  </si>
  <si>
    <t>Heo, Joonghyeok/0000-0002-6541-8489</t>
  </si>
  <si>
    <t>Texas AM University; NSF CReSIS</t>
  </si>
  <si>
    <t>The authors would like to thank Samuel Cantu, Noe Saenz, and Herman Jackson for their assistance in data compilation and processing. Jaehyung Yu was supported by a Research and Scholarly Activity Award from Texas A&amp;M University. K. Jezek was partially supported by NSF CReSIS. The constructive comments of the reviewers are also gratefully acknowledged.</t>
  </si>
  <si>
    <t>10.1017/S0954102011000630</t>
  </si>
  <si>
    <t>WOS:000299936300011</t>
  </si>
  <si>
    <t>Bråten, AT; Flo, D; Hågvar, S; Hanssen, O; Mong, CE; Aakra, K</t>
  </si>
  <si>
    <t>Braten, Anders Thon; Flo, Daniel; Hagvar, Sigmund; Hanssen, Oddvar; Mong, Christian E.; Aakra, Kjetil</t>
  </si>
  <si>
    <t>Primary Succession of Surface Active Beetles and Spiders in an Alpine Glacier Foreland, Central South Norway</t>
  </si>
  <si>
    <t>VEGETATION SUCCESSION; ASSEMBLAGES; COLONIZATION; COMMUNITIES; COLEOPTERA; GRADIENTS; VALLEY; ACARI; ALPS</t>
  </si>
  <si>
    <t>Spiders and beetles were pitfall-trapped in the foreland of the receding Hardangerjokulen glacier in central south Norway. At each of six sampling sites, ages 3 to 205 years, twenty traps covered the local variation in moisture and plant communities. Thirty-three spider species and forty beetle species were collected. The species composition was correlated to time since glaciation and vegetation cover. A characteristic pioneer community of spiders and mainly predatory beetles had several open-ground species, and some species or genera were common to forelands in Svalbard or the Alps. While the number of spider species increased relatively constant with age, the number of beetle species seemed to level off after about 80 years. Half of the beetle species were Staphylinidae, and contrary to Carabidae, most of these were rather late colonizers. Most herbivore beetles colonized after more than 40 years, but the moss-eating Byrrhidae species Simplocaria metallica and also certain Chironomidae larvae developed in pioneer moss colonies after 4 years. The large Collembola Bourletiella hortensis, a potential prey, fed on in-blown moss fragments after 3 years. In the present foreland, chlorophyll-based food chains may start very early. Two pioneer Amara species (Carabidae) could probably feed partly on seeds, either in-blown or produced by scattered pioneer grasses.</t>
  </si>
  <si>
    <t>[Braten, Anders Thon] Norwegian Water Resources &amp; Energy Directorate NV, N-3103 Tonsberg, Norway; [Flo, Daniel] Norwegian Forest &amp; Landscape Inst, N-1431 As, Norway; [Hanssen, Oddvar] Norwegian Inst Nat Res NINA, N-7485 Trondheim, Norway; [Aakra, Kjetil] Midt Troms Museum, N-9059 Storsteinnes, Norway; [Hagvar, Sigmund] Norwegian Univ Life Sci, Dept Ecol &amp; Nat Resource Management, N-1432 As, Norway</t>
  </si>
  <si>
    <t>Norwegian Water Resources &amp; Energy Directorate; The Norwegian Forest &amp; Landscape Institute; Norwegian Institute Nature Research; Norwegian University of Life Sciences</t>
  </si>
  <si>
    <t>Hågvar, S (corresponding author), Norwegian Univ Life Sci, Dept Ecol &amp; Nat Resource Management, Box 5003, N-1432 As, Norway.</t>
  </si>
  <si>
    <t>sigmund.hagvar@umb.no</t>
  </si>
  <si>
    <t>Flø, Daniel/B-6831-2016; Flø, Daniel/G-9979-2011</t>
  </si>
  <si>
    <t>Flø, Daniel/0000-0002-0129-7227;</t>
  </si>
  <si>
    <t>10.1657/1938-4246-44.1.2</t>
  </si>
  <si>
    <t>WOS:000302271600002</t>
  </si>
  <si>
    <t>Campioli, M; Leblans, N; Michelsen, A</t>
  </si>
  <si>
    <t>Campioli, Matteo; Leblans, Niki; Michelsen, Anders</t>
  </si>
  <si>
    <t>Stem Secondary Growth of Tundra Shrubs: Impact of Environmental Factors and Relationships with Apical Growth</t>
  </si>
  <si>
    <t>DWARF SHRUBS; CASSIOPE-TETRAGONA; RESPONSES; TEMPERATURE; PLANTS; ECOSYSTEMS; MICROBES; NUTRIENT; BIOMASS</t>
  </si>
  <si>
    <t>Our knowledge of stem secondary growth of arctic shrubs (a key component of tundra net primary production, NPP) is very limited. Here, we investigated the impact of the physical elements of the environment on shrub secondary growth by comparing annual growth rates of model species from similar habitats at contrasting altitude, microtopography, latitude, geographical location, and soil type, in both the sub- and High Arctic. We found that secondary growth has a modest sensitivity to the environment but with large differences among species. For example, the evergreen Cassiope tetragona is affected by altitude, microtopography, and latitude, whereas the evergreen Empetrum hermaphroditum has rather constant secondary growth in all environments. Deciduous species seem to be most affected by microtopography. Furthermore, the impact of the environment on secondary growth differed from the impact on primary growth (stem apical growth, stem length, and apical growth of stem plus leaves), in some cases even with opposite responses. Thus caution should be taken when estimating the impact of the environment on shrub growth from apical growth only. Integration of our data set with the (very limited) previously published information on secondary growth provides an overview of its contribution to NPP and annual growth rates for 9 arctic species at 18 sites in Sweden, Greenland, Svalbard, Alaska, and the Alps.</t>
  </si>
  <si>
    <t>[Michelsen, Anders] Univ Copenhagen, Dept Biol, DK-1353 Copenhagen K, Denmark; [Campioli, Matteo; Leblans, Niki] Univ Antwerp, Dept Biol, B-2610 Antwerp, Belgium; [Campioli, Matteo] Univ Antwerp, Res Grp Plant &amp; Vegetat Ecol, B-2610 Antwerp, Belgium</t>
  </si>
  <si>
    <t>University of Copenhagen; University of Antwerp; University of Antwerp</t>
  </si>
  <si>
    <t>Campioli, M (corresponding author), Univ Antwerp, Res Grp Plant &amp; Vegetat Ecol, Univ Pl 1, B-2610 Antwerp, Belgium.</t>
  </si>
  <si>
    <t>matteo.campioli@ua.ac.be</t>
  </si>
  <si>
    <t>Campioli, Matteo/N-9380-2015; Michelsen, Anders/L-5279-2014</t>
  </si>
  <si>
    <t>Michelsen, Anders/0000-0002-9541-8658; Campioli, Matteo/0000-0002-3427-2368</t>
  </si>
  <si>
    <t>OEC ECO, University of Antwerp; Danish Council for Independent Research \ Natural Sciences; EU ATANS [506004]; FWO; Municipality of Fontainemore; Regione Autonoma Valle d'Aosta-Servizio Aree Protette</t>
  </si>
  <si>
    <t>OEC ECO, University of Antwerp; Danish Council for Independent Research \ Natural Sciences(Det Frie Forskningsrad (DFF)); EU ATANS; FWO(FWO); Municipality of Fontainemore; Regione Autonoma Valle d'Aosta-Servizio Aree Protette</t>
  </si>
  <si>
    <t>This work was supported by Methusalem funding (OEC ECO, University of Antwerp), by the Danish Council for Independent Research vertical bar Natural Sciences, by the EU ATANS Grant (FP6 506004), and by a FWO Travel Grant to M. Campioli. Special thanks are due to the Abisko Scientific Research Station and the Zackenberg Research Station for the logistic support. We thank: Gus Shaver for support, Annemie Vermeulen for determination of stem secondary growth, Willem De Smet for sampling at Ny Alesund, John King for the English edit, and the subject matter Editor and two Reviewers for their constructive comments on a previous version of the manuscript. Field research at Fontainemore fits within collaboration with Michele Freppaz in the framework of a project sponsored by the Municipality of Fontainemore and the Regione Autonoma Valle d'Aosta-Servizio Aree Protette.</t>
  </si>
  <si>
    <t>10.1657/1938-4246-44.1.16</t>
  </si>
  <si>
    <t>WOS:000302271600003</t>
  </si>
  <si>
    <t>Mernild, SH; Liston, GE; van den Broeke, M</t>
  </si>
  <si>
    <t>Mernild, Sebastian H.; Liston, Glen E.; van den Broeke, Michiel</t>
  </si>
  <si>
    <t>Simulated Internal Storage Buildup, Release, and Runoff from Greenland Ice Sheet at Kangerlussuaq, West Greenland</t>
  </si>
  <si>
    <t>MASS-BALANCE; AMMASSALIK ISLAND; SURFACE MELT; MITTIVAKKAT GLACIER; SNOW DISTRIBUTIONS; ENERGY-BALANCE; MODEL; SYSTEM; AREA; VARIABILITY</t>
  </si>
  <si>
    <t>This study focused on simulated glacier surface conditions (simulated Surface Melt and liquid Precipitation available for supra-, en-, sub-, and proglacial flow processes [after vertical percolation and potential, storage within the snowpack] [henceforth SWP]), internal water storage and release, and runoff from the Kangerlussuaq drainage area of the Greenland Ice Sheet (GrIS), West Greenland, for the period 2006/2007 to 2007/2008. GrIS winter accumulation and summer ablation processes, including SMP, was simulated on both daily and hourly time steps. Using hourly meteorological driving data produced more realistic meteorological conditions instead of daily-averaged data, in relation to snow and melt threshold surface processes, and produced 9-17% higher annual cumulative SMP. The difference between simulated SMP and observed catchment runoff showed a decreasing lag time through the summer, and a drainage system storage buildup through approximately June and early July of up to 0.29 X 10(9) m(3), and a storage release through approximately late July and August of up to 0.25 x 10(9) m(3). The simulated total Kangerlussuaq SMP for 2006/2007 and 2007/2008, indicated a reduction of 30%. This reduction in SMP occurred simultaneously with the reduction in the overall pattern of satellite-derived GrIS surface melt from 2007 to 2008.</t>
  </si>
  <si>
    <t>[Mernild, Sebastian H.] Los Alamos Natl Lab, Climate Ocean &amp; Sea Ice Modeling Grp, Computat Phys &amp; Methods CCS2, Los Alamos, NM 87545 USA; [Liston, Glen E.] Colorado State Univ, Cooperat Inst Res Atmosphere, Ft Collins, CO 80523 USA; [van den Broeke, Michiel] Univ Utrecht, Inst Marine &amp; Atmospher Res, NL-3584 CC Utrecht, Netherlands</t>
  </si>
  <si>
    <t>United States Department of Energy (DOE); Los Alamos National Laboratory; Colorado State University; Utrecht University</t>
  </si>
  <si>
    <t>Mernild, SH (corresponding author), Los Alamos Natl Lab, Climate Ocean &amp; Sea Ice Modeling Grp, Computat Phys &amp; Methods CCS2, Mail Stop B296, Los Alamos, NM 87545 USA.</t>
  </si>
  <si>
    <t>mernild@lanl.gov</t>
  </si>
  <si>
    <t>Van den Broeke, Michiel R./F-7867-2011; Mernild, Sebastian H./M-5516-2013</t>
  </si>
  <si>
    <t>Van den Broeke, Michiel R./0000-0003-4662-7565; Mernild, Sebastian H./0000-0003-0797-3975</t>
  </si>
  <si>
    <t>U.S. Department of Energy's Office of Science; Los Alamos National Laboratory (LANL); LANL Institute for Geophysics and Planetary Physics; National Nuclear Security Administration of the U.S. Department of Energy [DE-AC52-06NA25396]</t>
  </si>
  <si>
    <t>U.S. Department of Energy's Office of Science(United States Department of Energy (DOE)); Los Alamos National Laboratory (LANL)(United States Department of Energy (DOE)Los Alamos National Laboratory); LANL Institute for Geophysics and Planetary Physics; National Nuclear Security Administration of the U.S. Department of Energy(National Nuclear Security Administration)</t>
  </si>
  <si>
    <t>Very special thanks to the two anonymous reviewers for their insightful critique of this article. This work was supported by grants from the Climate Change Prediction Program and Scientific Discovery for Advanced Computing (SciDAC) program within the U.S. Department of Energy's Office of Science, by a Los Alamos National Laboratory (LANL) Director's Fellowship, and by a fellowship from the LANL Institute for Geophysics and Planetary Physics. LANL is operated under the auspices of the National Nuclear Security Administration of the U.S. Department of Energy under Contract No. DE-AC52-06NA25396. Thanks are given to the Institute of Geography and Geology, University of Copenhagen, for the use of observed Kangerlussuaq runoff data.</t>
  </si>
  <si>
    <t>10.1657/1938-4246-44.1.83</t>
  </si>
  <si>
    <t>WOS:000302271600009</t>
  </si>
  <si>
    <t>Munroe, JS</t>
  </si>
  <si>
    <t>Munroe, Jeffrey S.</t>
  </si>
  <si>
    <t>Physical, Chemical, and Thermal Properties of Soils across a Forest-Meadow Ecotone in the Uinta Mountains, Northeastern Utah, USA</t>
  </si>
  <si>
    <t>SUB-ALPINE MEADOWS; CENTRAL ROCKY-MOUNTAINS; COLORADO FRONT RANGE; NATIONAL-PARK; ENGELMANN SPRUCE; TREE INVASION; OLYMPIC MOUNTAINS; TUNDRA ECOTONE; CINNABAR PARK; CLIMATE</t>
  </si>
  <si>
    <t>Physical, chemical and thermal properties of five pedons in the Uinta Mountains of northeastern Utah were studied to determine how soils and microclimates vary across the ecotone between subalpine forest and dry meadow. All five profiles have developed in the same parent materials, from base upward: basal till, glaciofluvial sediment, and coarse supraglacial debris with infilled eolian silt. Temperatures were measured at the soil surface and at depths of 10 and 50 cm for 420 days. Meadow soils (Typic Humicryepts) are warmer, have Bw horizons, and contain more Ca, organic carbon, and clay in the A horizon. Forest soils (Inceptic Haplocryalfs) have Bt horizons, higher B/A horizon clay ratios, are more acidic, and contain more exchangeable Mg and total exchangeable cations than meadow soils. Although subzero temperatures were never recorded at the surface of the forest soil in the summers of 1998 and 1999, those at the surface of the meadow soil fell below 0 degrees C on similar to 35% of the nights. Mean 4:00 a.m. temperatures in the meadow during the summer are significantly colder than those in the forest (2.2 degrees C vs. 5.2 degrees C). The meadow formed following an initial forest clearing event, possibly fire or an insect infestation. Since that time, forest encroachment has been slow because seedling establishment in the meadow is inhibited by a combination of frequent summer freezing events, moisture stresses resulting from textural discontinuities between soil parent materials, and competition between tree seedlings and meadow vegetation.</t>
  </si>
  <si>
    <t>Middlebury Coll, Dept Geol, Middlebury, VT 05753 USA</t>
  </si>
  <si>
    <t>Munroe, JS (corresponding author), Middlebury Coll, Dept Geol, Middlebury, VT 05753 USA.</t>
  </si>
  <si>
    <t>jmunroe@middlebury.edu</t>
  </si>
  <si>
    <t>University of Wisconsin-Madison Department of Geology Geophysics; Geological Society of America; Ashley National Forest</t>
  </si>
  <si>
    <t>The Ashley National Forest provided many of the dataloggers. J. Duque, D. Douglass, and S. Munroe assisted in the field. D. Hammer at the University of Missouri performed the soil chemistry analyses. The University of Wisconsin-Madison Department of Geology &amp; Geophysics, the Geological Society of America, and the Ashley National Forest provided financial support. J. Bockheim and P. Birkeland provided constructive comments on an early draft of this manuscript.</t>
  </si>
  <si>
    <t>10.1657/1938-4246-44.1.95</t>
  </si>
  <si>
    <t>WOS:000302271600010</t>
  </si>
  <si>
    <t>Schmidt, S; Nüsser, M</t>
  </si>
  <si>
    <t>Schmidt, Susanne; Nuesser, Marcus</t>
  </si>
  <si>
    <t>Changes of High Altitude Glaciers from 1969 to 2010 in the Trans-Himalayan Kang Yatze Massif, Ladakh, Northwest India</t>
  </si>
  <si>
    <t>LAND ICE MEASUREMENTS; CLIMATE-CHANGE; BENCHMARK GLACIER; WESTERN HIMALAYA; HIMACHAL-PRADESH; ROCKY-MOUNTAINS; SATELLITE DATA; NATIONAL-PARK; INDUS BASIN; CORONA</t>
  </si>
  <si>
    <t>This study reports changes of small glaciers in the Trans-Himalayan Kang Yatze Massif, Ladakh, northwest India, between 1969 and 2010. The region covers an area of about 1000 km(2) and is located in a transitional position between predominantly receding glaciers of the Central Himalaya and some advancing ice masses of the Karakorum. A multi-temporal remote sensing approach based on satellite images (Corona, SPOT, Landsat) was used to detect and analyze area changes of 121 small glaciers and to measure the retreat of 60 cirque and valley glaciers between 1969 and 2010. Over the last four decades, the glaciated area decreased by about 14% (0.3% yr(-1)) from 96.4 to 82.6 km(2) and the average ice front retreat amounts to 125 m (3 m yr(-1)). The ice cover loss shows a high decadal variability with the maximum shrinkage between 1991 and 2002 (0.6% yr(-1)), followed by a lower decrease rate since then (0.2% yr(-1)). Due to the high variability of glacier change with a generally decreasing trend and a few stable glaciers, it becomes obvious that an extrapolation even on a regional scale is problematic. Therefore, a consideration of differing responses of various glacier types and glacier sizes is of utmost importance.</t>
  </si>
  <si>
    <t>[Schmidt, Susanne; Nuesser, Marcus] Heidelberg Univ, Dept Geog, S Asia Inst, D-69120 Heidelberg, Germany</t>
  </si>
  <si>
    <t>Ruprecht Karls University Heidelberg</t>
  </si>
  <si>
    <t>Schmidt, S (corresponding author), Heidelberg Univ, Dept Geog, S Asia Inst, Neuenheimer Feld 330, D-69120 Heidelberg, Germany.</t>
  </si>
  <si>
    <t>s.schmidt@sai.uni-heidelberg.de; marcus.nuesser@uni-heidelberg.de</t>
  </si>
  <si>
    <t>Schmidt, Susanne/A-1164-2019; Nüsser, Marcus/N-2393-2015</t>
  </si>
  <si>
    <t>Schmidt, Susanne/0000-0002-6200-4539; Nüsser, Marcus/0000-0002-8626-8336</t>
  </si>
  <si>
    <t>Heidelberg University</t>
  </si>
  <si>
    <t>This article is a revised version of a paper presented at the European Geosciences Union meeting in April 2010. We would like to thank the Heidelberg University for supporting the field trip in 2009 with start-up funds, and the European Space Agency (ESA) for providing satellite images. We also thank Skarma Dorjey Yasa for organizing the field campaigns to Kang Yatze and Stok Kangri. Ravi Baghel helped with proof-reading the final manuscript.</t>
  </si>
  <si>
    <t>10.1657/1938-4246-44.1.107</t>
  </si>
  <si>
    <t>WOS:000302271600011</t>
  </si>
  <si>
    <t>Canopy Rainfall Interception and Fog Capture by Pinus pumila Regal at Mt. Tateyama in the Northern Japan Alps, Japan</t>
  </si>
  <si>
    <t>WATER DEPOSITION; STABLE-ISOTOPES; FOREST; PRECIPITATION</t>
  </si>
  <si>
    <t>The importance of fog precipitation in the alpine hydrological processes of Pinus pumila canopy was evaluated on Mt. Tateyama, central Japan. We observed rain and fog precipitation, throughfall, and wind direction and velocity at Jodo-daira (36.566 degrees N, 137.606 degrees E, 2840 m a.s.l.) for 3 years. During the snow-free period (August and September), mean monthly rain and fog precipitation was 0.45 mm h(-1) and 0.14 mm h(-1), respectively. The mean rainfall interception by P. pumila canopy was about 48%, which is higher than that of other forest canopies at lower altitudes. During rainfall, the dense canopy intercepts rain and the water evaporates from the needle surfaces. On the other hand, the canopy captured fog precipitation even in the absence of rainfall. The amount of throughfall increased with increasing fog deposition. Using delta D-18 and delta D analysis, the mean contribution of fog water to the throughfall was estimated at approximately 35%, consistent with the result from direct measurement. These results indicate that P. pumila should have a significant influence on the local hydrological processes of the high mountain ecosystem. The large contribution of fog precipitation can be attributed to the high wind velocity and humidity of the Japan Alps.</t>
  </si>
  <si>
    <t>[Kume, Atsushi] Kyushu Univ, Kyushu Univ Forest, Fukuoka 8112415, Japan; [Uehara, Yoshitoshi] Kyushu Univ, Dept Forest &amp; Forest Prod Sci, Fac Agr, Sasaguri, Fukuoka 8112415, Japan</t>
  </si>
  <si>
    <t>University of Toyama; Tateyama Murodo Sans; Ministry of Education, Culture, Sports, Science and Technology [18310022]; (Center of excellence for Asian conservation ecology as a basis of human-nature mutualism), MEXT, Japan; Grants-in-Aid for Scientific Research [18310022, 22310022, 23570030] Funding Source: KAKEN</t>
  </si>
  <si>
    <t>University of Toyama; Tateyama Murodo Sans; Ministry of Education, Culture, Sports, Science and Technology(Ministry of Education, Culture, Sports, Science and Technology, Japan (MEXT)); (Center of excellence for Asian conservation ecology as a basis of human-nature mutualism), MEXT, Japan(Ministry of Education, Culture, Sports, Science and Technology, Japan (MEXT)); Grants-in-Aid for Scientific Research(Ministry of Education, Culture, Sports, Science and Technology, Japan (MEXT)Japan Society for the Promotion of ScienceGrants-in-Aid for Scientific Research (KAKENHI))</t>
  </si>
  <si>
    <t>We thank the late Prof. Hiroshi Satake, the University of Toyama, for his valuable advice, encouragement, and technical support throughout this study. We also thank Koichi Watanabe, Hideharu Honoki, Hajime Iida, Kyoichi Otsuki, and Eisuke Niwa, and the members of the University of Toyama and the Tateyama Murodo Sans for their support in this study. This work was supported in part by a Grant-in-Aid for Scientific Research from the Ministry of Education, Culture, Sports, Science and Technology (No. 18310022) and Global COE Program (Center of excellence for Asian conservation ecology as a basis of human-nature mutualism), MEXT, Japan. Chubu Region Environmental Office, Toyama Prefecture and the Toyama District Forest Office granted admittance for research on Mt. Tateyama.</t>
  </si>
  <si>
    <t>10.1657/1938-4246-44.1.143</t>
  </si>
  <si>
    <t>WOS:000302271600014</t>
  </si>
  <si>
    <t>Muller, JBA; Dorsey, JR; Flynn, M; Gallagher, MW; Percival, CJ; Shallcross, DE; Archibald, A; Roscoe, HK; Obbard, RW; Atkinson, HM; Lee, JD; Moller, SJ; Carpenter, LJ</t>
  </si>
  <si>
    <t>Muller, Jennifer B. A.; Dorsey, James R.; Flynn, Michael; Gallagher, Martin W.; Percival, Carl J.; Shallcross, Dudley E.; Archibald, Alexander; Roscoe, Howard K.; Obbard, Rachel W.; Atkinson, Helen M.; Lee, James D.; Moller, Sarah J.; Carpenter, Lucy J.</t>
  </si>
  <si>
    <t>Energy and ozone fluxes over sea ice</t>
  </si>
  <si>
    <t>Eddy covariance; Ozone surface exchange; Heat flux; Net radiation; Arctic; Hudson Bay</t>
  </si>
  <si>
    <t>BOUNDARY-LAYER; NONMETHANE HYDROCARBONS; TROPOSPHERIC OZONE; IODINE CHEMISTRY; HEAT-BUDGET; DEPLETION; HALOGENS</t>
  </si>
  <si>
    <t>We present surface layer measurements made over Hudson Bay sea ice during February/March 2008 from the COBRA (Impact of combined iodine and bromine release on the Arctic atmosphere) experiment which formed part of the International OASIS (Ocean-Atmosphere-Sea Ice-Snowpack) IPY programme. All components of the local surface energy balance were measured and it was defined by net radiative cooling throughout most of the day, mainly balanced by the conductive heat flux from the warmer sea water to the cooler sea ice at the surface, and a small net radiative warming for a few hours after midday. Unique ground-level ozone fluxes were measured by eddy covariance and deposition velocities ranged from +0.5 mm s(-1) (deposition) to -1.5 mm s(-1) (emission). Ozone profile measurements suggested ozone flux divergence within the surface layer. The observed bi-directional fluxes and flux divergence with height reveal the complexity of surface ozone fluxes in the Arctic spring time surface layer, and show that ozone exchange with the sea ice surface is best probed using the eddy covariance method alongside frequent or continuous profile measurements. In this study, the local in-situ ozone-halogen photochemistry was identified as weakly controlling the measured ozone flux, whereas horizontal advection and vertical mixing were considered more important in influencing fluxes. Under these conditions, several measurement sites would be desirable in order to quantify the contribution of advection to the local surface exchange. (C) 2011 Elsevier Ltd. All rights reserved.</t>
  </si>
  <si>
    <t>[Muller, Jennifer B. A.; Dorsey, James R.; Flynn, Michael; Gallagher, Martin W.; Percival, Carl J.] Univ Manchester, Sch Earth Atmospher &amp; Environm Sci, Manchester M13 9PL, Lancs, England; [Shallcross, Dudley E.; Archibald, Alexander] Univ Bristol, Sch Chem, Bristol BS8 1TS, Avon, England; [Roscoe, Howard K.; Obbard, Rachel W.; Atkinson, Helen M.] British Antarctic Survey, Cambridge CB3 0ET, England; [Lee, James D.; Moller, Sarah J.; Carpenter, Lucy J.] Univ York, Dept Chem, York YO10 5DD, N Yorkshire, England</t>
  </si>
  <si>
    <t>University of Manchester; University of Bristol; UK Research &amp; Innovation (UKRI); Natural Environment Research Council (NERC); NERC British Antarctic Survey; University of York - UK</t>
  </si>
  <si>
    <t>Muller, JBA (corresponding author), Univ Manchester, Sch Earth Atmospher &amp; Environm Sci, Simon Bldg,Brunswick St, Manchester M13 9PL, Lancs, England.</t>
  </si>
  <si>
    <t>jennifer.muller@manchester.ac.uk; james.r.dorsey@manchester.ac.uk; michael.flynn@manchester.ac.uk; martin.gallagher@manchester.ac.uk; carl.percival@manchester.ac.uk; D.E.Shallcross@bristol.ac.uk; ata27@cam.ac.uk; hkro@bas.ac.uk; rachel.w.obbard@dartmouth.edu; helkin@bas.ac.uk; james.lee@york.ac.uk; sarah.moller@york.ac.uk; lucy.carpenter@york.ac.uk</t>
  </si>
  <si>
    <t>Carpenter, Lucy J/E-6742-2013; lee, sooyoon/JEP-0415-2023; Carpenter, Laura/JPY-0437-2023; Percival, Carl J/B-9353-2012; Gallagher, Martin/ABH-7381-2020; Archibald, Alexander/GRR-5452-2022</t>
  </si>
  <si>
    <t>Dorsey, James/0000-0002-1720-9412; Carpenter, Lucy/0000-0002-6257-3950; Archibald, Alexander/0000-0001-9302-4180; Muller, Jennifer/0000-0002-4840-7729; Moller, Sarah/0000-0003-4923-9509; Percival, Carl/0000-0003-2525-160X; Gallagher, Martin/0000-0002-4968-6088; Lee, James D/0000-0001-5397-2872</t>
  </si>
  <si>
    <t>UK Natural Environmental Research Council (NERC) [NE/D006015/1, NE/D005914/1]; NERC; NERC [NE/D006015/1, NE/I014381/1, NE/D006104/1, NE/G01972X/1, NE/D005914/1, ncas10006, bas0100023, NE/J009008/1] Funding Source: UKRI; Natural Environment Research Council [NE/J009008/1, ncas10006, NE/D005914/1, NE/D006104/1, bas0100023, NE/D006015/1, NE/G01972X/1, NE/I014381/1] Funding Source: researchfish</t>
  </si>
  <si>
    <t>UK Natural Environmental Research Council (NERC)(UK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t>
  </si>
  <si>
    <t>The COBRA project was funded by the UK Natural Environmental Research Council (NERC) (NE/D006015/1 and NE/D005914/1). JBAM and HMA thank NERC for their studentship funding. The participation of HKR was part of the British Antarctic Survey's Polar Science for Planet Earth programme, funded by NERC. The tethersonde used for vertical profiling was courtesy of Russ Ladkin from BAS. Environment Canada and Claude Tremblay of Centre d'Etudes Nordiques, Laval University, are acknowledged for their logistical support in Kuujjuarapik.</t>
  </si>
  <si>
    <t>10.1016/j.atmosenv.2011.11.013</t>
  </si>
  <si>
    <t>903XY</t>
  </si>
  <si>
    <t>WOS:000301157700024</t>
  </si>
  <si>
    <t>Varotsos, CA; Tzanis, C</t>
  </si>
  <si>
    <t>Varotsos, C. A.; Tzanis, C.</t>
  </si>
  <si>
    <t>A new tool for the study of the ozone hole dynamics over Antarctica</t>
  </si>
  <si>
    <t>Dynamics; Ozone; Entropy; Natural time analysis</t>
  </si>
  <si>
    <t>SOLAR ULTRAVIOLET-RADIATION; SEPTEMBER 2002; DEPLETION; TRANSPORT; SPLIT; STRATOSPHERE; SIMULATIONS; VARIABILITY; SCOTLAND; ENVISAT</t>
  </si>
  <si>
    <t>An analysis of the time series of the maximum daily ozone hole area over Antarctica for each year during the period 1979-2009 is presented, based on the entropy S defined in a new time domain termed natural time domain, that captures characteristics of the dynamics of the ozone hole complex system. The results obtained show that the entropy in natural time for scales 3-7 years and its value under time reversal for all scales (3-15 years) almost stabilizes during the last several years. On the other hand, characteristic features of this entropy are clearly found before the unprecedented event of the major, sudden stratospheric warming and the subsequent break-up of the Antarctic ozone hole into two holes in September 2002. In particular, the following precursory changes have been identified: First, for scales larger than 8 years, the entropy in natural time exhibits a gradual increase after around 1999. Second, from 2000 to 2001, the entropy in natural time under time reversal shows an increase for all scales (3-15 years) except for the scale of 13 years. Third, the values of the entropy change in natural time almost coincide at 2000 for the short scales 3-7 years and then decrease. The analysis in the natural time domain is also applied on the eddy heat flux, which is proportional to the vertically propagating wave activity affecting the ozone hole over Antarctica. The results drawn confirm those deduced from the ozone hole area diagnostics. (C) 2011 Elsevier Ltd. All rights reserved.</t>
  </si>
  <si>
    <t>[Varotsos, C. A.; Tzanis, C.] Univ Athens, Climate Res Grp, Div Environm Phys &amp; Meteorol, Fac Phys, Athens 15784, Greece</t>
  </si>
  <si>
    <t>National &amp; Kapodistrian University of Athens</t>
  </si>
  <si>
    <t>Varotsos, CA (corresponding author), Univ Athens, Climate Res Grp, Div Environm Phys &amp; Meteorol, Fac Phys, Univ Campus Bldg Phys 5, Athens 15784, Greece.</t>
  </si>
  <si>
    <t>covar@phys.uoa.gr</t>
  </si>
  <si>
    <t>Varotsos, Costas/H-6257-2013; Tzanis, Chris G./O-5578-2015</t>
  </si>
  <si>
    <t>Varotsos, Costas/0000-0001-7215-3610; Tzanis, Chris G./0000-0002-7345-2900</t>
  </si>
  <si>
    <t>10.1016/j.atmosenv.2011.10.038</t>
  </si>
  <si>
    <t>WOS:000301157700049</t>
  </si>
  <si>
    <t>Greenslade, P; Convey, P</t>
  </si>
  <si>
    <t>Greenslade, Penelope; Convey, Peter</t>
  </si>
  <si>
    <t>Exotic Collembola on subantarctic islands: pathways, origins and biology</t>
  </si>
  <si>
    <t>South Georgia; New records; Quarantine management; Bourletiella hortensis; Sminthurinus elegans; Hypogastruridae; Springtails</t>
  </si>
  <si>
    <t>MARION ISLAND; PEST STATUS; SPRINGTAILS; INVASIONS</t>
  </si>
  <si>
    <t>Three exotic species of Collembola are here identified in collections made during surveys on subantarctic South Georgia in the summers of 2005/2006 and 2009/2010. Previously, only two exotic species of Collembola were known from the island. Increased visitation by tourists, research and maintenance personnel seems an obvious cause despite strict quarantine controls imposed on all visitors. The biology, habitat and distribution of the new species records indicated that fresh vegetables, imported in past years, were their likely means of dispersal to the island. A risk analysis based on their current distribution and ecology was conducted for exotic collembolan species that could invade South Georgia. Pathway analysis of the species with the highest risk scores suggested additional quarantine management protocols could include fumigation of imported fresh food, and this is recommended to minimise the risk of further invasions. A review of exotic Collembola in the Antarctic and subantarctic is provided and the biological traits of Collembola are discussed in relation to their invasion potential.</t>
  </si>
  <si>
    <t>[Greenslade, Penelope] Univ Ballarat, Sch Sci &amp; Engn, Ballarat, Vic 3350, Australia; [Convey, Peter] British Antarctic Survey, Cambridge CB3 0ET, England</t>
  </si>
  <si>
    <t>Federation University Australia; UK Research &amp; Innovation (UKRI); Natural Environment Research Council (NERC); NERC British Antarctic Survey</t>
  </si>
  <si>
    <t>Greenslade, P (corresponding author), Univ Ballarat, Sch Sci &amp; Engn, Ballarat, Vic 3350, Australia.</t>
  </si>
  <si>
    <t>Pgreenslade@staff.ballarat.edu.au</t>
  </si>
  <si>
    <t>Convey, Peter/AAV-5728-2020</t>
  </si>
  <si>
    <t>Convey, Peter/0000-0001-8497-9903</t>
  </si>
  <si>
    <t>South Australian Museum; European Commission; Natural Environment Research Council [bas0100025] Funding Source: researchfish; NERC [bas0100025] Funding Source: UKRI</t>
  </si>
  <si>
    <t>South Australian Museum; European Commission(European Union (EU)European Commission Joint Research Centre); Natural Environment Research Council(UK Research &amp; Innovation (UKRI)Natural Environment Research Council (NERC)); NERC(UK Research &amp; Innovation (UKRI)Natural Environment Research Council (NERC))</t>
  </si>
  <si>
    <t>Thanks are due to the South Australian Museum for partial travel funding, to the British Antarctic Survey for hosting the senior author during part of this work and to K. Fraser for information on South Georgian quarantine controls. Roger Key kindly gave access to the collections of the South Atlantic Invasive Species Project funded by the European Commission through EDF-9. Two anonymous reviewers and the Editor provided comments helpful in revising the manuscript.</t>
  </si>
  <si>
    <t>10.1007/s10530-011-0086-8</t>
  </si>
  <si>
    <t>881UR</t>
  </si>
  <si>
    <t>WOS:000299516200012</t>
  </si>
  <si>
    <t>Magnusdottir, E; Leat, EHK; Bourgeon, S; Strom, H; Petersen, A; Phillips, RA; Hanssen, SA; Bustnes, JO; Hersteinsson, P; Furness, RW</t>
  </si>
  <si>
    <t>Magnusdottir, Ellen; Leat, Eliza H. K.; Bourgeon, Sophie; Strom, Hallvard; Petersen, Aevar; Phillips, Richard A.; Hanssen, Sveinn A.; Bustnes, Jan O.; Hersteinsson, Pall; Furness, Robert W.</t>
  </si>
  <si>
    <t>Wintering areas of Great Skuas Stercorarius skua breeding in Scotland, Iceland and Norway</t>
  </si>
  <si>
    <t>BIRD STUDY</t>
  </si>
  <si>
    <t>MARINE WIND FARMS; SEABIRDS; FISHERIES; CONSERVATION; ALBATROSSES; MAURITANIA; TRACKING; INSIGHTS; ECOLOGY; PETRELS</t>
  </si>
  <si>
    <t>Capsule Great Skuas Stercorarius skua breeding in Scotland, Iceland, and Norway, winter in different areas. Aims To assess the winter distribution of adult Great Skuas breeding in different countries. Methods Geolocation data-loggers were deployed on breeding adults at colonies in Shetland (Scotland), southeast Iceland, and Bjornoya (Norway) in 2008. Loggers were recovered when birds returned to breed the next year and downloaded data were processed to indicate the location of each individual throughout the winter period. Results Adult Great Skuas from Scotland wintered off northwest Africa and southern Europe. Adults from Iceland mostly wintered off Canada, with small numbers visiting northwest Africa and Europe. Although adults from Biornelya (Norway) migrated to similar areas to birds from Iceland, a slightly greater proportion wintered off Europe, and most used areas further north than birds from Scotland. Although three birds studied over consecutive winters used the same small area in consecutive years, four moved between different areas within one winter. Conclusion Great Skuas show clear variation in migrations among breeding regions, and some evidence of individual consistency.</t>
  </si>
  <si>
    <t>[Leat, Eliza H. K.; Furness, Robert W.] Univ Glasgow, Coll Med Vet &amp; Life Sci, Glasgow G12 8QQ, Lanark, Scotland; [Magnusdottir, Ellen; Hersteinsson, Pall] Univ Iceland, Inst Biol, IS-101 Reykjavik, Iceland; [Magnusdottir, Ellen; Petersen, Aevar] Iceland Inst Nat Hist, IS-105 Reykjavik, Iceland; [Bourgeon, Sophie; Hanssen, Sveinn A.; Bustnes, Jan O.] Norwegian Inst Nat Res, Fram Ctr, N-9296 Tromso, Norway; [Strom, Hallvard] Norwegian Polar Res Inst, Fram Ctr, N-9296 Tromso, Norway; [Phillips, Richard A.] British Antarctic Survey, Cambridge CB3 0ET, England</t>
  </si>
  <si>
    <t>University of Glasgow; University of Iceland; Norwegian Institute Nature Research; Norwegian Polar Institute; UK Research &amp; Innovation (UKRI); Natural Environment Research Council (NERC); NERC British Antarctic Survey</t>
  </si>
  <si>
    <t>Furness, RW (corresponding author), Univ Glasgow, Coll Med Vet &amp; Life Sci, Glasgow G12 8QQ, Lanark, Scotland.</t>
  </si>
  <si>
    <t>bob.furness@glasgow.ac.uk</t>
  </si>
  <si>
    <t>Hanssen, Sveinn Are/C-9989-2009</t>
  </si>
  <si>
    <t>Hanssen, Sveinn Are/0000-0003-1792-435X; Bourgeon, Sophie/0000-0002-8030-0091</t>
  </si>
  <si>
    <t>Norwegian Research Council [184830]</t>
  </si>
  <si>
    <t>Norwegian Research Council(Research Council of Norway)</t>
  </si>
  <si>
    <t>This work was supported by the Norwegian Research Council grant number 184830. In Scotland, blood samples for molecular sexing were taken under Home Office licence and birds were trapped under BTO ringing permit. Scottish Natural Heritage gave permission for fieldwork on Foula (an SSSI and SPA). Molecular sexing was carried out at the University of Glasgow by Kate Griffiths. We thank the Holboum family and Sheila Gear for help in Foula, Halfdan Bjornsson and Gunnar Thor Hallgrimsson for help in the field in Iceland, and Knut Olsen, Veronica Nygard, Halfdan Helgi Helgason and Elinborg S ae dis PalsdOttir for help in the field in Bjornoya.</t>
  </si>
  <si>
    <t>4 PARK SQUARE, MILTON PARK, ABINGDON OX14 4RN, OXON, ENGLAND</t>
  </si>
  <si>
    <t>0006-3657</t>
  </si>
  <si>
    <t>1944-6705</t>
  </si>
  <si>
    <t>Bird Stud.</t>
  </si>
  <si>
    <t>906BB</t>
  </si>
  <si>
    <t>WOS:000301318800001</t>
  </si>
  <si>
    <t>Simpkins, GR; Karpechko, AY</t>
  </si>
  <si>
    <t>Simpkins, Graham R.; Karpechko, Alexey Yu.</t>
  </si>
  <si>
    <t>Sensitivity of the southern annular mode to greenhouse gas emission scenarios</t>
  </si>
  <si>
    <t>Annular mode; SAM; Greenhouse gas sensitivity; IPCC; SRES; Multi-model ensemble</t>
  </si>
  <si>
    <t>ANTARCTIC OSCILLATION; CLIMATE-CHANGE; PART I; TRENDS; CIRCULATION; IMPACT</t>
  </si>
  <si>
    <t>The leading mode of southern hemisphere (SH) climatic variability, the southern annular mode (SAM), has recently seen a shift towards its positive phase due to stratospheric ozone depletion and increasing greenhouse gas (GHG) concentrations. Here we examine how sensitive the SAM (defined as the leading empirical orthogonal function of SH sea level pressure anomalies) is to future GHG concentrations. We determine its likely evolution for three intergovernmental panel on climate change (IPCC) special report on emission scenarios (SRES) for austral summer and winter, using a multi-model ensemble of IPCC fourth assessment report models which resolve stratospheric ozone recovery. During the period of summer ozone recovery (2000-2050), the SAM index exhibits weakly negative, statistically insignificant trends due to stratospheric ozone recovery which offsets the positive forcing imposed by increasing GHG concentrations. Thereafter, positive SAM index trends occur with magnitudes that show sensitivity to the SRES scenario utilised, and thus future GHG emissions. Trends are determined to be strongest for SRES A2, followed by A1B and B1, respectively. The winter SAM maintains a similar dependency upon GHG as summer, but over the entire twenty-first century and to a greater extent. We also examine the influence of ozone recovery by comparing results to models that exclude stratospheric ozone recovery. Projections are shown to be statistically different from the aforementioned results, highlighting the importance of ozone recovery in governing SAM-evolution. We therefore demonstrate that the future SAM will depend both upon GHG emissions and stratospheric ozone recovery.</t>
  </si>
  <si>
    <t>[Simpkins, Graham R.; Karpechko, Alexey Yu.] Univ E Anglia, Climat Res Unit, Sch Environm Sci, Norwich NR4 7TJ, Norfolk, England</t>
  </si>
  <si>
    <t>University of East Anglia</t>
  </si>
  <si>
    <t>Simpkins, GR (corresponding author), Univ New S Wales, Climate Change Res Ctr, Sydney, NSW 2052, Australia.</t>
  </si>
  <si>
    <t>g.simpkins@unsw.edu.au</t>
  </si>
  <si>
    <t>Karpechko, Alexey/JVN-9414-2024</t>
  </si>
  <si>
    <t>Karpechko, Alexey/0000-0003-0902-0414; Simpkins, Graham/0000-0002-6509-658X</t>
  </si>
  <si>
    <t>NERC [NE/E006787/1]; Finnish Academy; Natural Environment Research Council [NE/E006787/1] Funding Source: researchfish; NERC [NE/E006787/1] Funding Source: UKRI</t>
  </si>
  <si>
    <t>NERC(UK Research &amp; Innovation (UKRI)Natural Environment Research Council (NERC)); Finnish Academy(Research Council of Finland); Natural Environment Research Council(UK Research &amp; Innovation (UKRI)Natural Environment Research Council (NERC)); NERC(UK Research &amp; Innovation (UKRI)Natural Environment Research Council (NERC))</t>
  </si>
  <si>
    <t>This work was funded, in part, by a NERC Postgraduate Masters Studentship. AK was funded by NERC Project NE/E006787/1 and by the Finnish Academy. We acknowledge the modelling groups, the Program for Climate Model Diagnosis and Intercomparison (PCMDI) and the WCRP's Working Group on Coupled Modelling (WGCM) for their role in making the WCRP CMIP3 multi-model dataset available. The authors thank the anonymous reviewer for their constructive comments which improved this manuscript, and Dr. Laura Ciasto for insightful discussions of results.</t>
  </si>
  <si>
    <t>10.1007/s00382-011-1121-2</t>
  </si>
  <si>
    <t>WOS:000299899300008</t>
  </si>
  <si>
    <t>Gorbarenko, SA; Harada, N; Malakhov, MI; Velivetskaya, TA; Vasilenko, YP; Bosin, AA; Derkachev, AN; Goldberg, EL; Ignatiev, AV</t>
  </si>
  <si>
    <t>Gorbarenko, Sergey A.; Harada, Naomi; Malakhov, Mikhail I.; Velivetskaya, Tatyana A.; Vasilenko, Yuriy P.; Bosin, Aleksandr A.; Derkachev, Aleksandr N.; Goldberg, Evgenyi L.; Ignatiev, Aleksandr V.</t>
  </si>
  <si>
    <t>Responses of the Okhotsk Sea environment and sedimentology to global climate changes at the orbital and millennial scale during the last 350 kyr</t>
  </si>
  <si>
    <t>DEEP-SEA RESEARCH PART II-TOPICAL STUDIES IN OCEANOGRAPHY</t>
  </si>
  <si>
    <t>Okhotsk Sea; Productivity and lithophysical sediment properties; Orbital and millennial climate changes; Last 350 kyr</t>
  </si>
  <si>
    <t>GREENLAND ICE-CORE; NORTH-ATLANTIC; BOTTOM SEDIMENTS; WATER FORMATION; OXYGEN-ISOTOPE; VARIABILITY; RECORDS; HOLOCENE; TEMPERATURE; MONSOON</t>
  </si>
  <si>
    <t>We measured productivity proxies (chlorin, carbonate and organic carbon, opal, and biogenic Ba content) and lithophysical proxies (magnetic susceptibility, water content, density, and coarse sediment fraction) in sediment of central Okhotsk Sea core PC-7R. The age model covering the last 350 kyr of this core was constructed by correlating the dated series of relative paleointensity lows recognized in geomagnetic intensity records, marine isotope stage (MIS) boundaries determined in broad variations of the lithophysical and productivity proxies, and tephrochronology. The orbital changes of the lithophysical and productivity proxy stacks lag behind Northern Hemisphere summer radiation by approximately 6.3 and 5.9 kyr, respectively. This lag is consistent with a Milankovich model of climate control by solar radiation through the northern ice sheet volume and sea surface and surrounding land responses, which are fast compared with sedimentological evidence. Productivity proxies of the Okhotsk Sea also demonstrate 52 abrupt, pronounced productivity minima associated with regional climate coolings during the last 350 kyr, which present useful indicators of millennial-scale climate changes in this marginal sea. Based on the postulated synchronicity of Dansgaard-Oeschger cycles in the Northern Hemisphere and the established simultaneity of 11 Okhotsk Sea coolings in the last 77 kyr with abrupt severe cold events in the Greenland ice core and North Atlantic Heinrich events, all of these may be regarded as Heinrich-equivalent event anomalies. The Okhotsk Sea events have their counterparts in the records of North Atlantic sediments, the Greenland ice sheet, East Asia summer monsoon, and the Antarctic ice sheet. Probably the Arctic Oscillation was the main factor determining orbital and millennial climate oscillations in the high-latitude Northern Hemisphere, including the Okhotsk Sea region. (C) 2011 Elsevier Ltd. All rights reserved.</t>
  </si>
  <si>
    <t>[Gorbarenko, Sergey A.; Vasilenko, Yuriy P.; Bosin, Aleksandr A.; Derkachev, Aleksandr N.] Russian Acad Sci, Far E Branch, VI Ilichev Pacific Oceanol Inst, Vladivostok 690022, Russia; [Harada, Naomi] Japan Agcy Marine Earth Sci &amp; Technol, Yokosuka, Kanagawa 2370061, Japan; [Velivetskaya, Tatyana A.; Ignatiev, Aleksandr V.] Russian Acad Sci, Far Eastern Geol Inst, Far E Branch, Vladivostok 690022, Russia; [Goldberg, Evgenyi L.] Russian Acad Sci, Inst Limnol, Siberian Branch, Irkutsk 664003, Russia; Russian Acad Sci, Far E Branch, NE Interdisciplinary Sci Res Inst, Magadan, Russia</t>
  </si>
  <si>
    <t>Ilichev Pacific Oceanological Institute; Russian Academy of Sciences; Japan Agency for Marine-Earth Science &amp; Technology (JAMSTEC); Russian Academy of Sciences; Irkutsk Science Centre of the Russian Academy of Sciences; Russian Academy of Sciences; Limnological Institute SB RAS; Russian Academy of Sciences</t>
  </si>
  <si>
    <t>Gorbarenko, SA (corresponding author), Russian Acad Sci, Far E Branch, VI Ilichev Pacific Oceanol Inst, Vladivostok 690022, Russia.</t>
  </si>
  <si>
    <t>gorbarenko@poi.dvo.ru</t>
  </si>
  <si>
    <t>Gorbarenko, Sergey A./A-7055-2016; Босин, Александр/T-4223-2017; Vasilenko, Yuriy Pavlovich/C-3259-2018; Velivetskaya, Tatiana/ABD-2143-2020; Derkachev, Alexander/ABD-8392-2020</t>
  </si>
  <si>
    <t>Босин, Александр/0000-0002-3994-2623; Vasilenko, Yuriy Pavlovich/0000-0002-2067-8869;</t>
  </si>
  <si>
    <t>JSPS; Russian Foundation for Basic Research (RFBR) [06-05-91576 JP, 10-05-00160a]; Siberian and Far Eastern Branches of the Russian Academy of Science [106, 09-II-CO-07-003]</t>
  </si>
  <si>
    <t>JSPS(Ministry of Education, Culture, Sports, Science and Technology, Japan (MEXT)Japan Society for the Promotion of Science); Russian Foundation for Basic Research (RFBR)(Russian Foundation for Basic Research (RFBR)); Siberian and Far Eastern Branches of the Russian Academy of Science</t>
  </si>
  <si>
    <t>We are grateful to Captain Akamine and the crew of R/V Mirai for their help with sediment collection in the Okhotsk Sea during the MR06-04 cruise. This research work is the result of Collaborative Research between POI and JAMSTEC and was supported by JSPS and RFBR (Grant 06-05-91576 JP). This work was supported by the Russian Foundation for Basic Research (10-05-00160a) and the integrated grants of Siberian and Far Eastern Branches of the Russian Academy of Science (106 and 09-II-CO-07-003).</t>
  </si>
  <si>
    <t>0967-0645</t>
  </si>
  <si>
    <t>1879-0100</t>
  </si>
  <si>
    <t>DEEP-SEA RES PT II</t>
  </si>
  <si>
    <t>Deep-Sea Res. Part II-Top. Stud. Oceanogr.</t>
  </si>
  <si>
    <t>61-64</t>
  </si>
  <si>
    <t>10.1016/j.dsr2.2011.05.016</t>
  </si>
  <si>
    <t>912SB</t>
  </si>
  <si>
    <t>WOS:000301818900006</t>
  </si>
  <si>
    <t>Mackensen, A</t>
  </si>
  <si>
    <t>Mackensen, Andreas</t>
  </si>
  <si>
    <t>Strong thermodynamic imprint on Recent bottom-water and epibenthic δ13C in the Weddell Sea revealed: Implications for glacial Southern Ocean ventilation</t>
  </si>
  <si>
    <t>stable carbon isotopes; DIC; benthic foraminifers; LGM; air/sea gas exchange; brine rejection</t>
  </si>
  <si>
    <t>CARBON-ISOTOPE; ATMOSPHERIC CO2; DEEP; CIRCULATION; ICE; EXCHANGE; C-13; CADMIUM; CYCLE; FLOW</t>
  </si>
  <si>
    <t>Paleonutrient proxies are widely used to reconstruct the geometry of deep-water masses during the Last Glacial Maximum (LGM). Epibenthic delta C-13 provides best spatial coverage, and artifacts are well investigated. Discrepancies between reconstructed LGM-circulation patterns derived from models or different benthic nutrient proxies can partly be resolved by varying air-sea signatures of delta C-13, i.e. delta C-13(as). However, there are very few data available to calculate a delta C-13(as) of modern bottom water dissolved inorganic carbon (DIC) delta C-13, and to document how this signal is recorded in benthic foraminiferal delta C-13. Here I show that today bottom water in the Atlantic sector of the Southern Ocean is C-13 enriched with delta C-13(DIC) values between 0.4 and 1.0 parts per thousand. and delta C-13(as) values &gt;0.4 parts per thousand., and that this signal is recorded in live and dead epibenthic delta C-13. This is in contrast to a uniform modern Antarctic circumpolar delta C-13(DIC) of rather 0.4 parts per thousand., which hitherto is used as modern framework to compare to low LGM delta C-13(DIC) of southern sourced bottom-water and glacial inter basin differences. I conclude that a potential reduction of the strong Recent thermodynamic imprint during bottom-water generation in glacial times could explain depleted circum Antarctic C-13(DIC) without associated CO2 enrichment and anoxia in Antarctic bottom waters. The present synoptic compilation of delta C-13(DIC) and live benthic foraminifera delta C-13 is in support of hypotheses that explain low LGM delta C-13 by a depletion of southern end-member C-13(DIC) due to extensive sea-ice formation with low delta C-13(as)-brine rejection and diminished air-sea gas exchange. (C) 2011 Elsevier B.V. All rights reserved.</t>
  </si>
  <si>
    <t>Alfred Wegener Inst Polar &amp; Marine Res, D-27568 Bremerhaven, Germany</t>
  </si>
  <si>
    <t>Mackensen, A (corresponding author), Alfred Wegener Inst Polar &amp; Marine Res, Alten Hafen 26, D-27568 Bremerhaven, Germany.</t>
  </si>
  <si>
    <t>Andreas.Mackensen@awi.de</t>
  </si>
  <si>
    <t>Mackensen, Andreas/J-8600-2013</t>
  </si>
  <si>
    <t>Mackensen, Andreas/0000-0002-5024-4455</t>
  </si>
  <si>
    <t>10.1016/j.epsl.2011.11.030</t>
  </si>
  <si>
    <t>WOS:000301616700003</t>
  </si>
  <si>
    <t>Stichel, T; Frank, M; Rickli, J; Haley, BA</t>
  </si>
  <si>
    <t>Stichel, Torben; Frank, Martin; Rickli, Joerg; Haley, Brian A.</t>
  </si>
  <si>
    <t>The hafnium and neodymium isotope composition of seawater in the Atlantic sector of the Southern Ocean</t>
  </si>
  <si>
    <t>hafnium; neodymium; seawater; Southern Ocean; radiogenic isotopes</t>
  </si>
  <si>
    <t>WATER MASSES; NORTH-ATLANTIC; PACIFIC-OCEAN; DEEP-OCEAN; ND; HF; CIRCULATION; EVOLUTION; THORIUM; FRACTIONATION</t>
  </si>
  <si>
    <t>We present the first combined dissolved hafnium (Hf) and neodymium (Nd) concentrations and isotope compositions of deep water masses from the Atlantic sector of the Southern Ocean. Eight full depth profiles were analyzed for Hf and twelve for Nd. Hafnium concentrations are generally depleted in the upper few hundred meters ranging between 0.2 pmol/kg and 0.4 pmol/kg and increase to relatively constant values of around 0.6 pmol/kg in the deeper water column. At the stations north of the Polar Front (PF), Nd concentrations increase linearly from about 10 pmol/kg at depths of similar to 200 m to up to 31 pmol/kg close to the bottom indicating particle scavenging and release. Within the Weddell Gyre (WG), however, Nd concentrations are essentially constant at 25 pmol/kg at depths greater than similar to 1000 m. The distributions of both elements show a positive correlation with dissolved silicon implying a close linkage to diatom biogeochemisny. Hafnium essentially shows invariant isotope compositions with values averaging at epsilon Hf= +4.6, whereas Nd isotopes mark distinct differences between water masses, such as modified North Atlantic Deep Water (NADW, epsilon Nd = -11 to -10) and Antarctic Bottom Water (AABW, epsilon Nd = -8.6 to -9.6), but also waters locally advected via the Agulhas Current can be identified by their unradiogenic Nd isotope compositions. Mixing calculations suggest that a small fraction of Nd is removed by particle scavenging during mixing of water masses north of the PF. Nevertheless, the Nd isotope composition has apparently not been significantly affected by uptake and release of Nd from particles, as indicated by mixing calculations. A mixing envelope of an approximated North Pacific and a North Atlantic end-member shows that Nd isotope and concentration patterns in the Lower Circumpolar Deep Water (LCDW) can be fully explained by similar to 30:70 percentage contributions of these respective end-members. (C) 2011 Elsevier B.V. All rights reserved.</t>
  </si>
  <si>
    <t>[Stichel, Torben; Frank, Martin; Haley, Brian A.] Leibniz Inst Marine Sci IFM GEOMAR, D-24148 Kiel, Germany; [Rickli, Joerg] ETH, Inst Geochem &amp; Petr, CH-8092 Zurich, Switzerland</t>
  </si>
  <si>
    <t>Helmholtz Association; GEOMAR Helmholtz Center for Ocean Research Kiel; Swiss Federal Institutes of Technology Domain; ETH Zurich</t>
  </si>
  <si>
    <t>Stichel, T (corresponding author), Leibniz Inst Marine Sci IFM GEOMAR, Wischhofstr 1-3, D-24148 Kiel, Germany.</t>
  </si>
  <si>
    <t>tstichel@hawaii.edu</t>
  </si>
  <si>
    <t>Rickli, Jorg/0000-0001-8186-2750; Haley, Brian/0000-0003-2879-8117; Stichel, Torben/0000-0002-5925-1301; Frank, Martin/0000-0002-8606-4421</t>
  </si>
  <si>
    <t>Deutsche Forschungsgemeinschaft (DFG) within the priority Antarctic Research [FR1198/2, SPP 1158]</t>
  </si>
  <si>
    <t>Deutsche Forschungsgemeinschaft (DFG) within the priority Antarctic Research(German Research Foundation (DFG))</t>
  </si>
  <si>
    <t>This study was funded by a grant of the Deutsche Forschungsgemeinschaft (DFG) to M.F. (project FR1198/2) within the priority program Antarctic Research (SPP 1158). The authors would like to thank Jutta Heinze and Ana Kolevica for the priceless lab support and Folkmar Hauff and Anton Eisenhauer for providing assistance and machine time on the TIMS. We acknowledge Catherine Jeandel and Catherine Pradoux for providing the additional samples from ANTXXIII/3. Most importantly, we thank the chief scientists Eberhard Fahrbach and Hein de Baar, as well as Captain Stefan Schwarze and the crew of Polarstern for their contribution and braveness. Many thanks to Jan van Ooijen for the Si data and to Steven van Heuven to merge the ODV data. We acknowledge Celia Venchiarutti for her help during sample collection and preparation. This paper is dedicated to those, who did not return from expedition ANTXXIV/3.</t>
  </si>
  <si>
    <t>10.1016/j.epsl.2011.11.025</t>
  </si>
  <si>
    <t>WOS:000301616700028</t>
  </si>
  <si>
    <t>Noble, TL; Piotrowski, AM; Robinson, LF; McManus, JF; Hillenbrand, CD; Bory, AJM</t>
  </si>
  <si>
    <t>Noble, Taryn L.; Piotrowski, Alexander M.; Robinson, Laura F.; McManus, Jerry F.; Hillenbrand, Claus-Dieter; Bory, Aloys J. -M.</t>
  </si>
  <si>
    <t>Greater supply of Patagonian-sourced detritus and transport by the ACC to the Atlantic sector of the Southern Ocean during the last glacial period</t>
  </si>
  <si>
    <t>radiogenic isotopes; detritus; flux; provenance; Patagonia; Southern Ocean</t>
  </si>
  <si>
    <t>LATE QUATERNARY; ANTARCTIC PENINSULA; SEDIMENT REDISTRIBUTION; TERRIGENOUS SEDIMENT; GRAIN-SIZE; ICE-CORE; DEEP-SEA; DOME-C; ISOTOPIC CONSTRAINTS; EQUATORIAL PACIFIC</t>
  </si>
  <si>
    <t>Reconstructing past detrital flux and provenance in the Southern Ocean provides information about changes in source regions associated with climate variations and transport pathways. We present a Last Glacial Maximum (LGM) to Holocene comparison of Th-230 normalised fluxes combined with sediment provenance data (Pb, Nd and Sr isotopes) from a latitudinal core transect in the eastern Atlantic sector of the Southern Ocean (ODP Leg 177 cores). We compare the radiogenic isotopic composition (IC) of detritus in these cores to that of cores proximal to potential source areas. We observe a well-defined latitudinal Holocene gradient in both detrital flux and provenance of sediment. High detrital fluxes in the north are associated with terrigenous material derived from southern Africa, while low detrital fluxes in the south are associated with supply from southern South America, West Antarctica and the South Sandwich Islands. The data suggest that this well-defined Holocene gradient in detrital flux and sediment provenance is controlled by the flow of the Antarctic Circumpolar Current (ACC) and the position of its frontal zones. The LGM is characterised by 2 to 6 times higher than modem detrital fluxes at most ODP Leg 177 sites. The LGM detrital fluxes do not show a latitudinal trend and suggest a greater supply of glaciogenic detritus sourced from southern South America. Glacial Patagonian outwash sediments (&lt;5 mu m fraction) were analysed and compared to the bulk compositions of the marine sediments. The Pb IC of the Patagonian sediments is very similar to the glacial IC of sediments in the Scotia Sea and at similar to 49 degrees S latitude in the eastern Atlantic sector. We propose that the glacial IC of sediments is controlled by increased delivery of Patagonian detritus initially supplied by glaciers and then transported at depth via the ACC. (C) 2011 Elsevier B.V. All rights reserved.</t>
  </si>
  <si>
    <t>[Noble, Taryn L.; Piotrowski, Alexander M.] Univ Cambridge, Dept Earth Sci, Cambridge CB2 3EQ, England; [Robinson, Laura F.] Woods Hole Oceanog Inst, Dept Marine Chem &amp; Geochem, Woods Hole, MA 02543 USA; [McManus, Jerry F.] Columbia Univ, Lamont Doherty Earth Observ, Dept Earth &amp; Environm Sci, Palisades, NY 10964 USA; [Hillenbrand, Claus-Dieter] British Antarctic Survey, Cambridge CB3 0ET, England</t>
  </si>
  <si>
    <t>University of Cambridge; Woods Hole Oceanographic Institution; Columbia University; UK Research &amp; Innovation (UKRI); Natural Environment Research Council (NERC); NERC British Antarctic Survey</t>
  </si>
  <si>
    <t>Noble, TL (corresponding author), Univ Tasmania, Sch Earth Sci, Private Bag 79, Hobart, Tas 7001, Australia.</t>
  </si>
  <si>
    <t>Taryn.Noble@utas.edu.au</t>
  </si>
  <si>
    <t>Noble, Taryn/0000-0002-5708-751X; BORY, Aloys/0000-0002-0251-6372; Robinson, Laura/0000-0001-6811-0140; mcmanus, jerry/0000-0002-7365-1600</t>
  </si>
  <si>
    <t>UK NERC [NE/D002206/1, RG43765/LBZG021]; Natural Environment Research Council [NE/F006047/1, NE/D002206/1, bas0100027] Funding Source: researchfish; NERC [NE/D002206/1, NE/F006047/1, bas0100027] Funding Source: UKRI</t>
  </si>
  <si>
    <t>UK NERC(UK Research &amp; Innovation (UKRI)Natural Environment Research Council (NERC)); Natural Environment Research Council(UK Research &amp; Innovation (UKRI)Natural Environment Research Council (NERC)); NERC(UK Research &amp; Innovation (UKRI)Natural Environment Research Council (NERC))</t>
  </si>
  <si>
    <t>We thank James Smith and Claire Allen for their help in sampling the cores recovered by the British Antarctic Survey and Gerhard Kuhn from the Alfred Wegener Institute for Polar and Marine Research (Bremerhaven) for providing the samples of cores PS2819 and PS2820. David Sugden is acknowledged for providing the glacial Patagonian samples. We thank Hazel Chapman for her help with the Sr isotope analyses and Fatima Kahn and Jo Clegg for their lab support. Albert Galy and Jason Day are acknowledged for their support with the ICP-MS facilities. Moreover, we thank the editor Gideon Henderson, reviewer Martin Frank and two anonymous referees for their helpful comments, which improved the manuscript. This work was supported by UK NERC grant NE/D002206/1, RG43765/LBZG021 Assessing the role of ocean circulation in rapid climate change through the novel integration of high-resolution proxy records.</t>
  </si>
  <si>
    <t>10.1016/j.epsl.2011.10.007</t>
  </si>
  <si>
    <t>WOS:000301616700036</t>
  </si>
  <si>
    <t>Livingstone, SJ; Cofaigh, CO; Stokes, CR; Hillenbrand, CD; Vieli, A; Jamieson, SSR</t>
  </si>
  <si>
    <t>Livingstone, Stephen J.; Cofaigh, Colm O.; Stokes, Chris R.; Hillenbrand, Claus-Dieter; Vieli, Andreas; Jamieson, Stewart S. R.</t>
  </si>
  <si>
    <t>Antarctic palaeo-ice streams</t>
  </si>
  <si>
    <t>Antarctica; Ice stream; Grounding-line retreat; Glacial geomorphology; Deglacial history</t>
  </si>
  <si>
    <t>LAST GLACIAL MAXIMUM; PINE ISLAND BAY; WESTERN ROSS-SEA; TROUGH-MOUTH FAN; PLEISTOCENE-HOLOCENE RETREAT; BASAL CONDITIONS BENEATH; GROUNDING-LINE RETREAT; SURFACE MASS-BALANCE; WILKES LAND MARGIN; CONTINENTAL-SHELF</t>
  </si>
  <si>
    <t>We review the geomorphological, sedimentological and chronological evidence for palaeo-ice streams on the continental shelf of Antarctica and use this information to investigate basal conditions and processes, and to identify factors controlling grounding-line retreat. A comprehensive circum-Antarctic inventory of known palaeo-ice streams, their basal characteristics and minimum ages for their retreat following the Last Glacial Maximum (LGM) is also provided. Antarctic palaeo-ice streams are identified by a set of diagnostic landforms that, nonetheless, display considerable spatial variability due to the influence of substrate, flow velocity and subglacial processes. During the LGM, palaeo-ice streams extended, via bathymetric troughs, to the shelf edge of the Antarctic Peninsula and West Antarctica, and typically, to the mid-outer shelf of East Antarctica. The retreat history of the Antarctic Ice Sheet since the LGM is characterised by considerable asynchroneity, with individual ice streams exhibiting different retreat histories. This variability allows Antarctic palaeo-ice streams to be classified into discrete retreat styles and the controls on grounding-line retreat to be investigated. Such analysis highlights the important impact of internal factors on ice stream dynamics, such as bed characteristics and slope, and drainage basin size. Whilst grounding-line retreat may be triggered, and to some extent paced, by external (atmospheric and oceanic) forcing, the individual characteristics of each ice stream will modulate the precise timing and rate of retreat through time. (C) 2011 Elsevier B.V. All rights reserved.</t>
  </si>
  <si>
    <t>[Livingstone, Stephen J.; Cofaigh, Colm O.; Stokes, Chris R.; Vieli, Andreas; Jamieson, Stewart S. R.] Univ Durham, Dept Geog, Durham, England; [Hillenbrand, Claus-Dieter] British Antarctic Survey, Cambridge CB3 0ET, England</t>
  </si>
  <si>
    <t>Durham University; UK Research &amp; Innovation (UKRI); Natural Environment Research Council (NERC); NERC British Antarctic Survey</t>
  </si>
  <si>
    <t>Livingstone, SJ (corresponding author), Univ Sheffield, Dept Geog, Sheffield S10 2TN, S Yorkshire, England.</t>
  </si>
  <si>
    <t>s.j.livingstone@sheffield.ac.uk</t>
  </si>
  <si>
    <t>Vieli, Andreas/A-6767-2011; Jamieson, Stewart S.R./B-8330-2013; Stokes, Chris/A-1957-2011</t>
  </si>
  <si>
    <t>Jamieson, Stewart S.R./0000-0002-9036-2317; Stokes, Chris/0000-0003-3355-1573; Vieli, Andreas/0000-0002-2870-5921; Livingstone, Stephen/0000-0002-7240-5037</t>
  </si>
  <si>
    <t>NERC [NE/G015430/1, NE/G018677/1]; NERC [NE/G018677/1, NE/G015430/1, bas0100027] Funding Source: UKRI; Natural Environment Research Council [bas0100027, NE/G015430/1, NE/G018677/1] Funding Source: researchfish</t>
  </si>
  <si>
    <t>NERC(UK Research &amp; Innovation (UKRI)Natural Environment Research Council (NERC)); NERC(UK Research &amp; Innovation (UKRI)Natural Environment Research Council (NERC)); Natural Environment Research Council(UK Research &amp; Innovation (UKRI)Natural Environment Research Council (NERC))</t>
  </si>
  <si>
    <t>This work was funded by NERC standard grants NE/G015430/1 and NE/G018677/1. We thank Laura De Santis for supplying core locations from the Italian Australian WEGA project. This contribution has benefitted significantly from the insightful comments of two anonymous reviewers.</t>
  </si>
  <si>
    <t>10.1016/j.earscirev.2011.10.003</t>
  </si>
  <si>
    <t>911XO</t>
  </si>
  <si>
    <t>Green Accepted, Green Submitted</t>
  </si>
  <si>
    <t>WOS:000301758200006</t>
  </si>
  <si>
    <t>Niu, FL; Kelly, CD; Huang, JP</t>
  </si>
  <si>
    <t>Niu, Fenglin; Kelly, Cindi; Huang, Jianping</t>
  </si>
  <si>
    <t>Constraints on rigid zones and other distinct layers at the top of the outer core using CMB underside reflected PKKP waves</t>
  </si>
  <si>
    <t>EARTHQUAKE SCIENCE</t>
  </si>
  <si>
    <t>PKKP; underside reflection; rigid zones under CMB; USArray</t>
  </si>
  <si>
    <t>Clear PKKP, a P wave reflects off the core-mantle boundary on the core side, is recorded by the transcontinental USArray from two deep earthquakes occurred in South America and Tonga, and one intermediatedepth earthquake in the Hindu Kush region. We compare the PKKP waveforms with the direct P waves to investigate the fine structures near the core-mantle boundary, with a primary focus on the core side. We find no evidence for the existence of a sedimentary layer of lighter elements with a thickness above a few hundreds of meters beneath the reflection points of the two deep events, which are located at the Ninety-East Ridge and South Africa. On the other hand the PKKP wave duration of the Hindu Kush event is almost twice as long as that of the P wave, suggesting that multiple reflections may be occurring at the core-mantle boundary located beneath the Antarctic, which is located inside the so-called tangent cylinder of the outer core. The tangent cylinder is an imaginary cylindrical region suggested by geodynamics studies, which has different flow pattern and may have a higher concentration in lighter elements as compared to the rest of the outer core. One possible explanation of the elongated PKKP is a thin distinct layer with a thickness of a few kilometers at the top of the outer core, suggesting that precipitation of lighter elements may occur at the core-mantle boundary. Our data also indicate an extremely low QP of 312, approximately 40% of the PREM average (-780), within the large-scale low-velocity anomaly in the lowermost mantle beneath Pacific.</t>
  </si>
  <si>
    <t>[Niu, Fenglin; Kelly, Cindi; Huang, Jianping] Rice Univ, Dept Earth Sci, Houston, TX 77005 USA; [Huang, Jianping] China Univ Petr, Sch Geosci, Qingdao 266555, Peoples R China</t>
  </si>
  <si>
    <t>Rice University; China University of Petroleum</t>
  </si>
  <si>
    <t>Niu, FL (corresponding author), Rice Univ, Dept Earth Sci, Houston, TX 77005 USA.</t>
  </si>
  <si>
    <t>niu@rice.edu</t>
  </si>
  <si>
    <t>Huang, Jianping/KCY-8800-2024</t>
  </si>
  <si>
    <t>Kelly, Cyndi/0000-0001-7441-5215</t>
  </si>
  <si>
    <t>NSF [EAR-078455]; Division Of Earth Sciences; Directorate For Geosciences [0748455] Funding Source: National Science Foundation</t>
  </si>
  <si>
    <t>We thank IRIS for providing the data used in this study. We also thank Steve Grand for discussion, and two anonymous reviewers for their critical and constructive comments, which significantly improved the quality of this paper. This research is supported by the NSF grant EAR-078455.</t>
  </si>
  <si>
    <t>1674-4519</t>
  </si>
  <si>
    <t>1867-8777</t>
  </si>
  <si>
    <t>EARTHQ SCI</t>
  </si>
  <si>
    <t>Earthq. Sci.</t>
  </si>
  <si>
    <t>10.1007/s11589-012-0827-5</t>
  </si>
  <si>
    <t>V48YL</t>
  </si>
  <si>
    <t>WOS:000210054600003</t>
  </si>
  <si>
    <t>Wing, SR; McLeod, RJ; Leichter, JJ; Frew, RD; Lamare, MD</t>
  </si>
  <si>
    <t>Wing, S. R.; McLeod, R. J.; Leichter, J. J.; Frew, R. D.; Lamare, M. D.</t>
  </si>
  <si>
    <t>Sea ice microbial production supports Ross Sea benthic communities: influence of a small but stable subsidy</t>
  </si>
  <si>
    <t>Antarctica; climate change; fatty acids; food web; sea ice microbial community; stable isotopes</t>
  </si>
  <si>
    <t>MCMURDO-SOUND; FOOD-WEB; STATISTICAL INEVITABILITY; INORGANIC CARBON; FATTY-ACID; STABILITY; SUMMER; OCEAN; BIODIVERSITY; ANTARCTICA</t>
  </si>
  <si>
    <t>Diversity in guilds of primary producers enhances temporal stability in provision of organic matter to consumers. In the Antarctic ecosystem, where temporal variability in phytoplankton production is high, sea ice contains a diatom and microbial community (SIMCO) that represents a pool of organic matter that is seasonally more consistent, although of relatively small magnitude. The fate of organic material produced by SIMCO in Antarctica is largely unknown but may represent an important link between sea ice dynamics and secondary production in nearshore food webs. We used whole tissue and compound-specific stable isotope analysis of consumers to test whether the sea ice microbial community is an important source of organic matter supporting nearshore communities in the Ross Sea. We found distinct gradients in delta C-13 and delta N-15 of SIMCO corresponding to differences in inorganic carbon and nitrogen acquisition among sites with different sea ice extent and persistence. Mass balance analysis of a suite of consumers demonstrated large fluxes of SIMCO into the nearshore food web, ranging from 5% to 100% of organic matter supplied to benthic species, and 0-10% of organic matter to upper water column or pelagic inhabitants. A delta C-13 analysis of nine fatty acids including two key biomarkers for diatoms, eicosapentaenoic acid (EPA, 20:5 omega 3), and docosahexaenoic acid (DHA, 22:6 omega 3), confirmed these patterns. We observed clear patterns in delta C-13 of fatty acids that are enriched in C-13 for species that acquire a large fraction of their nutrition from SIMCO. These data demonstrate the key role of SIMCO in ecosystem functioning in Antarctica and strong linkages between sea ice extent and nearshore secondary productivity. While SIMCO provides a stabilizing subsidy of organic matter, changes to sea ice coverage associated with climate change would directly affect secondary production and stability of benthic food webs in Antarctica.</t>
  </si>
  <si>
    <t>[Wing, S. R.; McLeod, R. J.; Lamare, M. D.] Univ Otago, Dept Marine Sci, Dunedin 9054, New Zealand; [McLeod, R. J.; Frew, R. D.] Univ Otago, Dept Chem, Dunedin 9054, New Zealand; [Leichter, J. J.] Univ Calif San Diego, Scripps Inst Oceanog, La Jolla, CA 92093 USA</t>
  </si>
  <si>
    <t>University of Otago; University of Otago; University of California System; University of California San Diego; Scripps Institution of Oceanography</t>
  </si>
  <si>
    <t>Wing, SR (corresponding author), Univ Otago, Dept Marine Sci, POB 56, Dunedin 9054, New Zealand.</t>
  </si>
  <si>
    <t>steve.wing@otago.ac.nz</t>
  </si>
  <si>
    <t>Frew, Russell/HDN-6138-2022; Frew, Russell/I-5591-2012; McLeod, Rebecca J/H-4147-2011; Lamare, Miles M/A-7020-2010</t>
  </si>
  <si>
    <t>Frew, Russell/0000-0002-6138-2116; Lamare, Miles/0000-0001-8656-7240; Wing, Stephen/0000-0003-3536-5627</t>
  </si>
  <si>
    <t>Antarctica New Zealand; University of Otago; Marsden Fund</t>
  </si>
  <si>
    <t>Antarctica New Zealand; University of Otago; Marsden Fund(Royal Society of New ZealandMarsden Fund (NZ))</t>
  </si>
  <si>
    <t>We thank G. Funnell, R. Van Hale, R. Alumbaugh, K. Hageman, L. Jack, K. Lavin, and R. Ghosh. Support was provided from Antarctica New Zealand, University of Otago, and the Marsden Fund. Collections were made under University of Otago Ethics Committee, Ministry of Agriculture and Forestry, and Antarctica New Zealand scientific research permits.</t>
  </si>
  <si>
    <t>ECOLOGICAL SOC AMER</t>
  </si>
  <si>
    <t>1990 M STREET NW, STE 700, WASHINGTON, DC 20036 USA</t>
  </si>
  <si>
    <t>10.1890/11-0996.1</t>
  </si>
  <si>
    <t>925WZ</t>
  </si>
  <si>
    <t>WOS:000302794100012</t>
  </si>
  <si>
    <t>Ingels, J; Vanreusel, A; Brandt, A; Catarino, AI; David, B; De Ridder, C; Dubois, P; Gooday, AJ; Martin, P; Pasotti, F; Robert, H</t>
  </si>
  <si>
    <t>Ingels, Jeroen; Vanreusel, Ann; Brandt, Angelika; Catarino, Ana I.; David, Bruno; De Ridder, Chantal; Dubois, Philippe; Gooday, Andrew J.; Martin, Patrick; Pasotti, Francesca; Robert, Henri</t>
  </si>
  <si>
    <t>Possible effects of global environmental changes on Antarctic benthos: a synthesis across five major taxa</t>
  </si>
  <si>
    <t>ECOLOGY AND EVOLUTION</t>
  </si>
  <si>
    <t>Amphipoda; Echinoidea; Foraminifera; global climate change; Isopoda; Nematoda; Southern Ocean; zoobenthos</t>
  </si>
  <si>
    <t>GREEN SEA-URCHIN; EASTERN WEDDELL SEA; OXYGEN MINIMUM ZONE; PARACENTROTUS-LIVIDUS LAMARCK; ANIMAL TEMPERATURE LIMITS; REDUCED SEAWATER PH; SOUTHERN-OCEAN; CLIMATE-CHANGE; STRONGYLOCENTROTUS-DROEBACHIENSIS; STERECHINUS-NEUMAYERI</t>
  </si>
  <si>
    <t>Because of the unique conditions that exist around the Antarctic continent, Southern Ocean (SO) ecosystems are very susceptible to the growing impact of global climate change and other anthropogenic influences. Consequently, there is an urgent need to understand how SO marine life will cope with expected future changes in the environment. Studies of Antarctic organisms have shown that individual species and higher taxa display different degrees of sensitivity to environmental shifts, making it difficult to predict overall community or ecosystem responses. This emphasizes the need for an improved understanding of the Antarctic benthic ecosystem response to global climate change using a multitaxon approach with consideration of different levels of biological organization. Here, we provide a synthesis of the ability of five important Antarctic benthic taxa (Foraminifera, Nematoda, Amphipoda, Isopoda, and Echinoidea) to cope with changes in the environment (temperature, pH, ice cover, ice scouring, food quantity, and quality) that are linked to climatic changes. Responses from individual to the taxon-specific community level to these drivers will vary with taxon but will include local species extinctions, invasions of warmer-water species, shifts in diversity, dominance, and trophic group composition, all with likely consequences for ecosystem functioning. Limitations in our current knowledge and understanding of climate change effects on the different levels are discussed.</t>
  </si>
  <si>
    <t>[Ingels, Jeroen; Vanreusel, Ann; Pasotti, Francesca] Univ Ghent, Dept Marine Biol, B-9000 Ghent, Belgium; [Brandt, Angelika] Univ Hamburg, Zool Museum Hamburg, D-20146 Hamburg, Germany; [Catarino, Ana I.; De Ridder, Chantal; Dubois, Philippe] Univ Libre Bruxelles, Marine Biol Lab, B-1050 Brussels, Belgium; [David, Bruno] Univ Burgundy, CNRS, UMR 5561, F-21000 Dijon, France; [Gooday, Andrew J.] Natl Oceanog Ctr, Ocean Biogeochem &amp; Ecosyst Res Grp, Southampton SO14 3ZH, Hants, England; [Martin, Patrick; Robert, Henri] Royal Belgian Inst Nat Sci, B-1000 Brussels, Belgium</t>
  </si>
  <si>
    <t>Ghent University; University of Hamburg; Universite Libre de Bruxelles; Universite de Bourgogne; Centre National de la Recherche Scientifique (CNRS); NERC National Oceanography Centre; Royal Belgian Institute of Natural Sciences</t>
  </si>
  <si>
    <t>Ingels, J (corresponding author), Univ Ghent, Dept Marine Biol, Krijgslaan 281 S8, B-9000 Ghent, Belgium.</t>
  </si>
  <si>
    <t>Jeroen.ingels@ugent.be</t>
  </si>
  <si>
    <t>Gooday, Andrew/ABB-4267-2020; C, A/J-9863-2014; Martin, Patrick/V-9708-2019; Gooday, Andrew/AAH-8991-2021; DAVID, Bruno/N-8798-2013; Brandt, Angelika/C-1630-2018; Ingels, Jeroen/A-1691-2008</t>
  </si>
  <si>
    <t>Gooday, Andrew/0000-0002-5661-7371; C, A/0000-0002-8796-0869; Martin, Patrick/0000-0002-6033-8412; Ingels, Jeroen/0000-0001-8342-2222</t>
  </si>
  <si>
    <t>Belgian Science Policy (Scientific Research Programme on Antarctica); ESF IMCOAST; UK National Environment Research council; Natural Environment Research Council [noc010004, noc010009] Funding Source: researchfish; NERC [noc010004, noc010009] Funding Source: UKRI</t>
  </si>
  <si>
    <t>Belgian Science Policy (Scientific Research Programme on Antarctica); ESF IMCOAST; UK National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</si>
  <si>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Funded by the Belgian Science Policy (Scientific Research Programme on Antarctica). J.I., A. V., and F. P. also supported by the ESF IMCOAST project with contributions from Research Foundation, Flanders (FWO). A.J.G. was supported by the Oceans 2025 project of the UK National Environment Research council.</t>
  </si>
  <si>
    <t>2045-7758</t>
  </si>
  <si>
    <t>ECOL EVOL</t>
  </si>
  <si>
    <t>Ecol. Evol.</t>
  </si>
  <si>
    <t>10.1002/ece3.96</t>
  </si>
  <si>
    <t>Ecology; Evolutionary Biology</t>
  </si>
  <si>
    <t>Environmental Sciences &amp; Ecology; Evolutionary Biology</t>
  </si>
  <si>
    <t>055UE</t>
  </si>
  <si>
    <t>WOS:000312442500014</t>
  </si>
  <si>
    <t>Nielsen, UN; Wall, DH; Adams, BJ; Virginia, RA; Ball, BA; Gooseff, MN; McKnight, DM</t>
  </si>
  <si>
    <t>Nielsen, U. N.; Wall, D. H.; Adams, B. J.; Virginia, R. A.; Ball, B. A.; Gooseff, M. N.; McKnight, D. M.</t>
  </si>
  <si>
    <t>The ecology of pulse events: insights from an extreme climatic event in a polar desert ecosystem</t>
  </si>
  <si>
    <t>ECOSPHERE</t>
  </si>
  <si>
    <t>Antarctica; ecosystem connectivity; extreme events; floods; Nematoda; polar desert; pulse events; Rotifera; soil fauna; Tardigrada</t>
  </si>
  <si>
    <t>MCMURDO DRY VALLEYS; TAYLOR VALLEY; COMMUNITY STRUCTURE; SOIL INVERTEBRATES; TREE MORTALITY; DIVERSITY; RESPONSES; BIODIVERSITY; DROUGHT; CONNECTIVITY</t>
  </si>
  <si>
    <t>Climate change is occurring globally, with wide ranging impacts on organisms and ecosystems alike. While most studies focus on increases in mean temperatures and changes in precipitation, there is growing evidence that an increase in extreme events may be particularly important to altering ecosystem structure and function. During extreme events organisms encounter environmental conditions well beyond the range normally experienced. Such conditions may cause rapid changes in community composition and ecosystem states. We present the impact of an extreme pulse event ( a flood) on soil communities in an Antarctic polar desert. Taylor Valley, McMurdo Dry Valleys, is dominated by large expanses of dry, saline soils. During the austral summer, melting of glaciers, snow patches and subsurface ice supplies water to ephemeral streams and wetlands. We show how the activation of a non-annual ephemeral stream, Wormherder Creek, and the associated wetland during an exceptional high-flow event alters soil properties and communities. The flow of water increased soil water availability and decreased salinity within the wetted zone compared with the surrounding dry soils. We propose that periodic leaching of salts from flooding reduces soil osmotic stress to levels that are more favorable for soil organisms, improving the habitat suitability, which has a strong positive effect on soil animal abundance and diversity. Moreover, we found that communities differentiated along a soil moisture gradient and that overland water flow created greater connectivity within the landscape, and is expected to promote soil faunal dispersal. Thus, floods can 'precondition' soils to support belowground communities by creating conditions below or above key environmental thresholds. We conclude that pulse events can have significant long-term impacts on soil habitat suitability, and knowledge of pulse events is essential for understanding the present distribution and functioning of communities in soil ecosystems.</t>
  </si>
  <si>
    <t>[Nielsen, U. N.; Wall, D. H.] Colorado State Univ, Nat Resource Ecol Lab, Ft Collins, CO 80523 USA; [Nielsen, U. N.; Wall, D. H.] Colorado State Univ, Dept Biol, Ft Collins, CO 80523 USA; [Nielsen, U. N.] Univ Western Sydney, Hawkesbury Inst Environm, Penrith, NSW 2751, Australia; [Nielsen, U. N.] Univ Western Sydney, Sch Sci &amp; Hlth, Penrith, NSW 2751, Australia; [Adams, B. J.] Brigham Young Univ, Dept Biol, Provo, UT 84602 USA; [Virginia, R. A.; Ball, B. A.] Dartmouth Coll, Environm Studies Program, Hanover, NH 03755 USA; [Ball, B. A.] Arizona State Univ, Div Math &amp; Nat Sci, Phoenix, AZ 85306 USA; [Gooseff, M. N.] Penn State Univ, Dept Civil &amp; Environm Engn, University Pk, PA 16802 USA; [McKnight, D. M.] Univ Colorado, Inst Arctic &amp; Alpine Res, Boulder, CO 80309 USA</t>
  </si>
  <si>
    <t>Colorado State University; Colorado State University; Western Sydney University; Western Sydney University; Brigham Young University; Dartmouth College; Arizona State University; Arizona State University-Downtown Phoenix; Pennsylvania Commonwealth System of Higher Education (PCSHE); Pennsylvania State University; Pennsylvania State University - University Park; University of Colorado System; University of Colorado Boulder</t>
  </si>
  <si>
    <t>Nielsen, UN (corresponding author), Colorado State Univ, Nat Resource Ecol Lab, Ft Collins, CO 80523 USA.</t>
  </si>
  <si>
    <t>u.nielsen@uws.edu.au</t>
  </si>
  <si>
    <t>Ball, Becky A/E-6573-2011; Gooseff, Michael N/N-6087-2015; Wall, Diana H/F-5491-2011; Adams, Byron/C-3808-2009</t>
  </si>
  <si>
    <t>Ball, Becky A/0000-0001-8592-1316; Gooseff, Michael N/0000-0003-4322-8315; Adams, Byron/0000-0002-7815-3352</t>
  </si>
  <si>
    <t>US National Science Foundation [OPP 0423595]</t>
  </si>
  <si>
    <t>This study was supported by the US National Science Foundation funding to the McMurdo LTER (OPP 0423595). We could not have been accomplished all this without the help of Tracy Smith and Mitch Weaver in the field, and Breana Simmons, Nick Demetras, Bishwo Adhikari and Karen Seaver in the lab. We would also like to thank R. Scott Sanderson, Clara Chew and Tiffany Chang for help in the lab, and Paul Zietz for analytical support, at Dartmouth College. Finally, we thank the staff at the Crary Laboratory, Raytheon Polar Services and PHI helicopters Inc. for crucial logistical support during the field work. Peter Convey and an anonymous reviewer provided helpful comments on an earlier version of the manuscript.</t>
  </si>
  <si>
    <t>2150-8925</t>
  </si>
  <si>
    <t>Ecosphere</t>
  </si>
  <si>
    <t>10.1890/ES11-00325.1</t>
  </si>
  <si>
    <t>256HA</t>
  </si>
  <si>
    <t>WOS:000327299100005</t>
  </si>
  <si>
    <t>Cai, MH; Zhao, Z; Yang, HZ; Yin, ZG; Hong, QQ; Sturm, R; Ebinghaus, R; Ahrens, L; Cai, MG; He, JF; Xie, ZY</t>
  </si>
  <si>
    <t>Cai, Minghong; Zhao, Zhen; Yang, Haizhen; Yin, Zhigao; Hong, Qingquan; Sturm, Renate; Ebinghaus, Ralf; Ahrens, Lutz; Cai, Minggang; He, Jianfeng; Xie, Zhiyong</t>
  </si>
  <si>
    <t>Spatial distribution of per- and polyfluoroalkyl compounds in coastal waters from the East to South China Sea</t>
  </si>
  <si>
    <t>Perfluoroalkyl compounds; Polyfluoroalkyl compounds; PFCs; Coastal waters; East China Sea; South China Sea</t>
  </si>
  <si>
    <t>HUMAN BLOOD-SAMPLES; PERFLUORINATED COMPOUNDS; PERFLUOROOCTANE SULFONATE; PERFLUOROALKYL COMPOUNDS; QUANTITATIVE-DETERMINATION; ATMOSPHERIC CHEMISTRY; SURFACE-WATER; YANGTZE-RIVER; PEARL RIVER; ACIDS</t>
  </si>
  <si>
    <t>The spatial distribution of per- and polyfluoroalkyl compounds (PFCs) were investigated in coastal waters collected onboard research vessel Snow Dragon from the East to South China Sea in 2010. All samples were prepared by solid-phase extraction and analyzed using high performance liquid chromatography/negative electrospray ionization-tandem mass spectrometry (HPLC/(-)ESI-MS/MS). Concentrations of 9 PFCs, including C-4 and C-8 (PFBS, PFOS) perfluoroalkyl sulfonate (PFSAs), C-5-C-9 and C-13 (PFPA, PFHxA, PFHpA, PFOA, PFNA, PFTriDA) perfluoroalkyl carboxylates (PFCAs), and N-ethyl perfluorooctane sulfonamide (EtFOSA) were quantified. The Sigma PFC concentrations ranged from 133 pg/L to 3320 pg/L, with PFOA (37.5-1541 pg/L), PFBS (23.0-941 pg/L) and PFHpA (0-422 pg/L) as dominant compounds. Concentrations of PFCs were greater in coastal waters along Shanghai, Ningbo, Taizhou, Xiamen and along coastal cities of the Guangdong province compared to less populated areas along the east Chinese coast. Additionally, the comparison with other seawater PFC measurements showed lower levels in this study. (C) 2011 Elsevier Ltd. All rights reserved.</t>
  </si>
  <si>
    <t>[Cai, Minghong; Yang, Haizhen; Yin, Zhigao] Tongji Univ, Coll Environm Sci &amp; Engn, Shanghai 200092, Peoples R China; [Cai, Minghong; He, Jianfeng] Polar Res Inst China, SOA Key Lab Polar Sci, Shanghai 200136, Peoples R China; [Zhao, Zhen; Sturm, Renate; Ebinghaus, Ralf; Ahrens, Lutz; Xie, Zhiyong] Ctr Mat &amp; Coastal Res GmbH, Helmholtz Zentrum Geesthacht, Inst Coastal Res, D-21502 Geesthacht, Germany; [Zhao, Zhen] Chinese Acad Sci, Yantai Inst Coastal Zone Res, Yantai 264003, Peoples R China; [Zhao, Zhen] Chinese Acad Sci, Grad Sch, Beijing 100039, Peoples R China; [Hong, Qingquan; Cai, Minggang] Xiamen Univ, Coll Oceanog &amp; Environm Sci, Xiamen 361005, Peoples R China</t>
  </si>
  <si>
    <t>Tongji University; Polar Research Institute of China; Helmholtz Association; Helmholtz-Zentrum Hereon; Chinese Academy of Sciences; Yantai Institute of Coastal Zone Research, CAS; Chinese Academy of Sciences; University of Chinese Academy of Sciences, CAS; Xiamen University</t>
  </si>
  <si>
    <t>Cai, MH (corresponding author), Tongji Univ, Coll Environm Sci &amp; Engn, Shanghai 200092, Peoples R China.</t>
  </si>
  <si>
    <t>Xie, Zhiyong/E-8436-2014; cai, minggang/G-3979-2010; Ahrens, Lutz/S-6266-2019; Hong, Qingquan/J-6133-2012; HUANG, Shuiying/C-3117-2014</t>
  </si>
  <si>
    <t>cai, minggang/0000-0003-2828-0529; Ahrens, Lutz/0000-0002-5430-6764; Hong, Qingquan/0000-0002-6473-5749</t>
  </si>
  <si>
    <t>National Natural Science Foundation of China [40776003]; State Oceanic Administration People's Republic of China [200805095]</t>
  </si>
  <si>
    <t>National Natural Science Foundation of China(National Natural Science Foundation of China (NSFC)); State Oceanic Administration People's Republic of China</t>
  </si>
  <si>
    <t>We wish to express our sincere gratitude to all the members of the 27th Chinese National Antarctic Research Expedition (CHINARE-27). This research was supported by the National Natural Science Foundation of China (No. 40776003) and Ocean Public Welfare Scientific Research Project, State Oceanic Administration People's Republic of China (No. 200805095).</t>
  </si>
  <si>
    <t>1873-6424</t>
  </si>
  <si>
    <t>10.1016/j.envpol.2011.09.045</t>
  </si>
  <si>
    <t>WOS:000300539300022</t>
  </si>
  <si>
    <t>Hendry, KR; Robinson, LF; Meredith, MP; Mulitza, S; Chiessi, CM; Arz, H</t>
  </si>
  <si>
    <t>Hendry, K. R.; Robinson, L. F.; Meredith, M. P.; Mulitza, S.; Chiessi, C. M.; Arz, H.</t>
  </si>
  <si>
    <t>Abrupt changes in high-latitude nutrient supply to the Atlantic during the last glacial cycle</t>
  </si>
  <si>
    <t>ANTARCTIC INTERMEDIATE WATER; SOUTH ATLANTIC; OCEAN CIRCULATION; NORTH-ATLANTIC; DRAKE PASSAGE; SEA-ICE; VARIABILITY; PENINSULA; TRANSPORT; ISOTOPES</t>
  </si>
  <si>
    <t>The supply of nutrients to the low-latitude thermocline is largely controlled by intermediate-depth waters formed at the surface in the high southern latitudes. Silicic acid is an essential macronutrient for diatoms, which are responsible for a significant portion of marine carbon export production. Changes in ocean circulation, such as those observed during the last deglaciation, would influence the nutrient composition of the thermocline and, therefore, the relative abundance of diatoms in the low latitudes. Here we present the first record of the silicic acid content of the Atlantic over the last glacial cycle. Our results show that at intermediate depths of the South Atlantic, the silicic acid concentration was the same at the Last Glacial Maximum (LGM) as it is today, overprinted by high silicic acid pulses that coincided with abrupt changes in ocean and atmospheric circulation during Heinrich Stadials and the Younger Dryas. We suggest these pulses were caused by changes in intermediate water formation resulting from shifts in the subpolar hydrological cycle, with fundamental implications for the nutrient supply to the Atlantic.</t>
  </si>
  <si>
    <t>[Hendry, K. R.; Robinson, L. F.] Woods Hole Oceanog Inst, Dept Marine Chem &amp; Geochem, Woods Hole, MA 02543 USA; [Hendry, K. R.] Cardiff Univ, Sch Earth &amp; Ocean Sci, Cardiff CF10 3AT, S Glam, Wales; [Robinson, L. F.] Univ Bristol, Dept Earth Sci, Bristol BS8 1RJ, Avon, England; [Meredith, M. P.] British Antarctic Survey, Cambridge CB3 0ET, England; [Mulitza, S.] Univ Bremen, Ctr Marine Environm Sci, D-28359 Bremen, Germany; [Chiessi, C. M.] Univ Sao Paulo, Sch Arts Sci &amp; Humanities, BR-03828000 Sao Paulo, Brazil; [Arz, H.] Leibniz Inst Baltic Sea Res Warnemunde IOW, D-18119 Rostock, Germany; [Arz, H.] Ernst Moritz Arndt Univ Greifswald, D-18119 Rostock, Germany</t>
  </si>
  <si>
    <t>Woods Hole Oceanographic Institution; Cardiff University; University of Bristol; UK Research &amp; Innovation (UKRI); Natural Environment Research Council (NERC); NERC British Antarctic Survey; University of Bremen; Universidade de Sao Paulo; Leibniz Institut fur Ostseeforschung Warnemunde; Universitat Greifswald</t>
  </si>
  <si>
    <t>Chiessi, Cristiano Mazur/E-1916-2012; Chiessi, Cristiano Mazur/JAZ-0806-2023; Arz, Helge W/A-6659-2013; Hendry, Katharine/E-4793-2011; Mulitza, Stefan/G-5357-2011</t>
  </si>
  <si>
    <t>Chiessi, Cristiano Mazur/0000-0003-3318-8022; Chiessi, Cristiano Mazur/0000-0003-3318-8022; Meredith, Michael/0000-0002-7342-7756; Hendry, Katharine/0000-0002-0790-5895; Mulitza, Stefan/0000-0002-3842-1447; Robinson, Laura/0000-0001-6811-0140; Arz, Helge Wolfgang/0000-0002-1997-1718</t>
  </si>
  <si>
    <t>Woods Hole Oceanographic Institution; National Science Foundation [MGG-1029986, ANT-0944474, ANT-0902957]; DFG Research Center / Excellence Cluster; NERC [bas0100028] Funding Source: UKRI; Natural Environment Research Council [bas0100028] Funding Source: researchfish; Directorate For Geosciences; Division Of Ocean Sciences [1029986] Funding Source: National Science Foundation</t>
  </si>
  <si>
    <t>Woods Hole Oceanographic Institution; National Science Foundation(National Science Foundation (NSF)); DFG Research Center / Excellence Cluster(German Research Foundation (DFG)); NERC(UK Research &amp; Innovation (UKRI)Natural Environment Research Council (NERC)); Natural Environment Research Council(UK Research &amp; Innovation (UKRI)Natural Environment Research Council (NERC)); Directorate For Geosciences; Division Of Ocean Sciences(National Science Foundation (NSF)NSF - Directorate for Geosciences (GEO))</t>
  </si>
  <si>
    <t>We thank G. Henderson for samples, and J. Blusztjan, S. Birdwhistell, and M. Auro for laboratory assistance. delta30Si measurements were carried out in the Woods Hole Oceanographic Institution Inductively Coupled Plasma Facility. Hendry is funded by a Woods Hole Oceanographic Institution Doherty Postdoctoral Scholarship and National Science Foundation grants MGG-1029986, ANT-0944474, and ANT-0902957. Mulitza is funded through the DFG Research Center / Excellence Cluster The Ocean in the Earth System.</t>
  </si>
  <si>
    <t>10.1130/G32779.1</t>
  </si>
  <si>
    <t>883XL</t>
  </si>
  <si>
    <t>WOS:000299668100007</t>
  </si>
  <si>
    <t>Wade, BS; Houben, AJP; Quaijtaal, W; Schouten, S; Rosenthal, Y; Miller, KG; Katz, ME; Wright, JD; Brinkhuis, H</t>
  </si>
  <si>
    <t>Wade, Bridget S.; Houben, Alexander J. P.; Quaijtaal, Willemijn; Schouten, Stefan; Rosenthal, Yair; Miller, Kenneth G.; Katz, Miriam E.; Wright, James D.; Brinkhuis, Henk</t>
  </si>
  <si>
    <t>Multiproxy record of abrupt sea-surface cooling across the Eocene-Oligocene transition in the Gulf of Mexico</t>
  </si>
  <si>
    <t>ISOPRENOID TETRAETHER LIPIDS; CLIMATE TRANSITION; TEMPERATURE; ICE; BOUNDARY; FORAMINIFERA; GLACIATION; ISOTOPES; ALABAMA; NORTH</t>
  </si>
  <si>
    <t>The Eocene-Oligocene transition (EOT; ca. 33-34 Ma) was a time of pronounced climatic change, marked by the establishment of continental-scale Antarctic ice sheets. The timing and extent of temperature change associated with the EOT is controversial. Here we present multiproxy EOT climate records (similar to 15-34 k.y. resolution) from St. Stephens Quarry, Alabama, USA, derived from foraminiferal Mg/Ca, delta O-18, and TEX86. We constrain sea-surface temperatures (SSTs) in the latest Eocene and early Oligocene and address the issue of climatic cooling during the EOT. Paleotemperatures derived from planktic foraminifera Mg/Ca and TEX86 are remarkably consistent and indicate late Eocene subtropical SSTs of &gt;28 degrees C. There was substantial and accelerated cooling of SSTs (3-4 degrees C) through the latest Eocene precursor delta O-18 shift (EOT-1), prior to Oligocene Isotope-1 (Oi-1). Our multispecies planktic foraminiferal delta O-18 records diverge at the E/O boundary (33.7 Ma), signifying enhanced seasonality in the earliest Oligocene in the Gulf of Mexico.</t>
  </si>
  <si>
    <t>[Wade, Bridget S.; Rosenthal, Yair] Rutgers State Univ, Inst Marine &amp; Coastal Sci, New Brunswick, NJ 08901 USA; [Houben, Alexander J. P.; Quaijtaal, Willemijn; Brinkhuis, Henk] Univ Utrecht, Inst Environm Biol, Palaeobot &amp; Palynol Lab, NL-3584 CD Utrecht, Netherlands; [Schouten, Stefan] Royal Netherlands Inst Sea Res, Dept Marine Organ Biogeochem, NL-1790 AB Den Burg, Texel, Netherlands; [Miller, Kenneth G.; Katz, Miriam E.] Rutgers State Univ, Dept Earth &amp; Planetary Sci, Piscataway, NJ 08854 USA; [Katz, Miriam E.; Wright, James D.] Rensselaer Polytech Inst, Dept Earth &amp; Environm Sci, Troy, NY 12180 USA</t>
  </si>
  <si>
    <t>Rutgers University System; Rutgers University New Brunswick; Utrecht University; Utrecht University; Royal Netherlands Institute for Sea Research (NIOZ); Rutgers University System; Rutgers University New Brunswick; Rensselaer Polytechnic Institute</t>
  </si>
  <si>
    <t>Wade, BS (corresponding author), Univ Leeds, Sch Earth &amp; Environm, Woodhouse Lane, Leeds LS2 9JT, W Yorkshire, England.</t>
  </si>
  <si>
    <t>b.wade@leeds.ac.uk</t>
  </si>
  <si>
    <t>Quaijtaal, Willemijn/HNB-5108-2023; Wade, Bridget S/F-4987-2014; Wright, James/AAF-7180-2019; Brinkhuis, Henk/IUO-8165-2023</t>
  </si>
  <si>
    <t>Quaijtaal, Willemijn/0000-0001-6016-0194; Wade, Bridget S/0000-0002-7245-8614; Brinkhuis, Henk/0000-0003-0253-6610; Wright, James/0000-0001-5212-9146; Houben, Alexander/0000-0002-9497-1048</t>
  </si>
  <si>
    <t>U.S. National Science Foundation [OCE06-23256]; Natural Environment Research Council [NE/G014817/1]; Statoil; English Speaking Union; Directorate For Geosciences; Division Of Ocean Sciences [0751757] Funding Source: National Science Foundation; Natural Environment Research Council [NE/G014817/1] Funding Source: researchfish; NERC [NE/G014817/1] Funding Source: UKRI</t>
  </si>
  <si>
    <t>U.S. National Science Foundation(National Science Foundation (NSF)); Natural Environment Research Council(UK Research &amp; Innovation (UKRI)Natural Environment Research Council (NERC)); Statoil; English Speaking Union; Directorate For Geosciences; Division Of Ocean Sciences(National Science Foundation (NSF)NSF - Directorate for Geosciences (GEO)); Natural Environment Research Council(UK Research &amp; Innovation (UKRI)Natural Environment Research Council (NERC)); NERC(UK Research &amp; Innovation (UKRI)Natural Environment Research Council (NERC))</t>
  </si>
  <si>
    <t>We thank J. Browning, N. Sou, M. Chong, A. Mets, N. Welters, and J. Ossebaar for assistance and technical support, and E. Mancini for discussion. Two anonymous reviewers and V. Bowman provided valuable comments that notably improved the manuscript. This research was supported by the U.S. National Science Foundation (grant OCE06-23256), the Natural Environment Research Council (grant NE/G014817/1), Statoil, and a Lindemann Fellowship from the English Speaking Union.</t>
  </si>
  <si>
    <t>10.1130/G32577.1</t>
  </si>
  <si>
    <t>WOS:000299668100016</t>
  </si>
  <si>
    <t>Madin, EMP; Ban, NC; Doubleday, ZA; Holmes, TH; Pecl, GT; Smith, F</t>
  </si>
  <si>
    <t>Madin, Elizabeth M. P.; Ban, Natalie C.; Doubleday, Zoe A.; Holmes, Thomas H.; Pecl, Gretta T.; Smith, Franz</t>
  </si>
  <si>
    <t>Socio-economic and management implications of range-shifting species in marine systems</t>
  </si>
  <si>
    <t>GLOBAL ENVIRONMENTAL CHANGE-HUMAN AND POLICY DIMENSIONS</t>
  </si>
  <si>
    <t>Climate change; Range shift; Marine ecosystems; Australia; Socio-economic; Species distributions; Management</t>
  </si>
  <si>
    <t>HARMFUL ALGAL BLOOMS; CLIMATE-CHANGE; POPULATION-DYNAMICS; WESTERN-AUSTRALIA; KELP BEDS; OCEAN; COMMUNITY; FISHERIES; IMPACTS; EXPANSION</t>
  </si>
  <si>
    <t>Climate change is leading to a redistribution of marine species, altering ecosystem dynamics as species extend or shift their geographic ranges polewards with warming waters. In marine systems, range shifts have been observed in a wide diversity of species and ecosystems and are predicted to become more prevalent as environmental conditions continue to change. Large-scale shifts in the ranges of marine species will likely have dramatic socio-economic and management implications. Australia provides a unique setting in which to examine the range of consequences of climate-induced range shifts because it encompasses a diverse range of ecosystems, spanning tropical to temperate systems, within a single nation and is home to global sea surface temperature change 'hotspots' (where range shifts are particularly likely to occur). We draw on global examples with a particular emphasis on Australian cases to evaluate these consequences. We show that in Australia, range shifts span a variety of ecosystem types, trophic levels, and perceived outcomes (i.e., negative versus positive). The effect(s) of range shifts on socio-economic change variables are rarely reviewed, yet have the potential to have positive and/or negative effects on economic activities, human health and ecosystem services. Even less information exists about potential management responses to range-shifting species. However, synthesis of these diverse examples provides some initial guidance for selecting effective adaptive response strategies and management tools in the face of continuing climate-mediated range shifts. (C) 2011 Elsevier Ltd. All rights reserved.</t>
  </si>
  <si>
    <t>[Madin, Elizabeth M. P.] Univ Technol Sydney, Dept Environm Sci, Sydney, NSW 2007, Australia; [Ban, Natalie C.] James Cook Univ, Australian Res Council Ctr Excellence Coral Reef, Townsville, Qld 4811, Australia; [Doubleday, Zoe A.; Pecl, Gretta T.] Univ Tasmania, Inst Marine &amp; Antarctic Studies, Hobart, Tas 7001, Australia; [Doubleday, Zoe A.] Univ Adelaide, Sch Earth &amp; Environm Sci, So Seas Ecol Labs, Adelaide, SA 5005, Australia; [Holmes, Thomas H.] Dept Environm &amp; Conservat, Marine Sci Program, Kensington, WA 6151, Australia; [Smith, Franz] CSIRO Marine &amp; Atmospher Res, Climate Adaptat Flagship, Brisbane, Qld 4001, Australia</t>
  </si>
  <si>
    <t>University of Technology Sydney; James Cook University; University of Tasmania; University of Adelaide; Commonwealth Scientific &amp; Industrial Research Organisation (CSIRO)</t>
  </si>
  <si>
    <t>Madin, EMP (corresponding author), Univ Technol Sydney, Dept Environm Sci, POB 123, Sydney, NSW 2007, Australia.</t>
  </si>
  <si>
    <t>elizabeth.madin@uts.edu.au; natalie.ban@jcu.edu.au; zoeanned@utas.edu.au; thomas.holmes@dec.wa.gov.au; gretta.pecl@utas.edu.au; franz.smith@csiro.au</t>
  </si>
  <si>
    <t>Ban, Natalie C/C-6938-2009; Doubleday, Zoe/AAU-6278-2020; Pecl, Gretta/D-7267-2011; Doubleday, Zoe/N-9955-2013; Doubleday, Zoe/N-9955-2013</t>
  </si>
  <si>
    <t>Pecl, Gretta/0000-0003-0192-4339; Doubleday, Zoe/0000-0003-0045-6377; Ban, Natalie/0000-0002-4682-2144; Doubleday, Zoe/0000-0002-6850-3507</t>
  </si>
  <si>
    <t>Australian Marine Adaptation Network; NSF; Australian Research Council [DP1096453]; Office Of The Director; Office Of Internatl Science &amp;Engineering [0853117] Funding Source: National Science Foundation; Australian Research Council [DP1096453] Funding Source: Australian Research Council</t>
  </si>
  <si>
    <t>Australian Marine Adaptation Network; NSF(National Science Foundation (NSF)); Australian Research Council(Australian Research Council); Office Of The Director; Office Of Internatl Science &amp;Engineering(National Science Foundation (NSF)NSF - Office of the Director (OD)); Australian Research Council(Australian Research Council)</t>
  </si>
  <si>
    <t>We thank the Australian Marine Adaptation Network for instigating and funding this activity, in particular Alistair Hobday, Stewart Frusher, Neil Holbrook, and Julie Davidson. We also thank the Sydney Institute of Marine Science for hosting the workshop to further this collaboration, and in particular Peter Steinberg and David J. Booth. Comments by Neil Holbrook and Sarah Jennings on an earlier version of this manuscript greatly improved it. EMPM was funded by an NSF International Postdoctoral Fellowship. NCB was supported by the Australian Research Council (DP1096453). We are grateful to Fiona Brodribb and Peter Walsh for providing information on the out-of-range records for species from REDMAP, to Tasmanian recreational and commercial fishers and SCUBA divers for providing photographic records to the REDMAP website, and to a range of scientists for verifying the photographic records submitted. We would also like to thank three anonymous reviewers who provided us with excellent suggestions for improving the manuscript. This is publication number (0057) of Sydney Institute of Marine Science.</t>
  </si>
  <si>
    <t>0959-3780</t>
  </si>
  <si>
    <t>GLOBAL ENVIRON CHANG</t>
  </si>
  <si>
    <t>Glob. Environ. Change-Human Policy Dimens.</t>
  </si>
  <si>
    <t>10.1016/j.gloenvcha.2011.10.008</t>
  </si>
  <si>
    <t>Environmental Sciences; Environmental Studies; Geography</t>
  </si>
  <si>
    <t>Environmental Sciences &amp; Ecology; Geography</t>
  </si>
  <si>
    <t>899LN</t>
  </si>
  <si>
    <t>WOS:000300817500014</t>
  </si>
  <si>
    <t>Vogler, J</t>
  </si>
  <si>
    <t>Vogler, John</t>
  </si>
  <si>
    <t>Global Commons Revisited</t>
  </si>
  <si>
    <t>GLOBAL POLICY</t>
  </si>
  <si>
    <t>Global commons are areas and resources defined as being beyond sovereign jurisdiction. They are socially constructed and this article identifies four: the high seas and deep seabed, Antarctica, outer space and the global atmosphere although attempts to designate new areas as commons are also noted. The construction of global commons, it is argued, has been determined by shifts in human knowledge, capability and perceptions of scarcity. The commons problem, as defined by Hardin and other analysts arises from the ecological consequences of open access, but also from the renewed concerns of strategists about the military use of common spaces. In the international system a primary response has been to extend sovereignty and the degree to which the global commons have been enclosed is assessed. An alternative model is provided by the negotiation of common heritage status, but since the experiment with the deep sea bed this has not found favour in the Arctic, Antarctic and elsewhere. In terms of the continuing management of the commons the international community has resorted to an array of regulatory regimes of varying coverage and effectiveness</t>
  </si>
  <si>
    <t>Keele Univ, Keele, Staffs, England</t>
  </si>
  <si>
    <t>Keele University</t>
  </si>
  <si>
    <t>Vogler, J (corresponding author), Keele Univ, Keele, Staffs, England.</t>
  </si>
  <si>
    <t>1758-5880</t>
  </si>
  <si>
    <t>1758-5899</t>
  </si>
  <si>
    <t>GLOB POLICY</t>
  </si>
  <si>
    <t>Glob. Policy</t>
  </si>
  <si>
    <t>10.1111/j.1758-5899.2011.00156.x</t>
  </si>
  <si>
    <t>International Relations; Political Science</t>
  </si>
  <si>
    <t>International Relations; Government &amp; Law</t>
  </si>
  <si>
    <t>061YH</t>
  </si>
  <si>
    <t>WOS:000312885700007</t>
  </si>
  <si>
    <t>Hallegraeff, GM; Blackburn, SI; Doblin, MA; Bolch, CJS</t>
  </si>
  <si>
    <t>Hallegraeff, G. M.; Blackburn, S. I.; Doblin, M. A.; Bolch, C. J. S.</t>
  </si>
  <si>
    <t>Global toxicology, ecophysiology and population relationships of the chainforming PST dinoflagellate Gymnodinium catenatum</t>
  </si>
  <si>
    <t>Gymnodinium catenatum; Paralytic Shellfish Toxin profiles; Molecular Biogeography; Bloom Ecophysiology</t>
  </si>
  <si>
    <t>SP-NOV DINOPHYCEAE; GULF-OF-CALIFORNIA; PARALYTIC SHELLFISH TOXINS; RECENT MARINE-SEDIMENTS; RED TIDE; MICRORETICULATE CYST; GRAHAM DINOPHYCEAE; BAHIA-CONCEPCION; BALLAST WATER; HIROSHIMA BAY</t>
  </si>
  <si>
    <t>Increasing scientific awareness since the 1980s of the chain-forming dinoflagellate Gymnodinium catenatum has led to this species being reported with increased frequency in a globally increasing number of countries (23 at present). G. catenatum exhibits little molecular genetic variation in rDNA over its global range, in contrast to RAPD fingerprinting which points to high genetic variation within regional populations even between estuaries 50 km apart. All Australian and New Zealand strains possess a thymine nucleotide (T-gene) near the start of the 5.8S rRNA whereas all other global populations examined to date possess cytosine-nucleotide (C-gene), except for southern Japan which harbours both C-gene and T-gene strains. Together with cyst and plankton evidence this strongly suggests that both Australian and New Zealand populations have derived from southern Japan. Global dinoflagellate populations and cultures exhibit an extraordinary variation in PST profiles (STX and 21 analogues), but consistent regional patterns are evident with regard to the production of C1,2; C3,4; B1,2; and neoSTX analogues. PST profiles of cyst-derived cultures are deemed unrepresentative. Distinct ecophysiological differences exist between tropical (21-32 degrees C) and warm-temperate ecotypes (12-18 degrees C), but these appear unrelated to ITS genotypes and PST toxin phenotypes. On current evidence, cyst germination appears to play a minimal role in the bloom dynamics of this species, while seasonal and inter-annual bloom variations result from the physical constraints (temperature and light) on the growth of the dinoflagellates in the water column. G. catenatum exhibits a capacity to utilize many forms of nitrogen. Its chain formation and strong motility allow it to undergo retrieval migrations to exploit light and nutrient resource gradients in both stratified and mixed environments. Subtle strain-level variations in rnicronutrient (Se, humics) requirements and interaction with associated bacterial flora may provide a partial explanation for the contrasting inshore (Tasmanian), and offshore (Spain, Mexico) bloom patterns by the same species in different geographic regions. (C) 2011 Elsevier B.V. All rights reserved.</t>
  </si>
  <si>
    <t>[Hallegraeff, G. M.] Univ Tasmania, Inst Marine &amp; Antarctic Studies, Hobart, Tas 7001, Australia; [Blackburn, S. I.] CSIRO Marine &amp; Atmospher Res, Hobart, Tas 7001, Australia; [Doblin, M. A.] Univ Technol Sydney, Sydney, NSW 2007, Australia; [Bolch, C. J. S.] Univ Tasmania, Australian Maritime Coll, Natl Ctr Marine Conservat &amp; Resource Sustainabil, Launceston, Tas 7250, Australia</t>
  </si>
  <si>
    <t>University of Tasmania; Commonwealth Scientific &amp; Industrial Research Organisation (CSIRO); University of Technology Sydney; University of Tasmania; Australian Maritime College</t>
  </si>
  <si>
    <t>Hallegraeff, GM (corresponding author), Univ Tasmania, Inst Marine &amp; Antarctic Studies, Private Bag 55, Hobart, Tas 7001, Australia.</t>
  </si>
  <si>
    <t>Hallegraeff@utas.edu.au</t>
  </si>
  <si>
    <t>Doblin, Martina/L-1804-2019; Blackburn, Susan I/M-9955-2013; Bolch, Christopher J/J-7619-2014; Hallegraeff, Gustaaf/C-8351-2013</t>
  </si>
  <si>
    <t>Doblin, Martina/0000-0001-8750-3433; Hallegraeff, Gustaaf/0000-0001-8464-7343</t>
  </si>
  <si>
    <t>10.1016/j.hal.2011.10.018</t>
  </si>
  <si>
    <t>899LS</t>
  </si>
  <si>
    <t>WOS:000300818000009</t>
  </si>
  <si>
    <t>Krzyscin, JW</t>
  </si>
  <si>
    <t>Krzyscin, J. W.</t>
  </si>
  <si>
    <t>Onset of the total ozone increase based on statistical analyses of global ground-based data for the period 1964-2008</t>
  </si>
  <si>
    <t>INTERNATIONAL JOURNAL OF CLIMATOLOGY</t>
  </si>
  <si>
    <t>stratospheric ozone; trend; ozone recovery; statistical models</t>
  </si>
  <si>
    <t>STRATOSPHERIC EP FLUX; TREND ANALYSIS; VARIABILITY</t>
  </si>
  <si>
    <t>The zonally averaged total column ozone from ground-based observations for the period 19642008 is being examined to detect changes in the trend pattern. The ozone long-term changes for the periods 19801995 and 19962008 are estimated through the use of a triad of regression models that differ in the description of a trend term. The trend term could be proportional to the amount of ozone-depleting substances in the atmosphere, or has a piecewise linear form with turning points in 1980 and 1996, or described by any smooth curve. The standard indices of the ozone dynamical drivers: 10.7 cm solar flux, zonal component of the stratospheric wind in the tropics, the Arctic, and Antarctic Oscillation index, and the vertical component of the Eliassen-Palm flux are used to parameterise the ozone response to changes in the atmospheric dynamics. The trends are calculated separately for each season and for the entire year by using the aggregated monthly mean data over broad latitudinal zones: SH polar (90 S-65 S), SH midlatitudes (60 degrees S-30 S), Tropics (25 degrees S-25 N), NH midlatitudes (30 N-60 N), NH polar (65 degrees N-90 N), 50 degrees S-50 N band, and the entire globe (90 degrees S-90 N). All versions of the trend model give statistically significant (at the 95% confidence level) positive trends of similar to 0.5-1.0% per decade for the period 1996-2008 over the whole globe (boreal spring), and over 50 degrees S-50 N zone (boreal summer and the entire year). An agreement between trend values by various trend models with different parameterisation of the dynamically driven ozone variations builds a strong support for changes in the trend pattern since the mid-1990s. Copyright (C) 2010 Royal Meteorological Society</t>
  </si>
  <si>
    <t>Polish Acad Sci, Inst Geophys, PL-01452 Warsaw, Poland</t>
  </si>
  <si>
    <t>Polish Academy of Sciences; Institute of Geophysics of the Polish Academy of Sciences</t>
  </si>
  <si>
    <t>Krzyscin, JW (corresponding author), Polish Acad Sci, Inst Geophys, 64 Ksiecia Janusza St, PL-01452 Warsaw, Poland.</t>
  </si>
  <si>
    <t>jkrzys@igf.edu.pl</t>
  </si>
  <si>
    <t>Krzyscin, Janusz/0000-0002-3138-3951</t>
  </si>
  <si>
    <t>State of Environment in Poland [40/2008/F]</t>
  </si>
  <si>
    <t>State of Environment in Poland</t>
  </si>
  <si>
    <t>This study has been partially funded by the State of Environment in Poland under Contract No. 40/2008/F. The author would like to thank anonymous reviewers for constructive comments and suggestions which helped improve this paper.</t>
  </si>
  <si>
    <t>0899-8418</t>
  </si>
  <si>
    <t>INT J CLIMATOL</t>
  </si>
  <si>
    <t>Int. J. Climatol.</t>
  </si>
  <si>
    <t>10.1002/joc.2264</t>
  </si>
  <si>
    <t>876JE</t>
  </si>
  <si>
    <t>WOS:000299103000007</t>
  </si>
  <si>
    <t>Hauck, J; Gerdes, D; Hillenbrand, CD; Hoppema, M; Kuhn, G; Nehrke, G; Völker, C; Wolf-Gladrow, DA</t>
  </si>
  <si>
    <t>Hauck, Judith; Gerdes, Dieter; Hillenbrand, Claus-Dieter; Hoppema, Mario; Kuhn, Gerhard; Nehrke, Gernot; Voelker, Christoph; Wolf-Gladrow, Dieter A.</t>
  </si>
  <si>
    <t>Distribution and mineralogy of carbonate sediments on Antarctic shelves</t>
  </si>
  <si>
    <t>Southern Ocean; Feedback; Ocean acidification; Macrozoobenthos; Carbon cycle</t>
  </si>
  <si>
    <t>TERRA-NOVA BAY; WEDDELL SEA SHELF; ROSS SEA; NEOGLOBOQUADRINA-PACHYDERMA; QUANTITATIVE INVESTIGATIONS; LATERNULA-ELLIPTICA; OCEAN ACIDIFICATION; BENTHIC COMMUNITIES; SURFACE SEDIMENTS; VERTICAL FLUX</t>
  </si>
  <si>
    <t>We analyzed 214 new core-top samples for their CaCO3 content from shelves all around Antarctica in order to understand their distribution and contribution to the marine carbon cycle. The distribution of sedimentary CaCO3 on the Antarctic shelves is connected to environmental parameters where we considered water depth, width of the shelf, sea-ice coverage and primary production. While CaCO3 contents of surface sediments are usually low, high (&gt;15%) CaCO3 contents occur at shallow water depths (150-200 m) on the narrow shelves of the eastern Weddell Sea and at a depth range of 600-900 m on the broader and deeper shelves of the Amundsen, Bellingshausen and western Weddell Seas. Regions with high primary production, such as the Ross Sea and the western Antarctic Peninsula region, have generally low CaCO3 contents in the surface sediments. The predominant mineral phase of CaCO3 on the Antarctic shelves is low-magnesium calcite. With respect to ocean acidification, our findings suggest that dissolution of carbonates in Antarctic shelf sediments may be an important negative feedback only after the onset of calcite undersaturation on the Antarctic shelves. Macrozoobenthic CaCO3 standing stocks do not increase the CaCO3 budget significantly as they are two orders of magnitude lower than the budget of the sediments. This first circumpolar compilation of Antarctic shelf carbonate data does not claim to be complete. Future studies are encouraged and needed to fill data gaps especially in the under-sampled southwest Pacific and Indian Ocean sectors of the Southern Ocean. (C) 2011 Elsevier BM. All rights reserved.</t>
  </si>
  <si>
    <t>[Hauck, Judith; Gerdes, Dieter; Hoppema, Mario; Kuhn, Gerhard; Nehrke, Gernot; Voelker, Christoph; Wolf-Gladrow, Dieter A.] Alfred Wegener Inst Polar &amp; Marine Res, D-27515 Bremerhaven, Germany; [Hillenbrand, Claus-Dieter] British Antarctic Survey, Cambridge CB3 0ET, England</t>
  </si>
  <si>
    <t>Helmholtz Association; Alfred Wegener Institute, Helmholtz Centre for Polar &amp; Marine Research; UK Research &amp; Innovation (UKRI); Natural Environment Research Council (NERC); NERC British Antarctic Survey</t>
  </si>
  <si>
    <t>Hauck, J (corresponding author), Alfred Wegener Inst Polar &amp; Marine Res, Postfach 12 01 61, D-27515 Bremerhaven, Germany.</t>
  </si>
  <si>
    <t>judith.hauck@awi.de; dieter.gerdes@awi.de; hilc@bas.ac.uk; mario.hoppema@awi.de; gerhard.kuhn@awi.de; gernot.nehrke@awi.de; christoph.voelker@awi.de; dieter.wolf-gladrow@awi.de</t>
  </si>
  <si>
    <t>Voelker, Christoph/I-7891-2012; Hauck, Judith/AAC-3967-2019; Hoppema, Mario/I-6286-2013</t>
  </si>
  <si>
    <t>Voelker, Christoph/0000-0003-3032-114X; Hauck, Judith/0000-0003-4723-9652; Hoppema, Mario/0000-0002-2326-619X; Kuhn, Gerhard/0000-0001-6069-7485; Wolf-Gladrow, Dieter/0000-0001-9531-8668; Nehrke, Gernot/0000-0002-2851-3049</t>
  </si>
  <si>
    <t>Federal Ministry of Education and Research (BMBF) [FKZ 03F0608B]; U.S. National Science Foundation; NERC [bosc01001, bas0100027] Funding Source: UKRI; Natural Environment Research Council [bosc01001, bas0100027] Funding Source: researchfish</t>
  </si>
  <si>
    <t>Federal Ministry of Education and Research (BMBF)(Federal Ministry of Education &amp; Research (BMBF)); U.S. National Science Foundation(National Science Foundation (NSF)); NERC(UK Research &amp; Innovation (UKRI)Natural Environment Research Council (NERC)); Natural Environment Research Council(UK Research &amp; Innovation (UKRI)Natural Environment Research Council (NERC))</t>
  </si>
  <si>
    <t>This paper is a contribution to the German project Biological Impacts of Ocean ACIDification (BIOACID), funded by the Federal Ministry of Education and Research (BMBF, FKZ 03F0608B). This research used samples provided by the Antarctic Marine Geology Research Facility (AMGRF) at Florida State University. The AMGRF is sponsored by the U.S. National Science Foundation. The British Ocean Sediment Core Research Facility (BOSCORF) is thanked for supplying sediment samples. We are grateful to Patrick Monien for bringing sediment samples from near Jubany station, King George Island.</t>
  </si>
  <si>
    <t>10.1016/j.jmarsys.2011.09.005</t>
  </si>
  <si>
    <t>Green Accepted, Green Submitted, hybrid</t>
  </si>
  <si>
    <t>WOS:000296997300008</t>
  </si>
  <si>
    <t>Alderkamp, AC; Kulk, G; Buma, AGJ; Visser, RJW; Van Dijken, GL; Mills, MM; Arrigo, KR</t>
  </si>
  <si>
    <t>Alderkamp, Anne-Carlijn; Kulk, Gemma; Buma, Anita G. J.; Visser, Ronald J. W.; Van Dijken, Gert L.; Mills, Matthew M.; Arrigo, Kevin R.</t>
  </si>
  <si>
    <t>THE EFFECT OF IRON LIMITATION ON THE PHOTOPHYSIOLOGY OF PHAEOCYSTIS ANTARCTICA (PRYMNESIOPHYCEAE) AND FRAGILARIOPSIS CYLINDRUS (BACILLARIOPHYCEAE) UNDER DYNAMIC IRRADIANCE</t>
  </si>
  <si>
    <t>Antarctic; diatom; iron; nonphotochemical quenching; Phaeocystis; photoinhibition; photoprotection; photosynthesis; Ross Sea; xanthophyll</t>
  </si>
  <si>
    <t>SOUTHERN-OCEAN PHYTOPLANKTON; PHAEODACTYLUM-TRICORNUTUM BACILLARIOPHYCEAE; PHOTOSYNTHETIC ELECTRON-TRANSPORT; SPECTRAL ABSORPTION-COEFFICIENTS; ROSS SEA; PHOTOSYSTEM-II; CHLOROPHYLL FLUORESCENCE; MARINE DIATOM; TAXONOMIC VARIABILITY; ULTRAVIOLET-RADIATION</t>
  </si>
  <si>
    <t>The effects of iron limitation on photoacclimation to dynamic irradiance were studied in Phaeocystis antarctica G. Karst. and Fragilariopsis cylindrus (Grunow) W. Krieg. in terms of growth rate, photosynthetic parameters, pigment composition, and fluorescence characteristics. Under dynamic light conditions mimicking vertical mixing below the euphotic zone, P. antarctica displayed higher growth rates than F. cylindrus both under iron (Fe)replete and Fe-limiting conditions. Both species showed xanthophyll de-epoxidation that was accompanied by low levels of nonphotochemical quenching (NPQ) during the irradiance maximum of the light cycle. The potential for NPQ at light levels corresponding to full sunlight was substantial in both species and increased under Fe limitation in F. cylindrus. Although the decline in Fv/Fm under Fe limitation was similar in both species, the accompanying decrease in the maximum rate of photosynthesis and growth rate was much stronger in F. cylindrus. Analysis of the electron transport rates through PSII and on to carbon (C) fixation revealed a large potential for photoprotective cyclic electron transport (CET) in F. cylindrus, particularly under Fe limitation. Probably, CET aided the photoprotection in F. cylindrus, but it also reduced photosynthetic efficiency at higher light intensities. P. antarctica, on the other hand, was able to efficiently use electrons flowing through PSII for C fixation at all light levels, particularly under Fe limitation. Thus, Fe limitation enhanced the photophysiological differences between P. antarctica and diatoms, supporting field observations where P. antarctica is found to dominate deeply mixed water columns, whereas diatoms dominate shallower mixed layers.</t>
  </si>
  <si>
    <t>[Alderkamp, Anne-Carlijn; Kulk, Gemma; Buma, Anita G. J.; Visser, Ronald J. W.] Univ Groningen, Dept Ocean Ecosyst, Energy &amp; Sustainabil Res Inst, NL-9747 AG Groningen, Netherlands; [Alderkamp, Anne-Carlijn; Van Dijken, Gert L.; Mills, Matthew M.; Arrigo, Kevin R.] Stanford Univ, Dept Environm Earth Syst Sci, Stanford, CA 94305 USA</t>
  </si>
  <si>
    <t>University of Groningen; Stanford University</t>
  </si>
  <si>
    <t>Alderkamp, AC (corresponding author), Univ Groningen, Dept Ocean Ecosyst, Energy &amp; Sustainabil Res Inst, Nijenborgh 7, NL-9747 AG Groningen, Netherlands.</t>
  </si>
  <si>
    <t>alderkamp@stanford.edu</t>
  </si>
  <si>
    <t>Van Dijken, Gert L/C-5276-2011; Buma, Anita GJ/E-8372-2015</t>
  </si>
  <si>
    <t>Kulk, Gemma/0000-0002-0224-7547; Van Dijken, Gert/0000-0002-9587-6317; Arrigo, Kevin/0000-0002-7364-876X</t>
  </si>
  <si>
    <t>Netherlands Organization for Scientific Research (NWO); Netherlands AntArctic Programme (NAAP) [851.20.041]; National Science Foundation (NSF) [ANT-0232535]</t>
  </si>
  <si>
    <t>Netherlands Organization for Scientific Research (NWO)(Netherlands Organization for Scientific Research (NWO)); Netherlands AntArctic Programme (NAAP); National Science Foundation (NSF)(National Science Foundation (NSF))</t>
  </si>
  <si>
    <t>This work was funded by the Netherlands Organization for Scientific Research (NWO), Netherlands AntArctic Programme (NAAP grant 851.20.041) and by the National Science Foundation (NSF grant #ANT-0232535 to K. R. A.).</t>
  </si>
  <si>
    <t>10.1111/j.1529-8817.2011.01098.x</t>
  </si>
  <si>
    <t>WOS:000299730600004</t>
  </si>
  <si>
    <t>de Oliveira, SMB; Pessenda, LCR; Favaro, DIT; Babinski, M</t>
  </si>
  <si>
    <t>Barros de Oliveira, Sonia Maria; Ruiz Pessenda, Luiz Carlos; Teixeira Favaro, Deborah Ines; Babinski, Marly</t>
  </si>
  <si>
    <t>A 2400-year record of trace metal loading in lake sediments of Lagoa Vermelha, southeastern Brazil</t>
  </si>
  <si>
    <t>JOURNAL OF SOUTH AMERICAN EARTH SCIENCES</t>
  </si>
  <si>
    <t>Lake sediments; Metals; Pb stable isotopes; Atmospheric fallout</t>
  </si>
  <si>
    <t>ATMOSPHERIC DEPOSITION; MERCURY ACCUMULATION; ANTHROPOGENIC LEAD; ANTARCTIC SNOW; HEAVY-METALS; PEAT BOG; GEOCHEMISTRY; POLLUTION; PROFILES; ISOTOPES</t>
  </si>
  <si>
    <t>Sediments of the Lagoa Vermelha (Red Lake), situated in the Ribeira Valley, southeastern Brazil, are made of a homogeneous, organic-rich, black clay with no visible sedimentary structures. The inorganic geochemical record (Al, As, Ba, Br, Co,Cs, Cr, Fe, Mn, Ni, Rb, Sc, Sb, V, Zn, Hg and Pb) of the lake sediments was analyzed in a core spanning 2430 years. The largest temporal changes in trace metal contents occurred approximately within the last 180 years. Recent sediments were found to be enriched in Pb, Zn, Hg, Ni, Mn, Br and Sb (more than 2-fold increase with respect to the natural background level). The enhanced accumulation of Br, Sb, and Mn was attributed to biogeochemical processes and diagenesis. On the other hand, the anomalous concentrations of Pb, Zn, Hg and Ni were attributed to pollution. As Lagoa Vermelha is located in a relatively pristine area, far removed from direct contamination sources, the increased metal contents of surface sediments most likely resulted from atmospheric fallout. Stable Pb isotopes provided additional evidence for anthropogenic contamination. The shift of Pb-206/Pb-207 ratios toward decreasing values in the increasingly younger sediments is consistent with an increasing contribution of airborne anthropogenic lead. In the uppermost sediments (0-10 cm), the lowest values of the Pb-206/Pb-207 ratios may reflect the influence of the less radiogenic Pb from the Ribeira Valley District ores (Pb-206/Pb-207 between 1.04 and 1.10), emitted during the last 50 years. (C) 2011 Elsevier Ltd. All rights reserved.</t>
  </si>
  <si>
    <t>[Barros de Oliveira, Sonia Maria; Babinski, Marly] Univ Sao Paulo, Inst Geosci, BR-05508080 Sao Paulo, Brazil; [Ruiz Pessenda, Luiz Carlos] Univ Sao Paulo, Ctr Nucl Energy Agr, Lab 14C, BR-13416000 Piracicaba, SP, Brazil; [Teixeira Favaro, Deborah Ines] IPEN, Inst Nucl &amp; Energet Res, Sao Paulo, Brazil</t>
  </si>
  <si>
    <t>Universidade de Sao Paulo; Universidade de Sao Paulo; Comissao Nacional de Energia Nuclear (CNEN); Instituto de Pesquisas Energeticas e Nucleares (IPEN)</t>
  </si>
  <si>
    <t>de Oliveira, SMB (corresponding author), Univ Sao Paulo, Inst Geosci, Rua Lago 562, BR-05508080 Sao Paulo, Brazil.</t>
  </si>
  <si>
    <t>soniaoli@usp.br; pessenda@cena.usp.br; defavaro@ipen.br; babinski@usp.br</t>
  </si>
  <si>
    <t>Pessenda, Luiz C.R./G-1776-2012; Babinski, Marly/B-9403-2013; Favaro, Deborah Ines Teixeira/AAJ-6136-2021</t>
  </si>
  <si>
    <t>Babinski, Marly/0000-0003-2444-2404; Favaro, Deborah Ines Teixeira/0000-0002-0083-2523; Ruiz Pessenda, Luiz Carlos/0000-0001-9119-8195</t>
  </si>
  <si>
    <t>CNPq; FAPESP</t>
  </si>
  <si>
    <t>CNPq(Conselho Nacional de Desenvolvimento Cientifico e Tecnologico (CNPQ)); FAPESP(Fundacao de Amparo a Pesquisa do Estado de Sao Paulo (FAPESP))</t>
  </si>
  <si>
    <t>The authors are grateful to Abdel Siffedine, IRD, France and Renato C. Cordeiro, Federal Fluminense University, Rio de Janeiro, Brazil, for help with the sampling operation, to Jaime R. Passarini Jr., 14C Laboratory, CENA/USP, for sample preparation for 14C dating, and to two anonymous reviewers for valuable comments on the manuscript. The Brazilian agencies CNPq and FAPESP are acknowledged for financial support.</t>
  </si>
  <si>
    <t>0895-9811</t>
  </si>
  <si>
    <t>J S AM EARTH SCI</t>
  </si>
  <si>
    <t>J. South Am. Earth Sci.</t>
  </si>
  <si>
    <t>10.1016/j.jsames.2011.07.007</t>
  </si>
  <si>
    <t>899KR</t>
  </si>
  <si>
    <t>WOS:000300815300001</t>
  </si>
  <si>
    <t>Yukimoto, S; Adachi, Y; Hosaka, M; Sakami, T; Yoshimura, H; Hirabara, M; Tanaka, TY; Shindo, E; Tsujino, H; Deushi, M; Mizuta, R; Yabu, S; Obata, A; Nakano, H; Koshiro, T; Ose, T; Kitoh, A</t>
  </si>
  <si>
    <t>Yukimoto, Seiji; Adachi, Yukimasa; Hosaka, Masahiro; Sakami, Tomonori; Yoshimura, Hiromasa; Hirabara, Mikitoshi; Tanaka, Taichu Y.; Shindo, Eiki; Tsujino, Hiroyuki; Deushi, Makoto; Mizuta, Ryo; Yabu, Shoukichi; Obata, Atsushi; Nakano, Hideyuki; Koshiro, Tsuyoshi; Ose, Tomoaki; Kitoh, Akio</t>
  </si>
  <si>
    <t>A New Global Climate Model of the Meteorological Research Institute: MRI-CGCM3-Model Description and Basic Performance</t>
  </si>
  <si>
    <t>JOURNAL OF THE METEOROLOGICAL SOCIETY OF JAPAN</t>
  </si>
  <si>
    <t>SEA-SURFACE TEMPERATURE; OPTICAL DEPTH PERTURBATIONS; DROPLET SIZE DISTRIBUTION; TURBULENCE CLOSURE-MODEL; YAMADA LEVEL-3 MODEL; BOUNDARY-LAYER; RADIATIVE PROPERTIES; CLOUD MICROPHYSICS; VOLCANIC-ERUPTIONS; AEROSOL ACTIVATION</t>
  </si>
  <si>
    <t>A new global climate model, MRI-CGCM3, has been developed at the Meteorological Research Institute (MRI). This model is an overall upgrade of MRI's former climate model MRI-CGCM2 series. MRI-CGCM3 is composed of atmosphere-land, aerosol, and ocean-ice models, and is a subset of the MRI's earth system model MRI-ESMI. Atmospheric component MRI-AGCM3 is interactively coupled with aerosol model to represent direct and indirect effects of aerosols with a new cloud microphysics scheme. Basic experiments for pre-industrial control, historical and climate sensitivity are performed with MRI-CGCM3. In the pre-industrial control experiment, the model exhibits very stable behavior without climatic drifts, at least in the radiation budget, the temperature near the surface and the major indices of ocean circulations. The sea surface temperature (SST) drift is sufficiently small, while there is a 1 W m(-2) heating imbalance at the surface. The model's climate sensitivity is estimated to be 2.11 K with Gregory's method. The transient climate response (TCR) to 1 % yr(-1) increase of carbon dioxide (CO2) concentration is 1.6 K with doubling of CO2 concentration and 4.1 K with quadrupling of CO2 concentration. The simulated present-day mean climate in the historical experiment is evaluated by comparison with observations, including reanalysis. The model reproduces the overall mean climate, including seasonal variation in various aspects in the atmosphere and the oceans. Variability in the simulated climate is also evaluated and is found to be realistic, including El Nino and Southern Oscillation and the Arctic and Antarctic oscillations. However, some important issues are identified. The simulated SST indicates generally cold bias in the Northern Hemisphere (NH) and warm bias in the Southern Hemisphere (SH), and the simulated sea ice expands excessively in the North Atlantic in winter. A double ITCZ also appears in the tropical Pacific, particularly in the austral summer.</t>
  </si>
  <si>
    <t>[Yukimoto, Seiji] Meteorol Res Inst, Climate Res Dept, Tsukuba, Ibaraki 3050052, Japan</t>
  </si>
  <si>
    <t>Meteorological Research Institute - Japan</t>
  </si>
  <si>
    <t>Yukimoto, S (corresponding author), Meteorol Res Inst, Climate Res Dept, 1-1 Nagamine, Tsukuba, Ibaraki 3050052, Japan.</t>
  </si>
  <si>
    <t>yukimoto@mri-jma.go.jp</t>
  </si>
  <si>
    <t>sugi, masato/P-9076-2014; Kitoh, Akio/HZH-3587-2023; Kitoh, Akio/F-1765-2010; Shindo, Eiki/HKP-2488-2023; Koshiro, Tsuyoshi/AGL-8595-2022</t>
  </si>
  <si>
    <t>Koshiro, Tsuyoshi/0000-0003-2971-7446; Deushi, Makoto/0000-0002-0373-3918; Tanaka, Taichu Yasumichi/0000-0003-0600-2122</t>
  </si>
  <si>
    <t>Ministry of Education, Culture, Sports, Science, and Technology (MEXT); JMA; Grants-in-Aid for Scientific Research [23221004] Funding Source: KAKEN</t>
  </si>
  <si>
    <t>Ministry of Education, Culture, Sports, Science, and Technology (MEXT)(Ministry of Education, Culture, Sports, Science and Technology, Japan (MEXT)); JMA; Grants-in-Aid for Scientific Research(Ministry of Education, Culture, Sports, Science and Technology, Japan (MEXT)Japan Society for the Promotion of ScienceGrants-in-Aid for Scientific Research (KAKENHI))</t>
  </si>
  <si>
    <t>The atmospheric model development is based upon JMA's operational weather prediction model, which is the result of enormous efforts by numerous personnel at JMA, especially in the Numerical Prediction Division. Other component models are based on the results of research efforts by the personnel at MRI, especially in the Climate Research Department, Oceanographic Research Department, and Atmospheric Environment and Applied Meteorology Research Department. This work was conducted under the framework of the Comprehensive Projection of Climate Change around Japan due to Global Warming supported by JMA, and partly supported by the KAKUSHIN Program of the Ministry of Education, Culture, Sports, Science, and Technology (MEXT). The calculations were performed on the HITACHI SR16000 located at MRI.</t>
  </si>
  <si>
    <t>METEOROLOGICAL SOC JAPAN</t>
  </si>
  <si>
    <t>C/O JAPAN METEOROLOGICAL AGENCY 1-3-4 OTE-MACHI, CHIYODA-KU, TOKYO, 100-0004, JAPAN</t>
  </si>
  <si>
    <t>0026-1165</t>
  </si>
  <si>
    <t>2186-9057</t>
  </si>
  <si>
    <t>J METEOROL SOC JPN</t>
  </si>
  <si>
    <t>J. Meteorol. Soc. Jpn.</t>
  </si>
  <si>
    <t>90A</t>
  </si>
  <si>
    <t>10.2151/jmsj.2012-A02</t>
  </si>
  <si>
    <t>946VP</t>
  </si>
  <si>
    <t>WOS:000304385900003</t>
  </si>
  <si>
    <t>Staniland, IJ; Robinson, SL; Silk, JRD; Warren, N; Trathan, PN</t>
  </si>
  <si>
    <t>Staniland, Iain J.; Robinson, S. L.; Silk, J. R. D.; Warren, N.; Trathan, P. N.</t>
  </si>
  <si>
    <t>Winter distribution and haul-out behaviour of female Antarctic fur seals from South Georgia</t>
  </si>
  <si>
    <t>ARCTOCEPHALUS-GAZELLA; SURFACE TEMPERATURE; CALLORHINUS-URSINUS; ACTIVITY PATTERNS; ELEPHANT SEALS; LEOPARD SEALS; PENGUINS; GEOLOCATION; MOVEMENTS; OCEAN</t>
  </si>
  <si>
    <t>Telemetry-based techniques have revealed the foraging patterns of many land breeding marine predators, especially during the summer breeding season. However, during the winter, when freed from the constraints of provisioning their young, such animals are more difficult to track. Using geolocation (Global Location Sensing, GLS) loggers and satellite tags (Platform Terminal Transmitters, PTTs) we successfully tracked 16 female Antarctic fur seals from South Georgia during the austral winter. The majority of females concentrated their winter foraging in the waters around the breeding beaches (90% of locations were within 510 km). However, as the winter progressed, two of the seals spent a number of months to the south, in and around the seasonal ice edge, and five seals migrated north and northwest from South Georgia. Four of these seals clearly crossed the Polar Front and two reached the Patagonian Shelf, apparently exploiting the continental shelf edge and the Subantarctic Front. Activity (saltwater immersion) data suggested that seals spent the majority of the winter months at sea but there were rare occasions when seals hauled out, either on land or on ice floes. We obtained data from two individuals that enabled us to compare the performance of PTT and GLS devices. For these seals the mean distance between GLS and PTT locations was 122 and 132 km. Although the recovery rates were low in this study, given improvements in attachment techniques, we have demonstrated that these micro-geolocation loggers provide an ideal tool with which to study the long-term dispersal of diving marine predators at larger scales. This is the first study to show that female fur seals from South Georgia remain at sea for almost the entirety of the non-breeding winter period. Using land-based observations it has been assumed that the fur seal population at South Georgia has little temporal overlap with the krill fishery that operates mostly during the winter months in this region. We have shown that a large proportion of the female fur seals that breed on South Georgia potentially remain in the vicinity of the island and are thus in direct competition with the region's fisheries activities.</t>
  </si>
  <si>
    <t>[Staniland, Iain J.; Robinson, S. L.; Silk, J. R. D.; Warren, N.; Trathan, P. N.] British Antarctic Survey, Cambridge CB3 0ET, England</t>
  </si>
  <si>
    <t>Staniland, IJ (corresponding author), British Antarctic Survey, Madingley Rd, Cambridge CB3 0ET, England.</t>
  </si>
  <si>
    <t>ijst@bas.ac.uk</t>
  </si>
  <si>
    <t>Staniland, Iain/I-4725-2012</t>
  </si>
  <si>
    <t>Staniland, Iain/0000-0003-2736-9134</t>
  </si>
  <si>
    <t>Bird Island research station; NERC [bas0100025] Funding Source: UKRI; Natural Environment Research Council [bas0100025] Funding Source: researchfish</t>
  </si>
  <si>
    <t>Bird Island research station; NERC(UK Research &amp; Innovation (UKRI)Natural Environment Research Council (NERC)); Natural Environment Research Council(UK Research &amp; Innovation (UKRI)Natural Environment Research Council (NERC))</t>
  </si>
  <si>
    <t>We thank all the staff at the Bird Island research station for their help and support and also Keith Reid. Two anonymous referees provided useful comments on an earlier draft. This work forms part of the Ecosystems programme of the British Antarctic Survey. All methods undertaken were approved by the ethics committee at the British Antarctic Survey in conjunction with the University of Cambridge.</t>
  </si>
  <si>
    <t>10.1007/s00227-011-1807-3</t>
  </si>
  <si>
    <t>877RG</t>
  </si>
  <si>
    <t>WOS:000299199000005</t>
  </si>
  <si>
    <t>Shin, SC; Cho, J; Lee, JK; Ahn, DH; Lee, H; Park, H</t>
  </si>
  <si>
    <t>Shin, Seung Chul; Cho, Jin; Lee, Jong Kyu; Ahn, Do Hwan; Lee, Hyoungseok; Park, Hyun</t>
  </si>
  <si>
    <t>Complete mitochondrial genome of the Antarctic amphipod Gondogeneia antarctica (Crustacea, amphipod)</t>
  </si>
  <si>
    <t>MITOCHONDRIAL DNA</t>
  </si>
  <si>
    <t>Antarctic; Gondogeneia antarctica; complete mitochondrial genome</t>
  </si>
  <si>
    <t>RADIATION; EXPOSURE</t>
  </si>
  <si>
    <t>The complete sequence of the mitochondrial genome of the Antarctic amphipod Gondogeneia antarctica was determined to be 18,424 bp in length, and to contain 13 protein-coding genes (PCGs), 22 tRNA genes, and large (rrnL) and small (rrnS) rRNA genes. Its total A + T content is 70.1%. The G. antarctica mitogenome is the largest known among those of crustaceans, due to the existence of two relatively large intergenic non-coding sequences. The PCG arrangement of G. antarctica is identical to that of the ancestral pancrustacean ground pattern, although the tRNA arrangement differs somewhat. The complete mitogenome sequences of 68 species of pancrustacea have been added to the NCBI database, only 4 of which represent complete mitogenome sequences from amphipods. This is the first report of a mitogenome sequence of an Antarctic amphipod, and provides insights into the evolution of crustacean mitochondrial genomes, particularly in amphipods.</t>
  </si>
  <si>
    <t>[Shin, Seung Chul; Cho, Jin; Lee, Jong Kyu; Ahn, Do Hwan; Lee, Hyoungseok; Park, Hyun] Korea Polar Res Inst, Inchon 406840, South Korea; [Ahn, Do Hwan; Park, Hyun] Univ Sci &amp; Technol, Taejon 305333, South Korea</t>
  </si>
  <si>
    <t>Korea Institute of Ocean Science &amp; Technology (KIOST); Korea Polar Research Institute (KOPRI)</t>
  </si>
  <si>
    <t>Park, H (corresponding author), Korea Polar Res Inst, Songdo TechnoPark,12 Gaetbeol Ro, Inchon 406840, South Korea.</t>
  </si>
  <si>
    <t>Park, Hyun/0000-0002-8055-2010; Lee, Hyoungseok/0000-0002-5831-6345</t>
  </si>
  <si>
    <t>Functional Genomics on Polar Organisms Grant [PE11020]; Korea Polar Research Institute (KOPRI)</t>
  </si>
  <si>
    <t>Functional Genomics on Polar Organisms Grant; Korea Polar Research Institute (KOPRI)</t>
  </si>
  <si>
    <t>This study was supported by Functional Genomics on Polar Organisms Grant (PE11020) funded by Korea Polar Research Institute (KOPRI) to HP. The authors report no conflicts of interest. The authors alone are responsible for the content and writing of the paper.</t>
  </si>
  <si>
    <t>INFORMA HEALTHCARE</t>
  </si>
  <si>
    <t>TELEPHONE HOUSE, 69-77 PAUL STREET, LONDON EC2A 4LQ, ENGLAND</t>
  </si>
  <si>
    <t>1940-1736</t>
  </si>
  <si>
    <t>MITOCHONDR DNA</t>
  </si>
  <si>
    <t>Mitochondrial DNA</t>
  </si>
  <si>
    <t>10.3109/19401736.2011.643877</t>
  </si>
  <si>
    <t>884ZL</t>
  </si>
  <si>
    <t>WOS:000299747300004</t>
  </si>
  <si>
    <t>Tiao, G; Lee, CK; McDonald, IR; Cowan, DA; Cary, SC</t>
  </si>
  <si>
    <t>Tiao, Grace; Lee, Charles K.; McDonald, Ian R.; Cowan, Donald A.; Cary, S. Craig</t>
  </si>
  <si>
    <t>Rapid microbial response to the presence of an ancient relic in the Antarctic Dry Valleys</t>
  </si>
  <si>
    <t>SOIL ORGANIC-MATTER; VICTORIA LAND; TAYLOR VALLEY; MCMURDO SOUND; DIVERSITY; BIODIVERSITY; COMMUNITIES; ENVIRONMENT; ECOSYSTEMS; TURNOVER</t>
  </si>
  <si>
    <t>The extreme cold and aridity of the Antarctic McMurdo Dry Valleys have led to the longstanding belief that metabolic rates of soil microbiota are negligible, and that ecosystem changes take place over millennia. Here we report the first direct experimental evidence that soil microbial communities undergo rapid and lasting changes in response to contemporary environmental conditions. Mummified seals, curious natural artifacts found scattered throughout Dry Valleys, alter their underlying soil environment by stabilizing temperatures, elevating relative humidity and reducing ultraviolet exposure. In a unique, multi-year mummified seal transplantation experiment, we found that endemic Dry Valley microbial communities responded to these changes within 3 years, resulting in a sevenfold increase in CO2 flux and a significant reduction in biodiversity. These findings challenge prevailing ideas about Antarctic Dry Valley ecosystems and indicate that current and future environmental conditions may strongly influence the ecology of the dominant biota in the Dry Valleys.</t>
  </si>
  <si>
    <t>[Tiao, Grace; Lee, Charles K.; McDonald, Ian R.; Cary, S. Craig] Univ Waikato, Dept Biol Sci, Int Ctr Terr Antarctic Res, Hamilton 3240, New Zealand; [Tiao, Grace] Univ Oxford Merton Coll, Oxford OX1 4JD, England; [Tiao, Grace] Univ Western Cape, Inst Microbial Biotechnol &amp; Metagen, ZA-7535 Cape Town, South Africa; [Cary, S. Craig] Univ Delaware, Coll Earth Ocean &amp; Environm, Lewes, DE 19958 USA</t>
  </si>
  <si>
    <t>University of Waikato; University of Oxford; University of the Western Cape; University of Delaware</t>
  </si>
  <si>
    <t>Cary, SC (corresponding author), Univ Waikato, Dept Biol Sci, Int Ctr Terr Antarctic Res, Private Bag 3105, Hamilton 3240, New Zealand.</t>
  </si>
  <si>
    <t>lee, charles/AAW-6627-2021; McDonald, Ian R/A-4851-2008; Lee, Charles/AAC-9417-2019; Cowan, Donald A/E-3991-2012</t>
  </si>
  <si>
    <t>lee, charles/0000-0001-6906-4895; McDonald, Ian R/0000-0002-4847-6492; Lee, Charles/0000-0002-6562-4733; Cowan, Donald A/0000-0001-8059-861X; Cary, Stephen/0000-0002-2876-2387</t>
  </si>
  <si>
    <t>New Zealand Foundation for Research Science and Technology, Antarctica New Zealand; National Science Foundation [OPP-0739648, 0944560]; George Peabody Gardner Fellowship; New Zealand Foundation for Research, Science and Technology; New Zealand Marsden Foundation [UOW1003]; Directorate For Geosciences; Office of Polar Programs (OPP) [0739648, 0944560] Funding Source: National Science Foundation</t>
  </si>
  <si>
    <t>New Zealand Foundation for Research Science and Technology, Antarctica New Zealand(New Zealand Foundation for Research, Science and Technology); National Science Foundation(National Science Foundation (NSF)); George Peabody Gardner Fellowship; New Zealand Foundation for Research, Science and Technology(New Zealand Foundation for Research, Science and Technology); New Zealand Marsden Foundation(Royal Society of New ZealandMarsden Fund (NZ)); Directorate For Geosciences; Office of Polar Programs (OPP)(National Science Foundation (NSF)NSF - Directorate for Geosciences (GEO))</t>
  </si>
  <si>
    <t>This work was supported through grants from the New Zealand Foundation for Research Science and Technology, Antarctica New Zealand, and the National Science Foundation (OPP-0739648 and 0944560) to S. C. C., and the study was partially conducted during the New Zealand Terrestrial Antarctic Biocomplexity Survey. G. T. was supported by a George Peabody Gardner Fellowship, and C. K. L. was supported by the New Zealand Foundation for Research, Science and Technology Postdoctoral Research Fellowship and the New Zealand Marsden Foundation (UOW1003). Dating of seal tissue samples was performed by the University of Waikato Carbon Dating Unit. Pyrosequencing of PCR amplicons was provided by Taxon Biosciences. We thank various participants of Antarctica New Zealand events K020 and K023 for their assistance in carrying out the fieldwork.</t>
  </si>
  <si>
    <t>10.1038/ncomms1645</t>
  </si>
  <si>
    <t>915XE</t>
  </si>
  <si>
    <t>WOS:000302060100001</t>
  </si>
  <si>
    <t>Kellermann, MY; Schubotz, F; Elvert, M; Lipp, JS; Birgel, D; Prieto-Mollar, X; Dubilier, N; Hinrichs, KU</t>
  </si>
  <si>
    <t>Kellermann, Matthias Y.; Schubotz, Florence; Elvert, Marcus; Lipp, Julius S.; Birgel, Daniel; Prieto-Mollar, Xavier; Dubilier, Nicole; Hinrichs, Kai-Uwe</t>
  </si>
  <si>
    <t>Symbiont-host relationships in chemosynthetic mussels: A comprehensive lipid biomarker study</t>
  </si>
  <si>
    <t>ORGANIC GEOCHEMISTRY</t>
  </si>
  <si>
    <t>CARBON ISOTOPIC FRACTIONATION; HYDROCARBON SEEP COMMUNITIES; FATTY-ACID CHARACTERISTICS; HYDROTHERMAL VENT MUSSEL; METHANOTROPHIC BACTERIA; STABLE-CARBON; MICROBIAL COMMUNITIES; MASS-SPECTROMETRY; COLD SEEPS; METHANE</t>
  </si>
  <si>
    <t>Symbiosis with chemosynthetic microorganisms allows invertebrates from hydrothermal vents and cold seeps, such as mussels, snails and tubeworms, to gain nutrition independently of organic input from photosynthetic communities. Lipid biomarkers and their compound specific stable carbon isotopes (delta C-13) have greatly aided the elucidation of chemosynthetic symbiosis. Due to recent methodological advances in liquid chromatography it is now possible to obtain a more holistic view of lipid biomarkers, including the analysis of intact polar membrane lipids (IPLs) and bacteriohopanepolyols (BHPs). This study provides an extensive examination of polar and apolar lipids in combination with stable carbon isotope analysis of three Bathymodiolus mussels (Bathymodiolus childressi, Bathymodiolus cf. thermophilus, Bathymodiolus brooksi) hosting different types of bacterial symbiont (methane-oxidizing, sulfur-oxidizing and a dual symbiosis with methane- and sulfur-oxidizing symbionts, respectively). We propose that IPLs with C-16:1 acyl side chains, and phosphatidylglycerol (PG), diphosphatidylglycerol (DPG) and phosphatidylethanolamine (PE) head groups, which were only detected in the gill tissue, can be used as symbiont-characteristic biomarkers. These putative symbiont-specific IPLs provide the opportunity to detect and quantify the methanotrophic and thiotrophic symbionts within the gill tissue. Additional characteristic markers for methanotrophic symbionts were found in B. childressi and B. brooksi, including the BHP derivatives aminotriol and aminotetrol, 4-methyl sterols and diagnostic fatty acids (FAs), such as C-16:1 omega 9, C-16:1 omega 8, and C-18:1 omega 8. In general, the delta C-13 values of FAs, alcohols and BHP-derived hopanols were in accordance with carbon assimilation pathways of the respective methanotrophic or thiotrophic symbionts in all three Bathymodiolus mussels. Differences in BHP distribution as well as delta C-13 values in the two mussels hosting a methanotrophic symbiont may indicate the presence of different methanotrophic symbionts and/or changes in the nutritional status. In all three mussel species the delta C-13 values of lipid biomarkers assigned to the symbionts were similar to those of the hosts, indicating the importance of the bacterial symbionts as the main carbon source for the mussel tissue. (C) 2011 Elsevier Ltd. All rights reserved.</t>
  </si>
  <si>
    <t>[Kellermann, Matthias Y.; Schubotz, Florence; Elvert, Marcus; Lipp, Julius S.; Birgel, Daniel; Prieto-Mollar, Xavier; Hinrichs, Kai-Uwe] Univ Bremen, Organ Geochem Grp, MARUM Ctr Marine Environm Sci, D-28359 Bremen, Germany; [Kellermann, Matthias Y.; Schubotz, Florence; Elvert, Marcus; Lipp, Julius S.; Birgel, Daniel; Prieto-Mollar, Xavier; Hinrichs, Kai-Uwe] Univ Bremen, Dept Geosci, D-28359 Bremen, Germany; [Dubilier, Nicole] Max Planck Inst Marine Microbiol, D-28359 Bremen, Germany; [Birgel, Daniel] Univ Vienna, Dept Geodynam &amp; Sedimentol, A-1090 Vienna, Austria</t>
  </si>
  <si>
    <t>University of Bremen; University of Bremen; Max Planck Society; University of Vienna</t>
  </si>
  <si>
    <t>Kellermann, MY (corresponding author), Univ Bremen, Organ Geochem Grp, MARUM Ctr Marine Environm Sci, Leobener Str, D-28359 Bremen, Germany.</t>
  </si>
  <si>
    <t>kellermann.matthias@gmail.com</t>
  </si>
  <si>
    <t>; Dubilier, Nicole/I-8203-2018; Hinrichs, Kai-Uwe/C-7675-2009</t>
  </si>
  <si>
    <t>Elvert, Marcus/0000-0003-3863-0975; Dubilier, Nicole/0000-0002-9394-825X; Hinrichs, Kai-Uwe/0000-0002-0739-9291</t>
  </si>
  <si>
    <t>Deutsche Forschungsgemeinschaft (through the Research Center/Excellence Cluster MARUM - Center for Marine Environmental Sciences); GLOMAR graduate school</t>
  </si>
  <si>
    <t>We thank the shipboard and scientific crew of the RV Sonne (SO 157) and the RV Atlantis II (Deep Sea Cruise 11 Leg I) equipped with the DSV Alvin for help with collecting the animal samples in the Gulf of Mexico and the Pacific-Antarctic Ridge. G. Wegener and M.Y. Yoshinaga are acknowledged for advice and critical reading of the manuscript. We would also like to thank two anonymous reviewers for constructive comments. The work was funded and supported by the Deutsche Forschungsgemeinschaft (through the Research Center/Excellence Cluster MARUM - Center for Marine Environmental Sciences) and the GLOMAR graduate school (to M.Y.K).</t>
  </si>
  <si>
    <t>0146-6380</t>
  </si>
  <si>
    <t>ORG GEOCHEM</t>
  </si>
  <si>
    <t>Org. Geochem.</t>
  </si>
  <si>
    <t>10.1016/j.orggeochem.2011.10.005</t>
  </si>
  <si>
    <t>885XP</t>
  </si>
  <si>
    <t>WOS:000299815000012</t>
  </si>
  <si>
    <t>Branco, PC; Pressinotti, LN; Borges, JCS; Iunes, RS; Kfoury, JR; da Silva, MO; Gonzalez, M; dos Santos, MF; Peck, LS; Cooper, EL; da Silva, JRMC</t>
  </si>
  <si>
    <t>Branco, Paola Cristina; Pressinotti, Leandro Nogueira; Shimada Borges, Joao Carlos; Iunes, Renata Stecca; Kfoury, Jose Roberto, Jr.; da Silva, Marcos Oliveira; Gonzalez, Marcelo; dos Santos, Marinilce Fagundes; Peck, Lloyd Samuel; Cooper, Edwin L.; Machado Cunha da Silva, Jose Roberto</t>
  </si>
  <si>
    <t>Cellular biomarkers to elucidate global warming effects on Antarctic sea urchin Sterechinus neumayeri</t>
  </si>
  <si>
    <t>Temperature rising; Global warming; Coelomocytes; Innate immune response; S. neumayeri</t>
  </si>
  <si>
    <t>MASS MORTALITY; RHO GTPASES; IN-VITRO; MARINE; STRONGYLOCENTROTUS; DISEASE; CELOMOCYTES; PHAGOCYTES; ECOLOGY; IMMUNITY</t>
  </si>
  <si>
    <t>Global warming is a reality and its effects have been widely studied. However, the consequences for marine invertebrates remain poorly understood. Thus, the present study proposed to evaluate the effect of elevated temperature on the innate immune system of Antarctic sea urchin Sterechinus neumayeri. Sea urchins were collected nearby Brazilian Antarctic Station Comandante Ferraz and exposed to 0 (control), 2 and 4A degrees C for periods of 48 h, 2, 7 and 14 days. After the experimental periods, coelomic fluid was collected in order to perform the following analyses: coelomocytes differential counting, phagocytic response, adhesion and spreading coelomocytes assay, intranuclear iron crystalloid and ultra structural analysis of coelomocytes. The red sphere cell was considered a biomarker for heat stress, as they increased in acute stress. Besides that, a significant increase in phagocytic indexes was observed at 2A degrees C coinciding with a significant increase of intranuclear iron crystalloid at the same temperature and same time period. Furthermore, significant alterations in cell adhesion and spreading were observed in elevated temperatures. The ultra structural analysis of coelomocytes showed no significant difference across treatments. This was the first time that innate immune response alterations were observed in response to elevated temperature in a Polar echinoid.</t>
  </si>
  <si>
    <t>[Branco, Paola Cristina; Pressinotti, Leandro Nogueira; Iunes, Renata Stecca; dos Santos, Marinilce Fagundes; Machado Cunha da Silva, Jose Roberto] Univ Sao Paulo, Inst Biomed Sci, Dept Cell &amp; Dev Biol, BR-05508900 Sao Paulo, Brazil; [Shimada Borges, Joao Carlos; da Silva, Marcos Oliveira] Sch Vet Med, Metropolitan United Fac, Sao Paulo, Brazil; [Kfoury, Jose Roberto, Jr.] Univ Sao Paulo, Sch Vet Med &amp; Anim Sci, Dept Surg, Sect Anat, BR-05508270 Sao Paulo, Brazil; [Gonzalez, Marcelo] Chilean Antarctic Inst, Antarctic Bioresources Lab, Punta Arenas 1055, Chile; [Peck, Lloyd Samuel] British Antarctic Survey, Ecosyst Programme, Cambridge CB3 0ET, England; [Cooper, Edwin L.] Univ Calif Los Angeles, David Geffen Sch Med, Dept Neurobiol, Lab Comparat Neuroimmunol, Los Angeles, CA USA</t>
  </si>
  <si>
    <t>Universidade de Sao Paulo; Centro Universitario das Faculdades Metropolitanas Unidas; Universidade de Sao Paulo; UK Research &amp; Innovation (UKRI); Natural Environment Research Council (NERC); NERC British Antarctic Survey; University of California System; University of California Los Angeles; University of California Los Angeles Medical Center; David Geffen School of Medicine at UCLA</t>
  </si>
  <si>
    <t>Branco, PC (corresponding author), Univ Sao Paulo, Inst Biomed Sci, Dept Cell &amp; Dev Biol, Av Prof Lineu Prestes 1524, BR-05508900 Sao Paulo, Brazil.</t>
  </si>
  <si>
    <t>pbranco@usp.br</t>
  </si>
  <si>
    <t>Silva, J.R.M.C./H-7496-2016; Santos, Marinilce F/G-9548-2011; Borges, João CS/B-9057-2012; Iunes, Renata Stecca/IZD-7734-2023; Iunes, Renata Stecca/AAY-4861-2021; Kfoury, Jose R/B-9985-2012; Branco, Paola C/H-4899-2014; González, Marcelo/ABF-1450-2020</t>
  </si>
  <si>
    <t>Silva, J.R.M.C./0000-0002-1687-8526; Santos, Marinilce F/0000-0002-3257-3327; Iunes, Renata Stecca/0000-0001-6034-3548; Iunes, Renata Stecca/0000-0001-6034-3548; Kfoury, Jose R/0000-0002-1284-4038; Gonzalez, Marcelo/0000-0001-9986-9504; Shimada Borges, Joao Carlos/0000-0002-3947-4655; Branco, Paola Cristina/0000-0002-0886-1222</t>
  </si>
  <si>
    <t>FAPESP; CAPES; CNPq; NERC [bas0100025, dml011000] Funding Source: UKRI; Natural Environment Research Council [bas0100025, dml011000] Funding Source: researchfish</t>
  </si>
  <si>
    <t>FAPESP(Fundacao de Amparo a Pesquisa do Estado de Sao Paulo (FAPESP)); CAPES(Coordenacao de Aperfeicoamento de Pessoal de Nivel Superior (CAPES)); CNPq(Conselho Nacional de Desenvolvimento Cientifico e Tecnologico (CNPQ)); NERC(UK Research &amp; Innovation (UKRI)Natural Environment Research Council (NERC)); Natural Environment Research Council(UK Research &amp; Innovation (UKRI)Natural Environment Research Council (NERC))</t>
  </si>
  <si>
    <t>The authors want to express their acknowledgements to Secirm (Secretaria Interministerial para os Recursos do Mar) and the Brazilian Navy for logistical support in Antarctica, CEBIMar-USP for supporting the pilot experiments and to FAPESP, CAPES and CNPq for financial support.</t>
  </si>
  <si>
    <t>10.1007/s00300-011-1063-5</t>
  </si>
  <si>
    <t>WOS:000298858100007</t>
  </si>
  <si>
    <t>Ainley, DG; Jongsomjit, D; Ballard, G; Thiele, D; Fraser, WR; Tynan, CT</t>
  </si>
  <si>
    <t>Ainley, David G.; Jongsomjit, Dennis; Ballard, Grant; Thiele, Deborah; Fraser, William R.; Tynan, Cynthia T.</t>
  </si>
  <si>
    <t>Modeling the relationship of Antarctic minke whales to major ocean boundaries</t>
  </si>
  <si>
    <t>Antarctic circumpolar current; Antarctic minke whale; Antarctic shelf break front; Climate change; Sea ice; Southern Ocean</t>
  </si>
  <si>
    <t>SOUTHERN-HEMISPHERE; SEA-ICE; SPECIES DISTRIBUTIONS; SAMPLE-SIZE; ROSS SEA; BELLINGSHAUSEN; PERFORMANCE; ABUNDANCE; AMUNDSEN; DENSITY</t>
  </si>
  <si>
    <t>The population size of Antarctic minke whales Balaenoptera bonaerensis has been changing simultaneously with profound changes in the physics, i.e., mesopredator habitat features, of the Southern Ocean. Although the two trends may not be related, distinguishing among the factors responsible requires a better understanding of minke whale habitat preferences. For the first time at a large geographic scale, i.e., between 140A degrees E and 35A degrees W, we use data not constrained by vessels needing to avoid sea ice to model the habitat affinities of this pagophilic mesopredator. Using Maxent, we modeled minke whale proximity to the Antarctic Shelf Break Front (ASBF) and the southern boundary of Antarctic Circumpolar Current (sbACC), as well as association with sea ice, given that global climate change is altering the positions or intensity of these features. We also included water depth and chlorophyll (proxy for productivity) as variables. Minke whale presence data were gathered using strip and line census on 55 cruises on board icebreakers during late spring and summer, 1976-2005. The most important variable was distance to ASBF, followed by water depth and sea-ice concentration. That is, found principally in waters south of the sbACC during summer, minke whales were most abundant near the outer edge of the continental shelf (shallow depth), including areas heavily covered by sea ice. We propose that as the sbACC moves south and sea ice disappears, as projected by global climate models, minke whale habitat will shrink, and likely intra- and inter-specific competition will increase.</t>
  </si>
  <si>
    <t>[Ainley, David G.] HT Harvey &amp; Associates, Los Gatos, CA 95032 USA; [Jongsomjit, Dennis; Ballard, Grant] PRBO Conservat Sci, Petaluma, CA 94954 USA; [Thiele, Deborah] Australian Natl Univ, Fenner Sch Environm &amp; Soc, Canberra, ACT, Australia; [Fraser, William R.] Polar Oceans Res Grp, Sheridan, MT 59749 USA; [Tynan, Cynthia T.] Associated Scientists Woods Hole Inc, W Falmouth, MA 02574 USA</t>
  </si>
  <si>
    <t>Australian National University</t>
  </si>
  <si>
    <t>Ainley, DG (corresponding author), HT Harvey &amp; Associates, Los Gatos, CA 95032 USA.</t>
  </si>
  <si>
    <t>dainley@penguinscience.com</t>
  </si>
  <si>
    <t>US Antarctic Program; Antarctic Sciences Division, of the US National Science Foundation (NSF) [ANT-0522043]; Directorate For Geosciences; Division Of Ocean Sciences [0814406] Funding Source: National Science Foundation; Office of Polar Programs (OPP); Directorate For Geosciences [0823101, 0944141, 0741351] Funding Source: National Science Foundation</t>
  </si>
  <si>
    <t>US Antarctic Program; Antarctic Sciences Division, of the US National Science Foundation (NSF)(National Science Foundation (NSF)); Directorate For Geosciences; Division Of Ocean Sciences(National Science Foundation (NSF)NSF - Directorate for Geosciences (GEO)); Office of Polar Programs (OPP); Directorate For Geosciences(National Science Foundation (NSF)NSF - Directorate for Geosciences (GEO))</t>
  </si>
  <si>
    <t>All of the data used in this analysis were gathered on vessels supported by the US Antarctic Program. Analysis was funded by a grant from Antarctic Organisms and Ecosystems Program, Antarctic Sciences Division, of the US National Science Foundation (NSF), ANT-0522043; and the writing by ANT-0440643. We thank S Veloz and L Salas for providing advice on modeling methods, A Friedlaender for critical comments on the ms, and T Branch and H Murase for educational discussion. This is a contribution of Southern Ocean GLOBEC (contribution 703), Palmer LTER program, and PRBO Conservation Science (contribution 1815). The authors have no financial stake in NSF and, likewise, what we say herein does not necessarily represent NSF's views.</t>
  </si>
  <si>
    <t>10.1007/s00300-011-1075-1</t>
  </si>
  <si>
    <t>WOS:000298858100012</t>
  </si>
  <si>
    <t>Mosbech, A; Johansen, KL; Bech, NI; Lyngs, P; Harding, AMA; Egevang, C; Phillips, RA; Fort, J</t>
  </si>
  <si>
    <t>Mosbech, Anders; Johansen, Kasper L.; Bech, Nikolaj I.; Lyngs, Peter; Harding, Ann M. A.; Egevang, Carsten; Phillips, Richard A.; Fort, Jerome</t>
  </si>
  <si>
    <t>Inter-breeding movements of little auks Alle alle reveal a key post-breeding staging area in the Greenland Sea</t>
  </si>
  <si>
    <t>Alle alle; Stopover site; Moult; Geolocator; Migration; Inter-breeding distribution</t>
  </si>
  <si>
    <t>GEOLOCATION; SEABIRD</t>
  </si>
  <si>
    <t>Seabirds are important components in marine ecosystems. However, knowledge of their ecology and spatial distribution during the non-breeding season is poor. More investigations during this critical period are required urgently, as marine environments are expected to be profoundly affected by climate change and human activities, with both direct and indirect consequences for marine top predators. Here, we studied the distribution of little auks (Alle alle), one of the most abundant seabird species worldwide. We found that after the breeding season, birds from East Greenland quickly travelled north-east to stay for several weeks within a restricted area in the Greenland Sea. Activity patterns indicated that flying behaviour was much reduced during this period, suggesting that this is the primary moulting region for little auks. Birds then performed a southerly migration to overwinter off Newfoundland. These preliminary results provide important information for the conservation of this species and emphasise the need for further studies at a larger spatial scale.</t>
  </si>
  <si>
    <t>[Mosbech, Anders; Johansen, Kasper L.; Bech, Nikolaj I.; Lyngs, Peter; Fort, Jerome] Aarhus Univ, Dept Biosci, DK-4000 Roskilde, Denmark; [Harding, Ann M. A.] Alaska Pacific Univ, Dept Environm Sci, Anchorage, AK 99508 USA; [Egevang, Carsten] Greenland Inst Nat Resources, Dept Mammals &amp; Birds, Nuuk 3900, Greenland; [Phillips, Richard A.] British Antarctic Survey, Nat Environm Res Council, Cambridge CB3 0ET, England; [Fort, Jerome] CNRS, Ctr Ecol Fonct &amp; Evolut, UMR 5175, F-34293 Montpellier 5, France</t>
  </si>
  <si>
    <t>Aarhus University; Greenland Institute of Natural Resources; UK Research &amp; Innovation (UKRI); Natural Environment Research Council (NERC); NERC British Antarctic Survey; 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t>
  </si>
  <si>
    <t>Mosbech, A (corresponding author), Aarhus Univ, Dept Biosci, Frederiksborgvej 399, DK-4000 Roskilde, Denmark.</t>
  </si>
  <si>
    <t>amo@dmu.dk</t>
  </si>
  <si>
    <t>Mosbech, Anders/Q-5984-2019; Mosbech, Anders/J-6591-2013; Fort, Jerome/F-1157-2016</t>
  </si>
  <si>
    <t>Mosbech, Anders/0000-0002-7581-7037; Mosbech, Anders/0000-0002-7581-7037; Fort, Jerome/0000-0002-0860-6707; Johansen, Kasper Lambert/0000-0003-0111-9516</t>
  </si>
  <si>
    <t>Bureau of Minerals and Petroleum, Greenland Government; French Polar Institute Paul Emile Victor [388]; National Science Foundation [0612504]; NERC [bas0100025] Funding Source: UKRI; Natural Environment Research Council [bas0100025] Funding Source: researchfish</t>
  </si>
  <si>
    <t>Bureau of Minerals and Petroleum, Greenland Government; French Polar Institute Paul Emile Victor; National Science Foundation(National Science Foundation (NSF)); NERC(UK Research &amp; Innovation (UKRI)Natural Environment Research Council (NERC)); Natural Environment Research Council(UK Research &amp; Innovation (UKRI)Natural Environment Research Council (NERC))</t>
  </si>
  <si>
    <t>We thank David Gremillet, Ewan Weston, Rachael Orben, Luis de Sousa and Regis Cavignaux for their hard work in the Weld. We are grateful to James W. Fox and Janet R. D. Silk (British Antarctic Survey) for valuable advice in data download and processing and Martin Munck and NANUTravel for their logistical support. This study was funded by Bureau of Minerals and Petroleum, Greenland Government, as part of the KANUMAS Programme and by the French Polar Institute Paul Emile Victor (Grant 388 to David Gremillet) and the National Science Foundation (grant 0612504 to A. H. and Nina Karnovsky). Fieldwork was conducted under permits of the ethics committee of the French Polar Institute (MP/03/12/04/10) and with the permission from the Greenland Home Rule Government (no66.01.13). This study represents a contribution to the British Antarctic Survey Ecosystems Programme.</t>
  </si>
  <si>
    <t>10.1007/s00300-011-1064-4</t>
  </si>
  <si>
    <t>WOS:000298858100015</t>
  </si>
  <si>
    <t>Crossin, GT; Trathan, PN; Williams, TD</t>
  </si>
  <si>
    <t>Crossin, Glenn T.; Trathan, Phil N.; Williams, Tony D.</t>
  </si>
  <si>
    <t>Potential mode of clutch size determination and follicle development in Eudyptes penguins</t>
  </si>
  <si>
    <t>Egg follicle; Follicle recruitment; Macaroni penguin; Yolk</t>
  </si>
  <si>
    <t>MACARONI PENGUIN; BREEDING BIOLOGY; EGG FORMATION; CHRYSOLOPHUS; DIMORPHISM; GROWTH</t>
  </si>
  <si>
    <t>It has long been held that Eudyptes penguins will only ever develop a maximum of two mature yolky follicles to match their invariant two-egg clutch, an idea inferred largely from egg removal studies. Combining our own data with those from a previous but rarely cited study and by applying these to a simple developmental model, we show that macaroni penguins (Eudyptes chrysolophus) develop up to four large, yolky vitellogenic follicles, and they do so despite the fact that they will never lay more than two eggs or rear more than one chick, a tactic that seems maladaptive given their realized reproductive success. We discuss these results within the context of the usual pattern of reproductive investment in Eudyptes penguins and suggest a broader significance to modes of clutch size determination among all penguins (order Sphenisciformes).</t>
  </si>
  <si>
    <t>[Crossin, Glenn T.; Williams, Tony D.] Simon Fraser Univ, Dept Biol Sci, Burnaby, BC V5A 1S6, Canada; [Crossin, Glenn T.] Ctr Ecol &amp; Hydrol, Nat Environm Res Council, Penicuik EH26 0QB, Midlothian, Scotland; [Trathan, Phil N.] British Antarctic Survey, Nat Environm Res Council, Cambridge CB3 0ET, England</t>
  </si>
  <si>
    <t>Simon Fraser University; UK Centre for Ecology &amp; Hydrology (UKCEH); UK Research &amp; Innovation (UKRI); Natural Environment Research Council (NERC); NERC British Antarctic Survey</t>
  </si>
  <si>
    <t>Crossin, GT (corresponding author), Simon Fraser Univ, Dept Biol Sci, Burnaby, BC V5A 1S6, Canada.</t>
  </si>
  <si>
    <t>crossin@interchange.ubc.ca</t>
  </si>
  <si>
    <t>Crossin, Glenn/0000-0003-1080-1189</t>
  </si>
  <si>
    <t>British Antarctic Survey; National Science and Engineering Research Council of Canada (NSERC); NERC [bas0100025] Funding Source: UKRI; Natural Environment Research Council [bas0100025, CEH010021] Funding Source: researchfish</t>
  </si>
  <si>
    <t>British Antarctic Survey; National Science and Engineering Research Council of Canada (NSERC)(Natural Sciences and Engineering Research Council of Canada (NSERC)); NERC(UK Research &amp; Innovation (UKRI)Natural Environment Research Council (NERC)); Natural Environment Research Council(UK Research &amp; Innovation (UKRI)Natural Environment Research Council (NERC))</t>
  </si>
  <si>
    <t>Many thanks to Fabrice Le Bouard for his assistance finding freshly dead, intact penguins before the giant petrels did, and to Jaume Forcada and Ewan Edwards for conducting necropsies. This work was supported by the British Antarctic Survey's AFI Collaborative Gearing Scheme awarded to PNT and others, by a National Science and Engineering Research Council of Canada (NSERC) Postdoctoral Fellowship and E-Bird funding to GTC, and by an NSERC Discovery Grant to TDW.</t>
  </si>
  <si>
    <t>10.1007/s00300-011-1065-3</t>
  </si>
  <si>
    <t>WOS:000298858100016</t>
  </si>
  <si>
    <t>Ueda, K; Jacobs, J; Thomas, RJ; Kosler, J; Jourdan, F; Matola, R</t>
  </si>
  <si>
    <t>Ueda, K.; Jacobs, J.; Thomas, R. J.; Kosler, J.; Jourdan, F.; Matola, R.</t>
  </si>
  <si>
    <t>Delamination-induced late-tectonic deformation and high-grade metamorphism of the Proterozoic Nampula Complex, northern Mozambique</t>
  </si>
  <si>
    <t>Mozambique; Mecuburi; Lurio Belt; Delamination; Extensional folding</t>
  </si>
  <si>
    <t>EAST-AFRICAN OROGEN; HIGH-PRESSURE GRANULITES; SINGLE ZIRCON AGES; DRONNING MAUD LAND; WHITESCHIST METAMORPHISM; BINGHAM DISTRIBUTION; GNEISS DOMES; ZAMBEZI BELT; U-PB; EVOLUTION</t>
  </si>
  <si>
    <t>Lithospheric thickening during protracted Ediacaran supercontinent assembly was dissipated in various ways along the Pan-African East African-Antarctic Orogen. In NE Mozambique, late-tectonic extension and plutonism south of the Luria Belt has been modelled in terms of lithosphere delamination, although rigorous testing of the hypothesis by structural analysis has not yet been undertaken. This study presents the first analyses of late-tectonic structures in both the Mesoproterozoic basement and the Cambrian cover sequences in the Nampula Complex, NE Mozambique, supported by, and integrated with, new geochronological data. Both late compressional and extensional fabrics overprint the main Pan-African collisional structures to a variable degree in identified structural domains. The long-lived northern boundary of the Nampula Complex, the Lurio Belt high-strain zone, initiated in the Ediacaran, was reactivated and segmented during these later phases, with boundary-parallel shortening. U-Pb SIMS ages from selected latest-tectonic units in the Nampula Complex and the Lurio Belt give consistent ages between 518 +/- 2 and 514 +/- 5 Ma. They are coeval with migmatisation and granitoid plutonism in the Nampula Complex. U-Pb titanite (471 +/- 9 Ma) and 40Ar/39Ar biotite (431 +/- 3 Ma) data suggest subsequent slow cooling rates in the Nampula Complex, consistent with basal heating by asthenosphere uprise following lithosphere delamination. Consequently, we believe the new data suggest that the observed intense late polyphase deformation has preferentially occurred where the delaminated lithosphere was doubly weakened by loss of the mantle root and the resulting long-lived elevated temperature regime. (C) 2011 Elsevier B.V. All rights reserved. Lithospheric thickening during protracted Ediacaran supercontinent assembly was dissipated in various ways along the Pan-African East African-Antarctic Orogen. In NE Mozambique, late-tectonic extension and plutonism south of the Luria Belt has been modelled in terms of lithosphere delamination, although rigorous testing of the hypothesis by structural analysis has not yet been undertaken. This study presents the first analyses of late-tectonic structures in both the Mesoproterozoic basement and the Cambrian cover sequences in the Nampula Complex, NE Mozambique, supported by, and integrated with, new geochronological data. Both late compressional and extensional fabrics overprint the main Pan-African collisional structures to a variable degree in identified structural domains. The long-lived northern boundary of the Nampula Complex, the Lurio Belt high-strain zone, initiated in the Ediacaran, was reactivated and segmented during these later phases, with boundary-parallel shortening. U-Pb SIMS ages from selected latest-tectonic units in the Nampula Complex and the Lurio Belt give consistent ages between 518 +/- 2 and 514 +/- 5 Ma. They are coeval with migmatisation and granitoid plutonism in the Nampula Complex. U-Pb titanite (471 +/- 9 Ma) and 40Ar/39Ar biotite (431 +/- 3 Ma) data suggest subsequent slow cooling rates in the Nampula Complex, consistent with basal heating by asthenosphere uprise following lithosphere delamination. Consequently, we believe the new data suggest that the observed intense late polyphase deformation has preferentially occurred where the delaminated lithosphere was doubly weakened by loss of the mantle root and the resulting long-lived elevated temperature regime. (C) 2011 Elsevier B.V. All rights reserved. Lithospheric thickening during protracted Ediacaran supercontinent assembly was dissipated in various ways along the Pan-African East African-Antarctic Orogen. In NE Mozambique, late-tectonic extension and plutonism south of the Luria Belt has been modelled in terms of lithosphere delamination, although rigorous testing of the hypothesis by structural analysis has not yet been undertaken. This study presents the first analyses of late-tectonic structures in both the Mesoproterozoic basement and the Cambrian cover sequences in the Nampula Complex, NE Mozambique, supported by, and integrated with, new geochronological data. Both late compressional and extensional fabrics overprint the main Pan-African collisional structures to a variable degree in identified structural domains. The long-lived northern boundary of the Nampula Complex, the Lurio Belt high-strain zone, initiated in the Ediacaran, was reactivated and segmented during these later phases, with boundary-parallel shortening. U-Pb SIMS ages from selected latest-tectonic units in the Nampula Complex and the Lurio Belt give consistent ages between 518 +/- 2 and 514 +/- 5 Ma. They are coeval with migmatisation and granitoid plutonism in the Nampula Complex. U-Pb titanite (471 +/- 9 Ma) and 40Ar/39Ar biotite (431 +/- 3 Ma) data suggest subsequent slow cooling rates in the Nampula Complex, consistent with basal heating by asthenosphere uprise following lithosphere delamination. Consequently, we believe the new data suggest that the observed intense late polyphase deformation has preferentially occurred where the delaminated lithosphere was doubly weakened by loss of the mantle root and the resulting long-lived elevated temperature regime. (C) 2011 Elsevier B.V. All rights reserved.</t>
  </si>
  <si>
    <t>[Ueda, K.; Jacobs, J.; Kosler, J.] Univ Bergen, Dept Earth Sci, N-5007 Bergen, Norway; [Thomas, R. J.] British Geol Survey, Keyworth NG12 5GG, Notts, England; [Jourdan, F.] Curtin Univ, JdL CMS, Western Australian Argon Isotope Facil, Perth, WA 6845, Australia; [Jourdan, F.] Curtin Univ, Dept Appl Geol, Perth, WA 6845, Australia; [Matola, R.] DNG, Maputo, Mozambique</t>
  </si>
  <si>
    <t>University of Bergen; UK Research &amp; Innovation (UKRI); Natural Environment Research Council (NERC); NERC British Geological Survey; Curtin University; Curtin University</t>
  </si>
  <si>
    <t>Ueda, K (corresponding author), Univ Bergen, Dept Earth Sci, Allegaten 41, N-5007 Bergen, Norway.</t>
  </si>
  <si>
    <t>kosuke.ueda@geo.uib.no</t>
  </si>
  <si>
    <t>Kosler, Jan/L-3223-2013; Ueda, Kosuke/G-9174-2011</t>
  </si>
  <si>
    <t>Ueda, Kosuke/0000-0002-2367-1339; Jourdan, Fred/0000-0001-5626-4521</t>
  </si>
  <si>
    <t>NFR [102051]; BGS; NERC [bgs04002] Funding Source: UKRI; Natural Environment Research Council [bgs04002] Funding Source: researchfish</t>
  </si>
  <si>
    <t>NFR(Research Council of Norway); BGS; NERC(UK Research &amp; Innovation (UKRI)Natural Environment Research Council (NERC)); Natural Environment Research Council(UK Research &amp; Innovation (UKRI)Natural Environment Research Council (NERC))</t>
  </si>
  <si>
    <t>This study was funded by NFR grant no. 102051 and by BGS funds. This is NORDSIM publication no. 288. KU thanks J. Miller, C. Rowie and M. Webster for contributions and discussion in the field. Field support by the DNG office in Nampula and Maputo, and the local Mozambician administration is highly esteemed. Thanks are also due to L. Ilyinsky, K. Linden, and M.J. Whitehouse (NORDSIM), and to E. Erichsen and O.Tumyr at UoB for help with analyses and preparation. RJT publishes with permission from the Executive Director, BGS-NERC. Careful comments by an anonymous reviewer and by editor R.R. Parrish have improved the manuscript remarkably.</t>
  </si>
  <si>
    <t>10.1016/j.precamres.2011.05.012</t>
  </si>
  <si>
    <t>WOS:000301036500016</t>
  </si>
  <si>
    <t>Collins, LG; Hounslow, MW; Allen, CS; Hodgson, DA; Pike, J; Karloukovski, VV</t>
  </si>
  <si>
    <t>Collins, Lewis G.; Hounslow, Mark W.; Allen, Claire S.; Hodgson, Dominic A.; Pike, Jennifer; Karloukovski, Vassil V.</t>
  </si>
  <si>
    <t>Palaeomagnetic and biostratigraphic dating of marine sediments from the Scotia Sea, Antarctica: First identification of the Laschamp excursion in the Southern Ocean</t>
  </si>
  <si>
    <t>QUATERNARY GEOCHRONOLOGY</t>
  </si>
  <si>
    <t>Southern Ocean; Late Quaternary; Geomagnetic chronology; Laschamp excursion; Diatoms</t>
  </si>
  <si>
    <t>RELATIVE GEOMAGNETIC PALEOINTENSITY; LAST GLACIAL MAXIMUM; SCALE CLIMATE-CHANGE; MONO LAKE; SURFACE TEMPERATURE; CIRCUMPOLAR CURRENT; ICELAND BASIN; GRAIN-SIZE; ATLANTIC; RECORD</t>
  </si>
  <si>
    <t>Establishing accurate chronologies for Late Quaternary Antarctic marine sediments is often a challenge due to variable radiocarbon reservoir effects, the presence of coarse-grained glacial material and a lack of carbonate preservation. Without accurate age control the scope for precise comparison of palaeoenvironmental records is severely limited. In order to address this, we combined diatom abundance stratigraphy, magnetic and radiocarbon methods to build an accurate chronology for two late glacial marine sedimentary sequences, from cores TPC063 and TPC286 from the Scotia Sea, SW Atlantic. Palaeomagnetic data provide the first evidence for the Laschamp geomagnetic excursion (similar to 41 cal ka B.P.) in Antarctic marine sediments and a relative palaeointensity curve that is tuned to the independently dated SAPIS relative palaeointensity reference stack. Together, these key findings provide an accurate age model between 43.7 cal ka B.P. and 25.3 cal ka B.P. The age model was further extended to 17.3 cal ka B.P. through identification of the diatom Eucampia antarctica 2Ea(1) abundance stratigraphy datum. Radiocarbon dating did not provide dates that were in stratigraphic order, and magnetic susceptibility only identified glacial interglacial transitions in one core. We demonstrate that combining geomagnetic and diatom abundance data can enable generation of high-resolution geochronologies for glacial sediments from the Scotia Sea, and offers the potential for more widespread comparison and correlation of Antarctic and Southern Ocean palaeoenvironmental records. (C) 2011 Elsevier B.V. All rights reserved.</t>
  </si>
  <si>
    <t>[Collins, Lewis G.; Allen, Claire S.; Hodgson, Dominic A.] British Antarctic Survey, NERC, Cambridge CB3 0ET, England; [Hounslow, Mark W.; Karloukovski, Vassil V.] Univ Lancaster, Lancaster Environm Ctr, Lancaster LA1 4YQ, England; [Pike, Jennifer] Cardiff Univ, Sch Earth &amp; Ocean Sci, Cardiff CF10 3AT, S Glam, Wales</t>
  </si>
  <si>
    <t>UK Research &amp; Innovation (UKRI); Natural Environment Research Council (NERC); NERC British Antarctic Survey; Lancaster University; Cardiff University</t>
  </si>
  <si>
    <t>Collins, LG (corresponding author), Univ Paris 06, LOCEAN, CNRS UPMC IRD MNHN, UMR 7159, 4 Pl Jussieu, F-75252 Paris, France.</t>
  </si>
  <si>
    <t>lclod@locean-ipsl.upmc.fr; m.hounslow@lancaster.ac.uk; csall@bas.ac.uk; daho@bas.ac.uk; pikej@cardiff.ac.uk; v.karloukovski@lancaster.ac.uk</t>
  </si>
  <si>
    <t>Pike, Jennifer/D-2589-2009; Hounslow, mark/E-7873-2014</t>
  </si>
  <si>
    <t>Pike, Jennifer/0000-0001-9415-6003; Collins, Lewis/0000-0003-0266-4997; Hounslow, mark/0000-0003-1784-6291</t>
  </si>
  <si>
    <t>British Antarctic survey CACHE-PEP; Natural Environment Research Council (NERC) CASE [NER/S/A/2005/13647]; NERC [bas0100024] Funding Source: UKRI; Natural Environment Research Council [bas0100024, ceh010010] Funding Source: researchfish</t>
  </si>
  <si>
    <t>British Antarctic survey CACHE-PEP; Natural Environment Research Council (NERC) CASE(UK Research &amp; Innovation (UKRI)Natural Environment Research Council (NERC)); NERC(UK Research &amp; Innovation (UKRI)Natural Environment Research Council (NERC)); Natural Environment Research Council(UK Research &amp; Innovation (UKRI)Natural Environment Research Council (NERC))</t>
  </si>
  <si>
    <t>We thank the Captain, crew and scientific parties aboard the RSS James Clark Ross during cruises JR04 and JR48 for their support during the collection of cores TPC063 and TPC286. We also acknowledge Matt Riding who contributed to the measuring of magnetic data at the Centre for Environmental Magnetism and Palaeomagnetism, Lancaster University, UK. This research was supported by the British Antarctic survey CACHE-PEP research project, a Natural Environment Research Council (NERC) CASE studentship NER/S/A/2005/13647, awarded to LG. Collins, and European Research Council (ERC) project 203441.</t>
  </si>
  <si>
    <t>1871-1014</t>
  </si>
  <si>
    <t>1878-0350</t>
  </si>
  <si>
    <t>QUAT GEOCHRONOL</t>
  </si>
  <si>
    <t>Quat. Geochronol.</t>
  </si>
  <si>
    <t>10.1016/j.quageo.2011.10.002</t>
  </si>
  <si>
    <t>869CA</t>
  </si>
  <si>
    <t>WOS:000298572100008</t>
  </si>
  <si>
    <t>Bowman, VC; Francis, JE; Riding, JB; Hunter, SJ; Haywood, AM</t>
  </si>
  <si>
    <t>Bowman, Vanessa C.; Francis, Jane E.; Riding, James B.; Hunter, Stephen J.; Haywood, Alan M.</t>
  </si>
  <si>
    <t>A latest Cretaceous to earliest Paleogene dinoflagellate cyst zonation from Antarctica, and implications for phytoprovincialism in the high southern latitudes</t>
  </si>
  <si>
    <t>Cretaceous; Paleogene; Seymour Island, Antarctica; dinoflagellate cysts; biostratigraphy; provincialism</t>
  </si>
  <si>
    <t>JAMES-ROSS-ISLAND; NEW-ZEALAND; SEYMOUR-ISLAND; TERTIARY TRANSITION; AUSTRAL BASIN; VEGA-ISLAND; CAPE LAMB; STRATIGRAPHY; ARGENTINA; BOUNDARY</t>
  </si>
  <si>
    <t>The thickest uppermost Cretaceous to lowermost Paleogene (Maastrichtian to Danian) sedimentary succession in the world is exposed on southern Seymour Island (65 degrees South) in the James Ross Basin, Antarctic Peninsula. This fossiliferous shallow marine sequence, which spans the Cretaceous-Paleogene boundary, has allowed a high-resolution analysis of well-preserved marine palynomorphs. Previous correlation of Cretaceous-Paleogene marine palynomorph assemblages in the south polar region relied on dinoflagellate cyst biozonations from New Zealand and southern Australia. The age model of the southern Seymour Island succession is refined and placed within the stratigraphical context of the mid to high southern palaeolatitudes. Quantitative palynological analysis of a new 1102 m continuous stratigraphical section comprising the uppermost Snow Hill Island Formation and the Lopez de Bertodano Formation (Marambio Group) across southern Seymour Island was undertaken. We propose the first formal late Maastrichtian to early Danian dinoflagellate cyst zonation scheme for the Antarctic based on this exceptional succession. Two new late Maastrichtian zones, including three sub-zones, and one new early Danian zone are defined. The oldest beds correlate well with the late Maastrichtian of New Zealand. In a wider context, a new South Polar Province based on Maastrichtian to Danian dinoflagellate cysts is proposed, which excludes most southern South American marine palynofloras. This interpretation is supported by models of ocean currents around Antarctica and implies an unrestricted oceanic connection across Antarctica between southern South America and the Tasman Sea. (C) 2011 Elsevier B.V. All rights reserved.</t>
  </si>
  <si>
    <t>[Bowman, Vanessa C.; Francis, Jane E.; Hunter, Stephen J.; Haywood, Alan M.] Univ Leeds, Sch Earth &amp; Environm, Leeds LS2 9JT, W Yorkshire, England; [Riding, James B.] British Geol Survey, Kingsley Dunham Ctr, Nottingham NG12 5GG, England</t>
  </si>
  <si>
    <t>University of Leeds; UK Research &amp; Innovation (UKRI); Natural Environment Research Council (NERC); NERC British Geological Survey</t>
  </si>
  <si>
    <t>Bowman, VC (corresponding author), Univ Leeds, Sch Earth &amp; Environm, Leeds LS2 9JT, W Yorkshire, England.</t>
  </si>
  <si>
    <t>V.C.Bowman@leeds.ac.uk</t>
  </si>
  <si>
    <t>Bowman, Vanessa/0000-0002-4887-3949</t>
  </si>
  <si>
    <t>Natural Environment Research Council (NERC) Antarctic Funding Initiative [NE/C506399/1]; Transantarctic Association; Antarctic Science Bursary; NERC [bgs05004, NE/I005803/1, NE/I00582X/1] Funding Source: UKRI; Natural Environment Research Council [NE/I005803/1, NE/I00582X/1, NE/C506399/1, ncas10009, bgs05004] Funding Source: researchfish</t>
  </si>
  <si>
    <t>Natural Environment Research Council (NERC) Antarctic Funding Initiative(UK Research &amp; Innovation (UKRI)Natural Environment Research Council (NERC)); Transantarctic Association; Antarctic Science Bursary; NERC(UK Research &amp; Innovation (UKRI)Natural Environment Research Council (NERC)); Natural Environment Research Council(UK Research &amp; Innovation (UKRI)Natural Environment Research Council (NERC))</t>
  </si>
  <si>
    <t>The authors acknowledge funding from the Natural Environment Research Council (NERC) Antarctic Funding Initiative Grant NE/C506399/1 entitled 'Terminal Cretaceous climate change and biotic response in Antarctica'. Fieldwork was supported by the British Antarctic Survey and H.M.S. Endurance. Vanessa C. Bowman thanks the Transantarctic Association and the Antarctic Science Bursary for additional research support, Rosemary Askin (formerly of The Ohio State University, Columbus, USA) and J. Alistair Crame (British Antarctic Survey) for useful discussions and Paul Markwick (GETECH) for the palaeogeographic base map. The Climate Change research programme of the British Geological Survey provided support for palynological processing. James B. Riding publishes with the permission of the Executive Director, British Geological Survey (NERC).</t>
  </si>
  <si>
    <t>10.1016/j.revpalbo.2011.11.004</t>
  </si>
  <si>
    <t>921CT</t>
  </si>
  <si>
    <t>WOS:000302456300005</t>
  </si>
  <si>
    <t>Aislabie, JM; Ryburn, J; Gutierrez-Zamora, ML; Rhodes, P; Hunter, D; Sarmah, AK; Barker, GM; Farrell, RL</t>
  </si>
  <si>
    <t>Aislabie, Jackie M.; Ryburn, Janine; Gutierrez-Zamora, Maria-Luisa; Rhodes, Phillipa; Hunter, David; Sarmah, Ajit K.; Barker, Gary M.; Farrell, Roberta L.</t>
  </si>
  <si>
    <t>Hexadecane mineralization activity in hydrocarbon-contaminated soils of Ross Sea region Antarctica may require nutrients and inoculation</t>
  </si>
  <si>
    <t>SOIL BIOLOGY &amp; BIOCHEMISTRY</t>
  </si>
  <si>
    <t>Enhancing alkane mineralization; Soil bacterial diversity; Nitrogen; Alkane degraders in soil as inoculum; Antarctica</t>
  </si>
  <si>
    <t>LOW-TEMPERATURE; MICROBIAL-DEGRADATION; BACTERIAL DIVERSITY; CASEY STATION; ARCTIC SOILS; FUEL SPILLS; BIODEGRADATION; BIOREMEDIATION; BIOAUGMENTATION; COMMUNITY</t>
  </si>
  <si>
    <t>Hydrocarbon spills on Antarctic soils occur mainly near settlements where fuel is stored and aircraft and vehicles are refuelled. To investigate those factors that may preclude hexadecane mineralization activity in long-term hydrocarbon-contaminated soils from the Ross Sea Region, samples were collected from Scott Base, the site of former bases (Cape Evans, Marble Point, Vanda Station), and two oil spill sites in the Wright Valley (Bull Pass and Loop Moraine). The soils had low levels of nitrogen (&lt;0.1% total N) and a high C/N ratio (&gt;24) reflecting hydrocarbon contamination. Following soil water adjustment to 10% (v/w), the influence of nutrient addition (250 mg/kg N added as monoammonium phosphate) and inoculation (spiking with Antarctic soil containing high numbers of hydrocarbon degraders) as required on hexadecane mineralization activity was determined. Hexadecane mineralization activity occurred in contaminated soils from Marble Point, Cape Evans and one sample from Vanda Station without nutrient addition. In contrast soils from Scott Base, Cape Evans, another sample from Vanda Station and Loop Moraine required nutrients, whereas Bull Pass soil required inoculation and nutrients before hexadecane mineralization proceeded. Hydrocarbon degrader numbers were highest in coastal soils from Scott Base and Marble Point (10(7) per gram) and less prevalent in inland soils from Wright Valley (&lt;10(5) per gram). The bacterial community structure of the soils differed between sites, but soils from the same sites tended to cluster together more closely, except for those from Vanda Station. Addition of nutrients did not cause large shifts in the soil bacterial communities. Results from this study indicate that hydrocarbon degradation may occur at some sites in summer when water is available. Long-term hydrocarbon-contaminated Antarctic soils may provide a valuable resource of hydrocarbon-degrading bacteria that can serve as inocula for more recent oil spills on land. (C) 2011 Elsevier Ltd. All rights reserved.</t>
  </si>
  <si>
    <t>[Aislabie, Jackie M.; Ryburn, Janine; Rhodes, Phillipa; Hunter, David; Sarmah, Ajit K.; Barker, Gary M.] Landcare Res, Hamilton, New Zealand; [Gutierrez-Zamora, Maria-Luisa] Univ Waikato, Sch Biol Sci, Hamilton, New Zealand</t>
  </si>
  <si>
    <t>Landcare Research - New Zealand; University of Waikato</t>
  </si>
  <si>
    <t>Aislabie, JM (corresponding author), Landcare Res, Private Bag 3127, Hamilton, New Zealand.</t>
  </si>
  <si>
    <t>Sarmah, Ajit K/E-7773-2010; Barker, Gary M/C-9974-2011</t>
  </si>
  <si>
    <t>Hunter, David/0000-0002-9443-7793; Sarmah, Ajit/0000-0003-0664-2605</t>
  </si>
  <si>
    <t>Foundation of Research, Science and Technology, New Zealand [C09X0307]; New Zealand Agency for International Development (NZAID)</t>
  </si>
  <si>
    <t>Foundation of Research, Science and Technology, New Zealand(New Zealand Foundation for Research, Science and Technology); New Zealand Agency for International Development (NZAID)</t>
  </si>
  <si>
    <t>This research was supported by funding from the Foundation of Research, Science and Technology, New Zealand (C09X0307). M.-L.G.-Z. received a MSc scholarship from the New Zealand Agency for International Development (NZAID). Antarctica New Zealand provided logistic support. Soil analyses were carried out in the Environmental Chemistry Laboratory, Landcare Research, New Zealand. We thank Professor Ugolini for information on the Loop moraine oil spill.</t>
  </si>
  <si>
    <t>0038-0717</t>
  </si>
  <si>
    <t>SOIL BIOL BIOCHEM</t>
  </si>
  <si>
    <t>Soil Biol. Biochem.</t>
  </si>
  <si>
    <t>10.1016/j.soilbio.2011.10.001</t>
  </si>
  <si>
    <t>888DJ</t>
  </si>
  <si>
    <t>WOS:000299983700007</t>
  </si>
  <si>
    <t>Bonin, CA; Goebel, ME; O'Corry-Crowe, GM; Burton, RS</t>
  </si>
  <si>
    <t>Bonin, Carolina A.; Goebel, Michael E.; O'Corry-Crowe, Gregory M.; Burton, Ronald S.</t>
  </si>
  <si>
    <t>Twins or not? Genetic analysis of putative twins in Antarctic fur seals, Arctocephalus gazella, on the South Shetland Islands</t>
  </si>
  <si>
    <t>Fostering; Heteropaternity; Otariid; Pinniped; Relatedness; Twinning</t>
  </si>
  <si>
    <t>MAXIMUM-LIKELIHOOD-ESTIMATION; ELEPHANT SEALS; MICROSATELLITE MARKERS; PAIRWISE RELATEDNESS; GENOTYPING ERRORS; INBREEDING COEFFICIENTS; PATERNITY INFERENCE; NATURAL-POPULATIONS; FOSTERING BEHAVIOR; MOLECULAR MARKERS</t>
  </si>
  <si>
    <t>Genetic analyses can reliably determine the relationships among putative cases of twins in pinniped species. These studies demonstrate that field observations of nursing twins may often be cases of adoption or foster nursing of unrelated pups. A recent study of Antarctic fur seals (Arctocephalus gazella) on South Georgia Island found that only 3 of 11 putative twin cases were truly twins. Here we report results of genetic testing of eight putative cases of twinning (twin siblings and mother) observed at Cape Shirreff (62 degrees 27'30 '' S, 60 degrees 47'17 '' W), Livingston Island, Antarctica. Parentage and relatedness analyses using 18 microsatellite markers confirmed six out of the eight cases as twins and two cases of adoption/foster nursing of unrelated pups. All twins analyzed were dizygotic and in five out of six cases, the twins were likely full siblings (relatedness coefficient, or r(xy)mu = 0.46, o(2) = 0.004). In one case, the twins were likely half-siblings (r(xy) = 0.17), supporting a previous finding of heteropaternity in Antarctic fur seals. This result suggests that mate infidelity during estrus maybe common in Antarctic fur seals, which has implications for our understanding of this species's mating system. The twinning rate estimated at Cape Shirreff (0.12% or 6 twins per 4,965 births) is consistent with the scarcity of twin births observed in pinnipeds, which is associated with the high cost of nursing multiple pups in these animals. (c) 2011 Elsevier B.V. All rights reserved.</t>
  </si>
  <si>
    <t>[Bonin, Carolina A.] Univ Calif San Diego, Scripps Inst Oceanog, Ctr Marine Biodivers &amp; Conservat, La Jolla, CA 92093 USA; [Goebel, Michael E.] Natl Marine Fisheries Serv, Antarctic Ecosyst Res Div, SW Fisheries Sci Ctr, Natl Ocean &amp; Atmospher Adm, La Jolla, CA 92037 USA; [O'Corry-Crowe, Gregory M.] Harbor Branch Oceanog Inst Inc, Ft Pierce, FL 34946 USA; [Burton, Ronald S.] Univ Calif San Diego, Div Marine Biol Res, Scripps Inst Oceanog, La Jolla, CA 92093 USA</t>
  </si>
  <si>
    <t>University of California System; University of California San Diego; Scripps Institution of Oceanography; National Oceanic Atmospheric Admin (NOAA) - USA; Harbor Branch Oceanographic Institute Foundation; University of California System; University of California San Diego; Scripps Institution of Oceanography</t>
  </si>
  <si>
    <t>Bonin, CA (corresponding author), Univ Calif San Diego, Scripps Inst Oceanog, Ctr Marine Biodivers &amp; Conservat, 9500 Gilman Dr, La Jolla, CA 92093 USA.</t>
  </si>
  <si>
    <t>cabonin@ucsd.edu; Mike.Goebel@noaa.gov; gocorryc@hboi.fau.edu; rburton@ucsd.edu</t>
  </si>
  <si>
    <t>Burton, R/F-7694-2010</t>
  </si>
  <si>
    <t>Burton, R/0000-0002-6995-5329; Bonin Lewallen, Carolina/0000-0003-1162-7290</t>
  </si>
  <si>
    <t>NSF/IGERT [0903551]</t>
  </si>
  <si>
    <t>NSF/IGERT(National Science Foundation (NSF))</t>
  </si>
  <si>
    <t>C.A. Bonin is currently supported by NSF/IGERT grant # 0903551. This research was conducted with resources granted by the United States Antarctic Marine Living Resources Program (US-AMLR). We specially thank Dr. George Watters for his support. Laboratory logistics was provided by the Protected Resources Division at the Southwest Fisheries Science Center, La Jolla, CA, USA (including the Marine Mammal and Marine Turtle Molecular Research Collection where the samples of this study are currently housed). We thank Amanda Bowman, Victoria Pease and Gabriela Serra-Valente, for kindly handling budget, purchasing and sample archiving. This project was conducted with the invaluable field assistance of Raymond Buchheit, Ryan Burner, Kevin Pietrzak, and Scott Freeman. We thank Rosa Runcie for The study site map. Eric Lewallen, Amy Van Cise, Kathleen Fisch and Sean Schoville largely improved this manuscript with their reviews. We also thank Dr. William Perrin for final edits. We are very grateful to the Programa Antartico Brasileiro (PROANTAR) and the Ministerio da Ciencia e Tecnologia do Brasil, especially Dra. Maria Cordelia Machado and CMD Jose Robson de Oliveira Medeiros for their generous support during the 2009-10 field season. Finally, we thank three anonymous referees for reviewing this manuscript, providing us with helpful comments and suggestions. [RH]</t>
  </si>
  <si>
    <t>JAN 31</t>
  </si>
  <si>
    <t>10.1016/j.jembe.2011.10.010</t>
  </si>
  <si>
    <t>906AG</t>
  </si>
  <si>
    <t>WOS:000301316700002</t>
  </si>
  <si>
    <t>Abe, K; Fuke, H; Haino, S; Hams, T; Hasegawa, M; Horikoshi, A; Kim, KC; Kusumoto, A; Lee, MH; Makida, Y; Matsuda, S; Matsukawa, Y; Mitchell, JW; Nishimura, J; Nozaki, M; Orito, R; Ormes, JF; Sakai, K; Sasaki, M; Seo, ES; Shinoda, R; Streitmatter, RE; Suzuki, J; Tanaka, K; Thakur, N; Yamagami, T; Yamamoto, A; Yoshida, T; Yoshimura, K</t>
  </si>
  <si>
    <t>Abe, K.; Fuke, H.; Haino, S.; Hams, T.; Hasegawa, M.; Horikoshi, A.; Kim, K. C.; Kusumoto, A.; Lee, M. H.; Makida, Y.; Matsuda, S.; Matsukawa, Y.; Mitchell, J. W.; Nishimura, J.; Nozaki, M.; Orito, R.; Ormes, J. F.; Sakai, K.; Sasaki, M.; Seo, E. S.; Shinoda, R.; Streitmatter, R. E.; Suzuki, J.; Tanaka, K.; Thakur, N.; Yamagami, T.; Yamamoto, A.; Yoshida, T.; Yoshimura, K.</t>
  </si>
  <si>
    <t>Measurement of the Cosmic-Ray Antiproton Spectrum at Solar Minimum with a Long-Duration Balloon Flight over Antarctica</t>
  </si>
  <si>
    <t>BESS-POLAR EXPERIMENT; BLACK-HOLES; SPECTROMETER; PROGRESS; SEARCH; MATTER; FLUX</t>
  </si>
  <si>
    <t>The energy spectrum of cosmic-ray antiprotons ((p) over bar 's) from 0.17 to 3.5 GeV has been measured using 7886 (p) over bar 's detected by BESS-Polar II during a long-duration flight over Antarctica near solar minimum in December 2007 and January 2008. This shows good consistency with secondary (p) over bar calculations. Cosmologically primary (p) over bar 's have been investigated by comparing measured and calculated (p) over bar spectra. BESS-Polar II data show no evidence of primary (p) over bar 's from the evaporation of primordial black holes.</t>
  </si>
  <si>
    <t>[Hams, T.; Mitchell, J. W.; Sakai, K.; Sasaki, M.; Streitmatter, R. E.] NASA, Goddard Space Flight Ctr, Greenbelt, MD 20771 USA; [Abe, K.; Kusumoto, A.; Matsukawa, Y.; Orito, R.] Kobe Univ, Kobe, Hyogo 6578501, Japan; [Fuke, H.; Yamagami, T.; Yoshida, T.] Japan Aerosp Explorat Agcy ISAS JAXA, Inst Space &amp; Astronaut Sci, Sagamihara, Kanagawa 2298510, Japan; [Haino, S.; Hasegawa, M.; Horikoshi, A.; Makida, Y.; Matsuda, S.; Nozaki, M.; Suzuki, J.; Tanaka, K.; Yamamoto, A.; Yoshimura, K.] High Energy Accelerator Res Org KEK, Tsukuba, Ibaraki 3050801, Japan; [Kim, K. C.; Lee, M. H.; Seo, E. S.] Univ Maryland, IPST, College Pk, MD 20742 USA; [Nishimura, J.; Sakai, K.; Shinoda, R.; Yamamoto, A.] Univ Tokyo, Bunkyo Ku, Tokyo 1130033, Japan; [Ormes, J. F.; Thakur, N.] Univ Denver, Denver, CO 80208 USA</t>
  </si>
  <si>
    <t>Sakai, K (corresponding author), NASA, Goddard Space Flight Ctr, Greenbelt, MD 20771 USA.</t>
  </si>
  <si>
    <t>Kenichi.Sakai@nasa.gov</t>
  </si>
  <si>
    <t>Koji, Yoshimura/J-9154-2018; Lee, Moo Hyun/AAK-4266-2020; , ES/AAN-2324-2020; Yamamoto, Akira/AAC-1635-2022; Haino, Sadakazu/AAP-8315-2021</t>
  </si>
  <si>
    <t>Lee, Moo Hyun/0000-0002-4082-1677; HASEGAWA, MASAYA/0000-0003-1443-1082; Nozaki, Mitsuaki/0000-0001-7834-9614; Seo, Eun-Suk/0000-0001-8682-805X; MAKIDA, Yasuhiro/0000-0003-3638-9970; Yoshida, Tetsuya/0000-0003-0553-0150</t>
  </si>
  <si>
    <t>KAKENHI; MEXT-JSPS; NASA; Grants-in-Aid for Scientific Research [22540322] Funding Source: KAKEN</t>
  </si>
  <si>
    <t>KAKENHI(Ministry of Education, Culture, Sports, Science and Technology, Japan (MEXT)Japan Society for the Promotion of ScienceGrants-in-Aid for Scientific Research (KAKENHI)); MEXT-JSPS(Ministry of Education, Culture, Sports, Science and Technology, Japan (MEXT)Japan Society for the Promotion of Science); NASA(National Aeronautics &amp; Space Administration (NASA)); Grants-in-Aid for Scientific Research(Ministry of Education, Culture, Sports, Science and Technology, Japan (MEXT)Japan Society for the Promotion of ScienceGrants-in-Aid for Scientific Research (KAKENHI))</t>
  </si>
  <si>
    <t>The BESS-Polar Collaboration is supported in Japan by the Grant-in-Aid KAKENHI for specially promoted and basic researches, MEXT-JSPS, and in the U.S. by NASA. Balloon flight operations were carried out by the NASA Columbia Scientific Balloon Facility and the National Science Foundation United States Antarctic Program. We would like to express our sincere thanks for their continuous professional support.</t>
  </si>
  <si>
    <t>10.1103/PhysRevLett.108.051102</t>
  </si>
  <si>
    <t>886DU</t>
  </si>
  <si>
    <t>WOS:000299832900002</t>
  </si>
  <si>
    <t>Rai, A; Joshi, MK; Pandey, AC</t>
  </si>
  <si>
    <t>Rai, Archana; Joshi, Manish K.; Pandey, A. C.</t>
  </si>
  <si>
    <t>Variations in diurnal temperature range over India: Under global warming scenario</t>
  </si>
  <si>
    <t>SURFACE AIR-TEMPERATURE; UNITED-STATES; TRENDS; URBANIZATION; CLIMATE; PRECIPITATION; REANALYSIS; MAXIMUM; REGION; CLOUDS</t>
  </si>
  <si>
    <t>Annual, seasonal, and monthly trends in surface air temperature were examined over India during the period 1901-2003. Besides this, annual and seasonal trends were also scrutinized in view of global warming concerns during the 2 non-global (1901-1909 and 1946-1975) and global (1910-1945 and 1976-2003) warming periods as defined by Intergovernmental Panel on Climate Change. A significant increasing trend of 0.743, 0.224, 0.484, and 0.52 degrees C (100 yr)(-1) has been observed in maximum (T-max), minimum (T-min), mean (T-mean) temperatures, and diurnal temperature range (DTR; T-max - T-min), respectively during the period 1901-2003. The annual temperatures (T-mean, T-min, and T-max) show a cooling (warming) tendency during the non-global (global) warming periods, apart from the second non-global warming period of T-max. The seasonal trends in T-min and T-mean also show similar behavior; whereas, T-max shows warming in all sub-periods, excluding the first non-global warming period of the pre-monsoon and monsoon. Seasonal analysis depicts that, both post-monsoon and winter seasons are getting warmer with regard to T-max and T-min. During the analysis as well as in non-global and global warming periods, annual DTR has increased. DTR increases in all seasons, with the largest increase in winter and the smallest in post-monsoon; whereas monthly analysis reveals that all the months, except March, October, and November are contributing significantly to the annual increase of DTR. The partial correlation analysis reveals that the total cloud cover along with the secondary factors like precipitation and soil-moisture are responsible for increase in DTR over India during the period 1948-2003.</t>
  </si>
  <si>
    <t>[Rai, Archana; Joshi, Manish K.; Pandey, A. C.] Univ Allahabad, Inst Interdisciplinary Studies, K Banerjee Ctr Atmospher &amp; Ocean Studies, Allahabad 211002, Uttar Pradesh, India</t>
  </si>
  <si>
    <t>University of Allahabad</t>
  </si>
  <si>
    <t>Rai, A (corresponding author), Univ Allahabad, Inst Interdisciplinary Studies, K Banerjee Ctr Atmospher &amp; Ocean Studies, Allahabad 211002, Uttar Pradesh, India.</t>
  </si>
  <si>
    <t>manishkumarjoshi@gmail.com; prof.avinashcpandey@gmail.com</t>
  </si>
  <si>
    <t>Pandey, Arvind/AHC-6803-2022; Rai, Archana/AFR-1477-2022; Joshi, Manish K./T-8739-2019; Joshi, Manish/B-2711-2012; PANDEY, AVINASH CHANDRA/B-4600-2014</t>
  </si>
  <si>
    <t>Joshi, Manish K./0000-0001-6498-6962; Joshi, Manish/0000-0001-6498-6962; PANDEY, AVINASH CHANDRA/0000-0003-0700-3856</t>
  </si>
  <si>
    <t>National Center of Antarctic and Ocean Research (NCAOR), Goa; Department of Science and Technology, New Delhi</t>
  </si>
  <si>
    <t>National Center of Antarctic and Ocean Research (NCAOR), Goa; Department of Science and Technology, New Delhi(Department of Science &amp; Technology (India))</t>
  </si>
  <si>
    <t>We are thankful to National Center of Antarctic and Ocean Research (NCAOR), Goa and Department of Science and Technology, New Delhi for the financial support. We acknowledge our sincere thanks to A. K. Srivastava (Scientist E), IMD, Pune for his valuable input relating to the quality checks/homogeneity considerations regarding the IMD observations and for the fruitful discussions. We thank IITM for providing the temperature and precipitation data series and NOAA/OAR/ESRL PSD, Boulder, Colorado, USA, for providing the NCEP/NCAR reanalysis data on their website http://www.esrl.noaa.gov/psd. We also thank the anonymous reviewers for their useful comments, which improved our manuscript substantially.</t>
  </si>
  <si>
    <t>D02114</t>
  </si>
  <si>
    <t>10.1029/2011JD016697</t>
  </si>
  <si>
    <t>887VM</t>
  </si>
  <si>
    <t>WOS:000299959400003</t>
  </si>
  <si>
    <t>Ni, BB; Liang, J; Thorne, RM; Angelopoulos, V; Horne, RB; Kubyshkina, M; Spanswick, E; Donovan, EF; Lummerzheim, D</t>
  </si>
  <si>
    <t>Ni, Binbin; Liang, Jun; Thorne, Richard M.; Angelopoulos, Vassilis; Horne, Richard B.; Kubyshkina, Marina; Spanswick, Emma; Donovan, Eric F.; Lummerzheim, Dirk</t>
  </si>
  <si>
    <t>Efficient diffuse auroral electron scattering by electrostatic electron cyclotron harmonic waves in the outer magnetosphere: A detailed case study</t>
  </si>
  <si>
    <t>PITCH-ANGLE DIFFUSION; STATISTICAL-MODEL; PRECIPITATION; DISTRIBUTIONS; INSTABILITIES; RADIATION; PLASMA</t>
  </si>
  <si>
    <t>This paper is a companion to a paper by Liang et al. (2011) which reports a causal connection between the intensification of electrostatic ECH waves and the postmidnight diffuse auroral activity in the absence of whistler mode chorus waves at L = 11.5 on the basis of simultaneous observations from THEMIS spacecraft and NORSTAR optical instruments during 8-9 UT on February 5, 2009. In this paper, we use the THEMIS particle and wave measurements together with the magnetically conjugate auroral observations for this event to illustrate an example where electrostatic electron cyclotron harmonic (ECH) waves are the main contributor to the diffuse auroral precipitation. We use the wave and particle data to perform a comprehensive theoretical and numerical analysis of ECH wave driven resonant scattering rates. We find that the observed ECH wave activity can cause intense pitch angle scattering of plasma sheet electrons between 100 eV and 5 keV at a rate of &gt;10(-4) s(-1) for equatorial pitch angles alpha(eq) &lt; 30 degrees. The scattering approaches the strong diffusion limit in the realistic ambient magnetic field to produce efficient precipitation loss of</t>
  </si>
  <si>
    <t>[Ni, Binbin; Thorne, Richard M.] Univ Calif Los Angeles, Dept Atmospher &amp; Ocean Sci, Los Angeles, CA 90095 USA; [Liang, Jun; Spanswick, Emma; Donovan, Eric F.] Univ Calgary, Dept Phys &amp; Astron, Calgary, AB T2N 1N4, Canada; [Angelopoulos, Vassilis] Univ Calif Los Angeles, Inst Geophys &amp; Planetary Phys, Los Angeles, CA 90095 USA; [Angelopoulos, Vassilis] Univ Calif Los Angeles, Dept Earth &amp; Space Sci, Los Angeles, CA 90095 USA; [Horne, Richard B.] British Antarctic Survey, Cambridge CB3 0ET, England; [Kubyshkina, Marina] St Petersburg State Univ, Inst Phys, St Petersburg 198504, Russia; [Lummerzheim, Dirk] Univ Alaska Fairbanks, Inst Geophys, Fairbanks, AK 99775 USA</t>
  </si>
  <si>
    <t>University of California System; University of California Los Angeles; University of Calgary; University of California System; University of California Los Angeles; University of California System; University of California Los Angeles; UK Research &amp; Innovation (UKRI); Natural Environment Research Council (NERC); NERC British Antarctic Survey; Saint Petersburg State University; University of Alaska System; University of Alaska Fairbanks</t>
  </si>
  <si>
    <t>Ni, BB (corresponding author), Univ Calif Los Angeles, Dept Atmospher &amp; Ocean Sci, Los Angeles, CA 90095 USA.</t>
  </si>
  <si>
    <t>bbni@atmos.ucla.edu</t>
  </si>
  <si>
    <t>Spanswick, Emma/JDC-7880-2023; Ni, Binbin/I-5244-2013; Kubyshkina, Marina/G-9436-2013; Horne, Richard B/U-3764-2019</t>
  </si>
  <si>
    <t>Kubyshkina, Marina/0000-0001-5897-9547; Horne, Richard B/0000-0002-0412-6407; Donovan, Eric/0000-0002-8557-4155; Angelopoulos, Vassilis/0000-0001-7024-1561; Spanswick, Emma/0000-0001-8003-5091</t>
  </si>
  <si>
    <t>NSF [ATM-0802843]; European Community [262468]; NASA [NNX09AI04G]; NASA [115900, NNX09AI04G] Funding Source: Federal RePORTER; Natural Environment Research Council [bas0100023] Funding Source: researchfish; NERC [bas0100023] Funding Source: UKRI</t>
  </si>
  <si>
    <t>NSF(National Science Foundation (NSF)); European Community; NASA(National Aeronautics &amp; Space Administration (NASA)); NASA(National Aeronautics &amp; Space Administration (NASA)); Natural Environment Research Council(UK Research &amp; Innovation (UKRI)Natural Environment Research Council (NERC)); NERC(UK Research &amp; Innovation (UKRI)Natural Environment Research Council (NERC))</t>
  </si>
  <si>
    <t>This research was funded in part by the NSF grant ATM-0802843. We thank J. W. Bonnell for providing the THEMIS EFI data and U. Auster for the THEMIS FGM data. The research leading to these results has received funding from the European Community's Seventh Framework Programme (FP7/2007-2013) under grant agreement 262468. DL was supported by a subcontract of NASA grant NNX09AI04G to the University of Colorado.</t>
  </si>
  <si>
    <t>A01218</t>
  </si>
  <si>
    <t>10.1029/2011JA017095</t>
  </si>
  <si>
    <t>888FQ</t>
  </si>
  <si>
    <t>WOS:000299989600005</t>
  </si>
  <si>
    <t>MacKenzie, D</t>
  </si>
  <si>
    <t>MacKenzie, Debora</t>
  </si>
  <si>
    <t>Superbugs spied off the Antarctic coast</t>
  </si>
  <si>
    <t>NEW SCIENTIST</t>
  </si>
  <si>
    <t>REED BUSINESS INFORMATION LTD</t>
  </si>
  <si>
    <t>SUTTON</t>
  </si>
  <si>
    <t>QUADRANT HOUSE THE QUADRANT, SUTTON SM2 5AS, SURREY, ENGLAND</t>
  </si>
  <si>
    <t>0262-4079</t>
  </si>
  <si>
    <t>NEW SCI</t>
  </si>
  <si>
    <t>New Sci.</t>
  </si>
  <si>
    <t>JAN 28</t>
  </si>
  <si>
    <t>887DY</t>
  </si>
  <si>
    <t>WOS:000299908300007</t>
  </si>
  <si>
    <t>Griesel, A; Mazloff, MR; Gille, ST</t>
  </si>
  <si>
    <t>Griesel, A.; Mazloff, M. R.; Gille, S. T.</t>
  </si>
  <si>
    <t>Mean dynamic topography in the Southern Ocean: Evaluating Antarctic Circumpolar Current transport</t>
  </si>
  <si>
    <t>GRAVITY-FIELD MODEL; DRAKE PASSAGE; SEA-SURFACE; WORLD OCEAN; CIRCULATION; ALTIMETRY; VARIABILITY; GRACE; SATELLITE; ERRORS</t>
  </si>
  <si>
    <t>Mean Dynamic Ocean Topography (MDT) is the difference between the time-averaged sea surface height and the geoid. Combining sea level and geoid measurements, which are both attained primarily by satellite, is complicated by ocean variability and differences in resolved spatial scales. Accurate knowledge of the MDT is particularly difficult in the Southern Ocean as this region is characterized by high temporal variability, relatively short spatial scales, and a lack of in situ gravity observations. In this study, four recent Southern Ocean MDT products are evaluated along with an MDT diagnosed from a Southern Ocean state estimate. MDT products differ in some locations by more than the nominal error bars. Attempts to decrease this discrepancy by accounting for temporal differences in the time period each product represents were unsuccessful, likely due to issues regarding resolved spatial scales. The mean mass transport of the Antarctic Circumpolar Current (ACC) system can be determined by combining the MDT products with climatological ocean density fields. On average, MDT products predict higher ACC transports than inferred from observations. More importantly, the MDT products imply an unrealistic lack of mass conservation that cannot be explained by the a priori uncertainties. MDT estimates can possibly be improved by accounting for an ocean mass balance constraint.</t>
  </si>
  <si>
    <t>[Griesel, A.; Mazloff, M. R.; Gille, S. T.] Univ Calif San Diego, Scripps Inst Oceanog, La Jolla, CA 92093 USA; [Griesel, A.] Univ Hamburg, Inst Oceanog, Hamburg, Germany</t>
  </si>
  <si>
    <t>University of California System; University of California San Diego; Scripps Institution of Oceanography; University of Hamburg</t>
  </si>
  <si>
    <t>Griesel, A (corresponding author), Univ Calif San Diego, Scripps Inst Oceanog, 9500 Gilman Dr, La Jolla, CA 92093 USA.</t>
  </si>
  <si>
    <t>agriesel@ucsd.edu</t>
  </si>
  <si>
    <t>Gille, Sarah T./B-3171-2012; Mazloff, Matthew/AAG-6463-2019</t>
  </si>
  <si>
    <t>Mazloff, Matthew/0000-0002-1650-5850; Gille, Sarah/0000-0001-9144-4368</t>
  </si>
  <si>
    <t>CNES; Directorate For Geosciences; Office of Polar Programs (OPP) [0961218] Funding Source: National Science Foundation</t>
  </si>
  <si>
    <t>CNES(Centre National D'etudes Spatiales); Directorate For Geosciences; Office of Polar Programs (OPP)(National Science Foundation (NSF)NSF - Directorate for Geosciences (GEO))</t>
  </si>
  <si>
    <t>We are grateful to Nikos Pavlis and to Bruce Cornuelle for helpful discussions. Deniz Varilsuha helped with analyses of CTD sections. MDT-CNES-CLS09 was produced by CLS Space Oceanography Division and distributed by Aviso, with support from CNES (http://www.aviso.oceanobs.com/). MN05 has been obtained from Nikolai Maximenko (IPRC) and Peter Niiler (SIO). We acknowledge http://grace.jpl.nasa.gov/data/dot/ for providing GGM02C. EGM08 was obtained via http://earth-info.nga.mil/GandG/wgs84/gravitymod/egm2008/.</t>
  </si>
  <si>
    <t>C01020</t>
  </si>
  <si>
    <t>10.1029/2011JC007573</t>
  </si>
  <si>
    <t>884MC</t>
  </si>
  <si>
    <t>WOS:000299708700004</t>
  </si>
  <si>
    <t>Middag, R; de Baar, HJW; Laan, P; Huhn, O</t>
  </si>
  <si>
    <t>Middag, R.; de Baar, H. J. W.; Laan, P.; Huhn, O.</t>
  </si>
  <si>
    <t>The effects of continental margins and water mass circulation on the distribution of dissolved aluminum and manganese in Drake Passage</t>
  </si>
  <si>
    <t>ANTARCTIC CIRCUMPOLAR CURRENT; SURFACE WATERS; TRACE-METALS; DUST DEPOSITION; SILICIC-ACID; IRON; ATLANTIC; OCEAN; DEEP; SEA</t>
  </si>
  <si>
    <t>A total of 232 samples were analyzed for concentrations of dissolved aluminum ([Al]) and manganese ([Mn]) in Drake Passage. Both [Al] and [Mn] were extremely low (similar to 0.3 and 0.1 nM, respectively) in the surface layer of the middle Drake Passage, most likely due to limited input and biological uptake/scavenging. Elevated [Al] (&gt;14 nM) and [Mn] (&gt;2 nM) over the South American continental shelf are related to land run-off, whereas elevated concentrations (&gt;1 nM and &gt;2 nM, respectively) near the Antarctic Peninsula are most likely related to sediment re-suspension. Re-suspension of sedimentary particles and pore waters influences the distribution of [Al] and [Mn] over the continental slopes on both sides of Drake Passage. The influence of the continental margins and accumulated dust input potentially explains the higher [Al] observed eastward in the Atlantic section of the Southern Ocean. In the northern Drake Passage, elevated [Al] (similar to 0.8 nM) and [Mn] (similar to 0.3 nM) near the seafloor are most likely the result of bottom sediment re-suspension by the relatively strong currents. In the deep southern Drake Passage sediment re-suspension associated with the inflow of Weddell Sea Deep Water appears to cause elevated [Al] (&gt;1 nM) and [Mn] (similar to 0.4 nM). In the deep northern Drake Passage, North Atlantic Deep Water brings in elevated [Al] and Southeast Pacific Deep Slope Water brings in the signature of Pacific hydrothermal vents. Elevated [Mn] and delta He-3 were correlated in this water layer and are most likely originating from the volcanically active ridges in the Pacific Ocean.</t>
  </si>
  <si>
    <t>[Middag, R.; de Baar, H. J. W.; Laan, P.] Royal Netherlands Inst Sea Res, NL-1797 SZ Den Burg, Texel, Netherlands; [Middag, R.] Univ Calif Santa Cruz, Inst Marine Sci, Santa Cruz, CA 95064 USA; [Middag, R.] Univ Calif Santa Cruz, Dept Ocean Sci, Santa Cruz, CA 95064 USA; [de Baar, H. J. W.] Univ Groningen, Dept Ocean Ecosyst, Groningen, Netherlands; [Huhn, O.] Univ Bremen, Inst Umweltphys, D-28359 Bremen, Germany</t>
  </si>
  <si>
    <t>Utrecht University; Royal Netherlands Institute for Sea Research (NIOZ); University of California System; University of California Santa Cruz; University of California System; University of California Santa Cruz; University of Groningen; University of Bremen</t>
  </si>
  <si>
    <t>Middag, R (corresponding author), Royal Netherlands Inst Sea Res, Landsdiep 4, NL-1797 SZ Den Burg, Texel, Netherlands.</t>
  </si>
  <si>
    <t>rob.middag@nioz.nl</t>
  </si>
  <si>
    <t>; Middag, Rob/D-6423-2013</t>
  </si>
  <si>
    <t>Huhn, Oliver/0000-0003-3626-9135; Middag, Rob/0000-0002-3326-530X</t>
  </si>
  <si>
    <t>Netherlands Organisation for Scientific Research (NWO), IPY-NL-GEOTRACES [851.40.101]</t>
  </si>
  <si>
    <t>Netherlands Organisation for Scientific Research (NWO), IPY-NL-GEOTRACES</t>
  </si>
  <si>
    <t>This work was funded by the Netherlands Organisation for Scientific Research (NWO), IPY-NL-GEOTRACES sub-project 851.40.101. The authors would like to express their gratitude to the master S. Schwarze and crew of R/V Polarstern for their unforgettable support during this expedition. Constructive comments of six reviewers and the associate editor are appreciated and have led to significant improvements of the manuscript. Special thanks to Loes Gerringa for her constructive comments and our colleagues Maarten Klunder and Charles-Edouard Thuroczy for their help with sampling and general support and to Sven Ober for the operation of the all-titanium CTD sampling system for trace metals. Sven Ober was assisted by Willem Polman who, together with the pilot, tragically lost his life during this expedition in a helicopter accident. His help and support were invaluable, as were his personality and presence. Willem Polman will therefore live on in our memories. After this tragic loss Michal Stimac stepped up to help with the operation of the TM sampling system. For this we are most grateful, as without his efforts we would not have been able to continue our work in the memory of the colleagues we lost. Finally, we would like to express a lot of gratitude to all participants of cruise ANT XXIV/3, for their help and support during this memorable expedition.</t>
  </si>
  <si>
    <t>C01019</t>
  </si>
  <si>
    <t>10.1029/2011JC007434</t>
  </si>
  <si>
    <t>WOS:000299708700001</t>
  </si>
  <si>
    <t>Jones, RR</t>
  </si>
  <si>
    <t>Jones, Roderick Rhys</t>
  </si>
  <si>
    <t>Antarctic toll</t>
  </si>
  <si>
    <t>British Antarctic Monument Trust, London, England</t>
  </si>
  <si>
    <t>Jones, RR (corresponding author), British Antarctic Monument Trust, London, England.</t>
  </si>
  <si>
    <t>10.1016/S0262-4079(12)60233-4</t>
  </si>
  <si>
    <t>WOS:000299908300020</t>
  </si>
  <si>
    <t>Markle, BR; Bertler, NAN; Sinclair, KE; Sneed, SB</t>
  </si>
  <si>
    <t>Markle, B. R.; Bertler, N. A. N.; Sinclair, K. E.; Sneed, S. B.</t>
  </si>
  <si>
    <t>Synoptic variability in the Ross Sea region, Antarctica, as seen from back-trajectory modeling and ice core analysis</t>
  </si>
  <si>
    <t>DEUTERIUM EXCESS SIGNAL; SOUTHERN ANNULAR MODE; CLUSTER-ANALYSIS; ISOTOPIC COMPOSITION; EL-NINO; ATMOSPHERIC CIRCULATION; MESOSCALE CYCLOGENESIS; CLIMATE VARIABILITY; LAW DOME; PRECIPITATION</t>
  </si>
  <si>
    <t>Synoptic variability in the Ross Sea region, Antarctica over the last thirty years is investigated using back-trajectory modeling and cluster analysis. We identify two dominant air-mass trajectory clusters: oceanic/West Antarctic and continental/East Antarctic. Our analysis shows that the oceanic/West Antarctic trajectories have an annual cycle similar to the Semiannual Oscillation and on average peak in frequency during April, while continental/East Antarctic trajectories reach their annual maximum during December. We demonstrate a causal association between the El Nino Southern Oscillation (ENSO) and the frequency of oceanic/West Antarctic trajectories originating from the Ross Sea and Amundsen Sea regions. In contrast, we find that the Southern Annular Mode (SAM) has little influence on the trajectory cluster frequencies. We then develop proxy records for synoptic variability using a shallow firn core from Gawn Ice Piedmont in Southern Victoria Land. Continental/East Antarctic trajectory frequency correlates with concentrations of nitrate (NO3), which is sourced from stratospheric air-masses descending over the Antarctic interior. At seasonal to inter-annual scales, the frequency of oceanic/West Antarctic trajectory clusters strongly correlate with deuterium excess, which is sensitive to changes in relative humidity and sea surface temperature in the Ross and Amundsen Seas. Inter-annual variability in the frequency of oceanic/West Antarctic trajectories is discussed with respect to ENSO and changes in SST and sea ice extent.</t>
  </si>
  <si>
    <t>[Markle, B. R.; Bertler, N. A. N.] Victoria Univ Wellington, Joint Antarctic Res Inst, Wellington 6001, New Zealand; [Markle, B. R.; Bertler, N. A. N.; Sinclair, K. E.] GNS Sci, Natl Isotope Ctr, Wellington 5010, New Zealand; [Sneed, S. B.] Univ Maine, Climate Change Inst, Orono, ME 04469 USA</t>
  </si>
  <si>
    <t>Victoria University Wellington; GNS Science - New Zealand; University of Maine System; University of Maine Orono</t>
  </si>
  <si>
    <t>Markle, BR (corresponding author), Victoria Univ Wellington, Joint Antarctic Res Inst, POB 600, Wellington 6001, New Zealand.</t>
  </si>
  <si>
    <t>bradley.markle@gmail.com</t>
  </si>
  <si>
    <t>Markle, Bradley R/I-6132-2019; Bertler, Nancy A N/F-3967-2011</t>
  </si>
  <si>
    <t>Markle, Bradley/0000-0002-2282-6546; Bertler, Nancy/0000-0001-6028-4891</t>
  </si>
  <si>
    <t>New Zealand Foundation of Research, Science, and Technology [VICX0704, COX0202, CO5X0902]; U.S. State Department</t>
  </si>
  <si>
    <t>New Zealand Foundation of Research, Science, and Technology(New Zealand Foundation for Research, Science and Technology); U.S. State Department</t>
  </si>
  <si>
    <t>This work was funded by the New Zealand Foundation of Research, Science, and Technology via contracts awarded to Victoria University of Wellington and GNS Science (contracts VICX0704, COX0202, and CO5X0902) and by a Fulbright Fellowship from the U.S. State Department. We would like to thank Antarctica New Zealand and Scott Base for logistical support in Antarctica. NCEP/NCAR re-analysis time series were obtained from NOAA Earth System Research Laboratory (http://www.esrl.noaa.gov/psd/data/reanalysis/reanalysis.shtml), as were the SOI and OI SST data (http://www.esrl.noaa.gov/psd/data/climateindices/list/). Sea ice extent and anomaly data was obtained from the National Snow and Ice Data Center (http://nsidc.colorado.edu/data/seaice_index/). The Marshall SAM index was obtained from G. Marshall at http://www.antarctica.ac.uk/met/gjma/sam.html.</t>
  </si>
  <si>
    <t>JAN 27</t>
  </si>
  <si>
    <t>D02113</t>
  </si>
  <si>
    <t>10.1029/2011JD016437</t>
  </si>
  <si>
    <t>884KD</t>
  </si>
  <si>
    <t>WOS:000299702900004</t>
  </si>
  <si>
    <t>Cullen, JJ; Davis, RF; Huot, Y</t>
  </si>
  <si>
    <t>Cullen, John J.; Davis, Richard F.; Huot, Yannick</t>
  </si>
  <si>
    <t>Spectral model of depth-integrated water column photosynthesis and its inhibition by ultraviolet radiation</t>
  </si>
  <si>
    <t>GLOBAL BIOGEOCHEMICAL CYCLES</t>
  </si>
  <si>
    <t>FLUORESCENCE EXCITATION-SPECTRA; OCEAN PRIMARY PRODUCTION; PRIMARY PRODUCTIVITY; OZONE DEPLETION; PHYTOPLANKTON PRODUCTION; ANTARCTIC PHYTOPLANKTON; MARINE PHOTOSYNTHESIS; CASE-1 WATERS; LIGHT; CHLOROPHYLL</t>
  </si>
  <si>
    <t>Depth-integrated models of primary production (DIMs) are used to estimate water column photosynthesis as a function of chlorophyll concentration, irradiance at the surface, the penetration of photosynthetically available radiation (PAR), and parameters of the relationship between photosynthesis and PAR. These models are inherently unable to account for variability in the ratio of photosynthetically utilizable radiation (PUR) to PAR with depth and water type, and they cannot account for the inhibition of photosynthesis by ultraviolet radiation, UVR. These important spectral effects - all sensitive to climate change - are readily described with numerical models that require many computations and are unsuitable for some important applications, including the estimation of aquatic productivity from remote sensing. We present a simple DIM that accounts for the spectral effects of irradiance on photosynthesis, including inhibition by UVR. Water column photosynthesis, normalized to surface chlorophyll and scaled to the maximum rate per unit chlorophyll, is described as a function of four dimensionless derived variables: E*(PUR), PUR at the surface scaled to the saturation irradiance for photosynthesis; T*(PUR), water transparency, normalized to a depth scale and weighted spectrally for photosynthetic absorption; E*(PIR), surface irradiance weighted spectrally for inhibition of photosynthesis; and T*(PIR), scaled transparency weighted for photosynthesis-inhibiting radiation. Simple functions of these variables closely approximate (within 6%) the results of a full-spectral numerical model of instantaneous and daily integrated water column photosynthesis with and without UVR for a broad range of water types, solar angles, stratospheric ozone concentrations and biological properties of phytoplankton. The spectral DIM is suitable for examining patterns in global ocean productivity and can be used to assess the biological effects of variations in solar radiation (e.g., ozone depletion) and water clarity in climate-change scenarios for lakes and oceans.</t>
  </si>
  <si>
    <t>[Cullen, John J.; Davis, Richard F.] Dalhousie Univ, Dept Oceanog, Halifax, NS B3H 4R2, Canada; [Huot, Yannick] Univ Sherbrooke, Dept Geomat Appl, Sherbrooke, PQ J1K 2R1, Canada</t>
  </si>
  <si>
    <t>Dalhousie University; University of Sherbrooke</t>
  </si>
  <si>
    <t>Cullen, JJ (corresponding author), Dalhousie Univ, Dept Oceanog, Halifax, NS B3H 4R2, Canada.</t>
  </si>
  <si>
    <t>John.Cullen@dal.ca</t>
  </si>
  <si>
    <t>Cullen, John J/B-6105-2008; Cuillen, John/AAE-1371-2019; Huot, Yannick/B-4497-2008</t>
  </si>
  <si>
    <t>Cuillen, John/0000-0002-7740-0999; Huot, Yannick/0000-0003-1793-761X</t>
  </si>
  <si>
    <t>NSERC (Ocean Tracking Network); Canadian Foundation for Climate and Atmospheric Sciences; NOPP; U.S. Office of Naval Research</t>
  </si>
  <si>
    <t>NSERC (Ocean Tracking Network); Canadian Foundation for Climate and Atmospheric Sciences; NOPP; U.S. Office of Naval Research(Office of Naval Research)</t>
  </si>
  <si>
    <t>This study was funded by NSERC (Research Partnerships, Discovery Grants, Ocean Tracking Network), the Canadian Foundation for Climate and Atmospheric Sciences, NOPP (PAR-ADIGM project) and the U.S. Office of Naval Research. Prior support from NSF Polar Programs, NASA and Environment Canada, collaboration with P.J. Neale, and interactions with W. F. Vincent made the development of these ideas possible. Comments from three anonymous reviewers, including one who remained unconvinced of the value of this work, led to significant improvements in the manuscript.</t>
  </si>
  <si>
    <t>0886-6236</t>
  </si>
  <si>
    <t>1944-9224</t>
  </si>
  <si>
    <t>GLOBAL BIOGEOCHEM CY</t>
  </si>
  <si>
    <t>Glob. Biogeochem. Cycle</t>
  </si>
  <si>
    <t>JAN 26</t>
  </si>
  <si>
    <t>GB1011</t>
  </si>
  <si>
    <t>10.1029/2010GB003914</t>
  </si>
  <si>
    <t>Environmental Sciences; Geosciences, Multidisciplinary; Meteorology &amp; Atmospheric Sciences</t>
  </si>
  <si>
    <t>Environmental Sciences &amp; Ecology; Geology; Meteorology &amp; Atmospheric Sciences</t>
  </si>
  <si>
    <t>884JL</t>
  </si>
  <si>
    <t>WOS:000299700900001</t>
  </si>
  <si>
    <t>Ayers, JM; Lozier, MS</t>
  </si>
  <si>
    <t>Ayers, Jennifer M.; Lozier, M. Susan</t>
  </si>
  <si>
    <t>Unraveling dynamical controls on the North Pacific carbon sink</t>
  </si>
  <si>
    <t>DISSOLVED INORGANIC CARBON; NET COMMUNITY PRODUCTION; FRONTAL DISTURBANCES; ATMOSPHERIC CO2; ORGANIC-MATTER; MIXED-LAYER; HEAT-BUDGET; OCEAN; CIRCULATION; NUTRIENTS</t>
  </si>
  <si>
    <t>A broad swath across the North Pacific basin uptakes a disproportionately large amount of atmospheric CO2 every year, with the region of most intense uptake located in the North Pacific transition zone, from similar to 30 degrees N to 40 degrees N-45 degrees N. Though a net carbon sink on a mean annual basis, the region varies seasonally between a strong sink in winter and a neutral to weak source in summer. Herein we use observational carbon data to investigate processes regulating air-sea CO2 flux in this region on seasonal and annual timescales by quantifying the impacts of temperature, biology, and physics on seawater pCO(2). Temperature effects dominate the pCO(2) signal seasonally, yet support only a portion of the annual CO2 uptake in the region, via their impact on the solubility of CO2 in seawater. Instead, processes removing carbon from surface waters dominantly support the region's uptake of CO2 on annual timescales: the vertical export of organic carbon to depth, and the geostrophic advection of dissolved inorganic carbon laterally out of the region. We find the location of this carbon sink region, traditionally attributed to a combination of biological and temperature effects, to instead be driven by the steady geostrophic divergence of DIC at these latitudes.</t>
  </si>
  <si>
    <t>[Ayers, Jennifer M.; Lozier, M. Susan] Duke Univ, Nicholas Sch Environm, Dept Earth &amp; Ocean Sci, Durham, NC 27708 USA</t>
  </si>
  <si>
    <t>Duke University</t>
  </si>
  <si>
    <t>Ayers, JM (corresponding author), Univ Tasmania, Inst Marine &amp; Antarctic Studies, Private Bag 129, Hobart, Tas 7001, Australia.</t>
  </si>
  <si>
    <t>jennifer.ayers@utas.edu.au</t>
  </si>
  <si>
    <t>Ayers, Jennifer M/A-2570-2012</t>
  </si>
  <si>
    <t>National Defense Science and Engineering Graduate Fellowship (NDSEG); Katherine Goodman Stern Fellowship; North Carolina Space Grant; National Science Foundation</t>
  </si>
  <si>
    <t>National Defense Science and Engineering Graduate Fellowship (NDSEG); Katherine Goodman Stern Fellowship; North Carolina Space Grant; National Science Foundation(National Science Foundation (NSF))</t>
  </si>
  <si>
    <t>Support for the work of J.M.A. provided by a National Defense Science and Engineering Graduate Fellowship (NDSEG), a Katherine Goodman Stern Fellowship, and a North Carolina Space Grant. Support for the work of M. S. L. provided by the National Science Foundation. The authors thank T. Westberry for generously sharing his vertically resolved productivity estimates, and Nicolas Cassar and R. T. Barber for their enthusiastic and thoughtful comments on this work.</t>
  </si>
  <si>
    <t>C01017</t>
  </si>
  <si>
    <t>10.1029/2011JC007368</t>
  </si>
  <si>
    <t>884LJ</t>
  </si>
  <si>
    <t>Bronze, Green Published, Green Accepted</t>
  </si>
  <si>
    <t>WOS:000299706500001</t>
  </si>
  <si>
    <t>Mishra, R; Sudhakar, M</t>
  </si>
  <si>
    <t>Mishra, Ravi; Sudhakar, M.</t>
  </si>
  <si>
    <t>Recovery of the GSLV debris from the shallow waters of the Bay of Bengal, off Sriharikota, Andhra Pradesh, India</t>
  </si>
  <si>
    <t>Debris recovery; geosynchronous satellite; side scan sonar; swath bathymetry</t>
  </si>
  <si>
    <t>The Geosynchronous Satellite Launch Vehicle (GSLV) launched from SHAR, Sriharikota on 10 July 2006 fell into the Bay of Bengal due to failure of the first stage L-40 engine. Search for recovering strap on engine(s) for conducting failure analysis was undertaken. Sagar Kanya, Sagar Purvi and Sagar Paschimi the vessels of the Ministry of Earth Sciences, Government of India, and Akademik Boris Petrov, a research vessel that was hired, were deployed in search and recovery operations. Methods adopted for search were swath bathymetric surveys, side scan sonar surveys, underwater videography and search by remotely operated vehicles. Divers guided by survey results, recovered three engines and parts of a fourth engine within 100 days of the mishap from 10 to 30 m depth in the Bay of Bengal.</t>
  </si>
  <si>
    <t>[Mishra, Ravi] Natl Ctr Antarctic &amp; Ocean Res, Vasco 403804, Goa, India; [Sudhakar, M.] Minist Earth Sci, New Delhi 110003, India</t>
  </si>
  <si>
    <t>Ministry of Earth Sciences (MoES) - India; National Centre for Polar and Ocean Research (NCPOR); Ministry of Earth Sciences (MoES) - India</t>
  </si>
  <si>
    <t>Mishra, R (corresponding author), Natl Ctr Antarctic &amp; Ocean Res, Vasco 403804, Goa, India.</t>
  </si>
  <si>
    <t>ravimishra@ncaor.org</t>
  </si>
  <si>
    <t>JAN 25</t>
  </si>
  <si>
    <t>886MA</t>
  </si>
  <si>
    <t>WOS:000299857300024</t>
  </si>
  <si>
    <t>de la Torre, A; Alexander, P; Hierro, R; Llamedo, P; Rolla, A; Schmidt, T; Wickert, J</t>
  </si>
  <si>
    <t>de la Torre, A.; Alexander, P.; Hierro, R.; Llamedo, P.; Rolla, A.; Schmidt, T.; Wickert, J.</t>
  </si>
  <si>
    <t>Large-amplitude gravity waves above the southern Andes, the Drake Passage, and the Antarctic Peninsula</t>
  </si>
  <si>
    <t>STRATOSPHERIC BALLOON FLIGHTS; MOMENTUM FLUX; PHASE SPEEDS; ATMOSPHERE</t>
  </si>
  <si>
    <t>Above the southern Andes range and its prolongation in the Antarctic Peninsula, large-amplitude mountain and shear gravity waves observed with Weather Research and Forecasting (WRF) mesoscale model simulations during winter 2009 are analyzed. Two specific reasons motivated this study: (1) a decade of satellite observations of temperature fluctuations in the stratosphere, allowing us to infer that this region may be launching the largest-amplitude gravity waves into the upper atmosphere, and (2) the recent design of a research program to investigate these features in detail, the Southern Andes Antarctic Gravity wave Initiative (SAANGRIA). The simulations are forced with ERA-Interim data from the European Centre for Medium-Range Weather Forecasts. The approach selected for the regional downscaling is based on consecutive integrations with weekly reinitialization with 24 h of spin-up, and the outputs during this period are excluded from the analysis. From 1 June to 31 August 2009, five case studies were selected on the basis of their outstanding characteristics and large wave amplitudes. In general, one or two prevailing modes of oscillation are identified after applying continuous wavelet transforms at constant pressure levels and perpendicularly to the nominal orientation of the dominant wave crests. In all cases, the dominant modes are characterized by horizontal wavelengths around 50 km. Their vertical wavelengths, depending on a usually strong background wind shear, are estimated to be between 2 and 11 km. The corresponding intrinsic periods range between 10 and 140 min. In general, the estimated vertical wavelength (intrinsic period) maximizes (minimizes) around 250-300 hPa. The synoptic circulation for each case is described. Zonal and meridional components of the vertical flux of horizontal momentum are shown in detail for each case, including possible horizontal wavelengths between 12 and 400 km. Large values of this flux are observed at higher pressure levels, decreasing with increasing height after a progressive deposition of momentum by different mechanisms. As expected, in the wintertime upper troposphere and lower stratosphere in this region, a prevailing zonal component is negative almost everywhere, with the exception of one case above the northern tip of the Antarctic Peninsula. A comparison with previous experimental results reported in the region from in situ and remote sensing measurements suggests a good agreement with the momentum flux profiles computed from the simulations. Partial wave reflection near the tropopause was found, as considerable departures from equipartition between potential and kinetic wave energy are obtained in all cases and at all pressure levels. This ratio was always less than 1 below the lower stratosphere.</t>
  </si>
  <si>
    <t>[de la Torre, A.; Hierro, R.; Llamedo, P.; Rolla, A.] Univ Austral, Fac Ingn, Buenos Aires, DF, Argentina; [Alexander, P.] Univ Buenos Aires, Fac Ciencias Exactas &amp; Nat, Dept Fis, RA-1428 Buenos Aires, DF, Argentina; [Schmidt, T.; Wickert, J.] GFZ German Res Ctr Geosci, Helmholtz Ctr Potsdam, D-14473 Potsdam, Germany</t>
  </si>
  <si>
    <t>Austral University; University of Buenos Aires; Helmholtz Association; Helmholtz-Center Potsdam GFZ German Research Center for Geosciences</t>
  </si>
  <si>
    <t>de la Torre, A (corresponding author), Univ Austral, Fac Ingn, Avda Garay 125,5To Piso,C1063ABB, Buenos Aires, DF, Argentina.</t>
  </si>
  <si>
    <t>adelatorre@austral.edu.ar; peter@df.uba.ar; rhierro@austral.edu.ar; pllamedo@austral.edu.ar; arolla@austral.edu.ar; tschmidt@gfz-potsdam.de; wickert@gfz-potsdam.de</t>
  </si>
  <si>
    <t>Wickert, Jens/A-7257-2013; Schmidt, Torsten/A-7142-2013; Alexander, Peter/R-5044-2019; Fernández-Hierro, Rosa/E-3681-2015</t>
  </si>
  <si>
    <t>Schmidt, Torsten/0000-0001-9302-1000; Alexander, Peter/0000-0001-9455-2487; Fernández-Hierro, Rosa/0000-0002-4206-9132; Rolla, Alfredo Luis/0000-0003-1904-8234; Hierro, Rodrigo/0000-0001-7835-8801; de la Torre, Alejandro/0000-0002-4950-5638; Llamedo, Pablo/0000-0002-7128-5395</t>
  </si>
  <si>
    <t>UBA [X004]; CONICET [PIP 5932]; ANPCyT [PICT 1999]; DFG [CAWSES SPP 1176]</t>
  </si>
  <si>
    <t>UBA(University of Buenos Aires); CONICET(Consejo Nacional de Investigaciones Cientificas y Tecnicas (CONICET)); ANPCyT(ANPCyT); DFG(German Research Foundation (DFG))</t>
  </si>
  <si>
    <t>This paper was prepared under grants UBA X004, CONICET PIP 5932, and ANPCyT PICT 1999. A. de la Torre and P. Alexander are members of and P. Llamedo holds a fellowship from CONICET. The GFZ contribution was partially funded through DFG priority program CAWSES SPP 1176. We acknowledge data provided by the NOAA CIRES/Climate Diagnostics Center, Boulder (Colorado) from their Web site http://www.cdc.noaa.gov. The authors thank the ECMWF for providing the ERA-Interim data.</t>
  </si>
  <si>
    <t>JAN 24</t>
  </si>
  <si>
    <t>D02106</t>
  </si>
  <si>
    <t>10.1029/2011JD016377</t>
  </si>
  <si>
    <t>884JT</t>
  </si>
  <si>
    <t>WOS:000299701800001</t>
  </si>
  <si>
    <t>Fenice, M; Barghini, P; Selbmann, L; Federici, F</t>
  </si>
  <si>
    <t>Fenice, Massimiliano; Barghini, Paolo; Selbmann, Laura; Federici, Federico</t>
  </si>
  <si>
    <t>Combined effects of agitation and aeration on the chitinolytic enzymes production by the Antarctic fungus Lecanicillium muscarium CCFEE 5003</t>
  </si>
  <si>
    <t>MICROBIAL CELL FACTORIES</t>
  </si>
  <si>
    <t>Chitinolytic enzymes production; Lecanicillium muscarium; Response Surface Methodology; Agitation and aeration</t>
  </si>
  <si>
    <t>RESPONSE-SURFACE METHODOLOGY; CHITINASE PRODUCTION; TRICHODERMA-HARZIANUM; VERTICILLIUM-LECANII; MEDIUM OPTIMIZATION; WASTE-WATER; FERMENTATION; TEMPERATURE; STRAINS; DESIGN</t>
  </si>
  <si>
    <t>Background: The Antarctic fungus Lecanicillium muscarium CCFEE 5003 is one of the most powerful chitinolytic organisms. It can produce high level of chitinolytic enzymes in a wide range of temperatures (5-30 degrees C). Chitinolytic enzymes have lot of applications but their industrial production is still rather limited and no cold-active enzymes are produced. In view of massive production of L. muscarium chitinolytic enzymes, its cultivation in bioreactors is mandatory. Microbial cultivation and/or their metabolite production in bioreactors are sometime not possible and must be verified and optimized for possible exploitation. Agitation and aeration are the most important parameters in order to allow process up-scaling to the industrial level. Results: In this study, submerged cultures of L. muscarium CCFEE 5003 were carried out in a 2-L bench-top CSTR bioreactor in order to optimise the production of chitinolytic enzymes. The effect of stirrer speed (range 200-500 rpm) and aeration rate (range 0.5-1.5 vvm) combination was studied, by Response Surface Methodology (RSM), in a medium containing 1.0% yeast nitrogen base and 1% colloidal chitin. Optimization was carried out, within a quadratic D-optimal model, using quantitative and quantitative-multilevel factors for aeration and agitation, respectively. The model showed very good correlation parameters (R-2, 0.931; Q(2), 0.869) and the maximum of activity (373.0 U/L) was predicted at ca. 327 rpm and 1.1 vvm. However, the experimental data showed that highest activity (383.7 +/- 7.8 U/L) was recorded at 1 vvm and 300 rpm. Evident shear effect caused by stirrer speed and, partially, by high aeration rates were observed. Under optimized conditions in bioreactor the fungus was able to produce a higher number of chitinolytic enzymes than those released in shaken flasks. In addition, production was 23% higher. Conclusions: This work demonstrated the attitude of L. muscarium CCFEE 5003 to grow in bench-top bioreactor; outlined the strong influence of aeration and agitation on its growth and enzyme production and identified the optimal conditions for possible production at the industrial level.</t>
  </si>
  <si>
    <t>[Fenice, Massimiliano; Barghini, Paolo; Selbmann, Laura; Federici, Federico] Univ Tuscia, Dipartimento Sci Ecol &amp; Biol, Largo Univ Snc, I-01100 Viterbo, Italy</t>
  </si>
  <si>
    <t>Tuscia University</t>
  </si>
  <si>
    <t>Fenice, M (corresponding author), Univ Tuscia, Dipartimento Sci Ecol &amp; Biol, Largo Univ Snc, I-01100 Viterbo, Italy.</t>
  </si>
  <si>
    <t>fenice@unitus.it</t>
  </si>
  <si>
    <t>Selbmann, Laura/L-3056-2013; Barghini, Paolo/AAA-5865-2020; Fenice, Massimiliano/L-9195-2014</t>
  </si>
  <si>
    <t>Selbmann, Laura/0000-0002-8967-3329; Fenice, Massimiliano/0000-0001-8504-0885; Barghini, Paolo/0000-0001-6014-1321</t>
  </si>
  <si>
    <t>Italian National Program for Antarctic Researches (PNRA: Programma Nazionale Ricerche Antartiche)</t>
  </si>
  <si>
    <t>This work was partially supported by the Italian National Program for Antarctic Researches (PNRA: Programma Nazionale Ricerche Antartiche).</t>
  </si>
  <si>
    <t>BIOMED CENTRAL LTD</t>
  </si>
  <si>
    <t>236 GRAYS INN RD, FLOOR 6, LONDON WC1X 8HL, ENGLAND</t>
  </si>
  <si>
    <t>1475-2859</t>
  </si>
  <si>
    <t>MICROB CELL FACT</t>
  </si>
  <si>
    <t>Microb. Cell. Fact.</t>
  </si>
  <si>
    <t>JAN 23</t>
  </si>
  <si>
    <t>10.1186/1475-2859-11-12</t>
  </si>
  <si>
    <t>918BJ</t>
  </si>
  <si>
    <t>WOS:000302223500001</t>
  </si>
  <si>
    <t>Flowerdew, MJ; Tyrrell, S; Riley, TR; Whitehouse, MJ; Mulvaney, R; Leat, PT; Marschall, HR</t>
  </si>
  <si>
    <t>Flowerdew, Michael J.; Tyrrell, Shane; Riley, Teal R.; Whitehouse, Martin J.; Mulvaney, Robert; Leat, Phillip T.; Marschall, Horst R.</t>
  </si>
  <si>
    <t>Distinguishing East and West Antarctic sediment sources using the Pb isotope composition of detrital K-feldspar</t>
  </si>
  <si>
    <t>CHEMICAL GEOLOGY</t>
  </si>
  <si>
    <t>Pb isotope; Zircon; K feldspar; Sedimentary provenance; Antarctica</t>
  </si>
  <si>
    <t>MARIE-BYRD LAND; DRONNING MAUD LAND; U-PB; TRANSANTARCTIC MOUNTAINS; SHACKLETON RANGE; 40AR/39AR AGES; GLACIER REGION; ELLSWORTH LAND; TRACE-ELEMENT; FLOOD BASALTS</t>
  </si>
  <si>
    <t>New Pb analyses of K feldspars (Kfs) from Archaean-Mesozoic crystalline rocks from across the Weddell Sea region of Antarctica show Pb isotopic compositions that vary geographically. Five distinct basement provinces are defined, each with characteristic Kfs Pb compositions, and indicate that the comparison of the Pb isotopic composition of individual detrital Kfs can be used as a sedimentary provenance tool in this region. This tool is tested on Permian sandstones deposited in a retro-arc foreland basin because the potential source regions for these sandstones, the active Palaeopacific margin arc of West Antarctica and uplifted regions of now ice-covered East Antarctica, comprise rocks with markedly different Pb isotope compositions. Pb compositions of detrital Kfs from sandstone samples collected from Dronning Maud Land suggest that their provenance was entirely from within East Antarctica, while those collected from the Theron Mountains, Coats Land, were wholly derived from the active margin of West Antarctica. Kfs Pb composition of bedrock samples is largely dependent on age and because Kfs tends to only survive a single cycle of erosion, transport, deposition and diagenesis, its provenance when compared with that determined by detrital zircon geochronology, may qualify what proportion of the more robust mineral zircon has been recycled through several sedimentary cycles. Detrital zircon analyses from a Permian sandstone from the Theron Mountains suggest that 45% of its detrital zircon was recycled from pre-existing (meta)sedimentary rocks. The detrital feldspar data also indicate that Archaean and 2.1 Ga crust, with a very different Pb isotope composition to any exposed in the Weddell Sea region, is likely to exist beneath the East Antarctic Ice sheet. (C) 2011 Elsevier B.V. All rights reserved. New Pb analyses of K feldspars (Kfs) from Archaean-Mesozoic crystalline rocks from across the Weddell Sea region of Antarctica show Pb isotopic compositions that vary geographically. Five distinct basement provinces are defined, each with characteristic Kfs Pb compositions, and indicate that the comparison of the Pb isotopic composition of individual detrital Kfs can be used as a sedimentary provenance tool in this region. This tool is tested on Permian sandstones deposited in a retro-arc foreland basin because the potential source regions for these sandstones, the active Palaeopacific margin arc of West Antarctica and uplifted regions of now ice-covered East Antarctica, comprise rocks with markedly different Pb isotope compositions. Pb compositions of detrital Kfs from sandstone samples collected from Dronning Maud Land suggest that their provenance was entirely from within East Antarctica, while those collected from the Theron Mountains, Coats Land, were wholly derived from the active margin of West Antarctica. Kfs Pb composition of bedrock samples is largely dependent on age and because Kfs tends to only survive a single cycle of erosion, transport, deposition and diagenesis, its provenance when compared with that determined by detrital zircon geochronology, may qualify what proportion of the more robust mineral zircon has been recycled through several sedimentary cycles. Detrital zircon analyses from a Permian sandstone from the Theron Mountains suggest that 45% of its detrital zircon was recycled from pre-existing (meta)sedimentary rocks. The detrital feldspar data also indicate that Archaean and 2.1 Ga crust, with a very different Pb isotope composition to any exposed in the Weddell Sea region, is likely to exist beneath the East Antarctic Ice sheet. (C) 2011 Elsevier B.V. All rights reserved.</t>
  </si>
  <si>
    <t>[Flowerdew, Michael J.; Riley, Teal R.; Mulvaney, Robert; Leat, Phillip T.] British Antarctic Survey, Cambridge CB3 0ET, England; [Tyrrell, Shane] Univ Coll Dublin, UCD Sch Geol Sci, Dublin 4, Ireland; [Whitehouse, Martin J.] Swedish Museum Nat Hist, SE-10405 Stockholm, Sweden; [Marschall, Horst R.] Woods Hole Oceanog Inst, Dept Geol &amp; Geophys, Woods Hole, MA 02543 USA</t>
  </si>
  <si>
    <t>UK Research &amp; Innovation (UKRI); Natural Environment Research Council (NERC); NERC British Antarctic Survey; University College Dublin; Swedish Museum of Natural History; Woods Hole Oceanographic Institution</t>
  </si>
  <si>
    <t>Flowerdew, MJ (corresponding author), British Antarctic Survey, Madingley Rd, Cambridge CB3 0ET, England.</t>
  </si>
  <si>
    <t>mf@bas.ac.uk</t>
  </si>
  <si>
    <t>Marschall, Horst/E-1661-2011; Mulvaney, Robert/K-3929-2012; Whitehouse, Martin/E-1425-2013</t>
  </si>
  <si>
    <t>Marschall, Horst/0000-0002-0609-682X; Flowerdew, Michael/0000-0002-9710-2593; Tyrrell, Shane/0000-0001-5782-9432; Mulvaney, Robert/0000-0002-5372-8148; Riley, Teal/0000-0002-3333-5021; Whitehouse, Martin/0000-0003-2227-577X</t>
  </si>
  <si>
    <t>Natural Environment Research Council; Transantarctic Association [TAA/09/02]; Science Foundation Ireland; Griffith Geoscience award; Natural Environment Research Council [bas0100026, NE/D008689/1] Funding Source: researchfish; NERC [NE/D008689/1, bas0100026] Funding Source: UKRI</t>
  </si>
  <si>
    <t>Natural Environment Research Council(UK Research &amp; Innovation (UKRI)Natural Environment Research Council (NERC)); Transantarctic Association; Science Foundation Ireland(Science Foundation Ireland); Griffith Geoscience award; Natural Environment Research Council(UK Research &amp; Innovation (UKRI)Natural Environment Research Council (NERC)); NERC(UK Research &amp; Innovation (UKRI)Natural Environment Research Council (NERC))</t>
  </si>
  <si>
    <t>This study is part of the British Antarctic Survey Polar Science for Planet Earth Programme and was funded by the Natural Environment Research Council. MJF acknowledges receipt of a Transantarctic Association grant TAA/09/02 and thanks also go to J.S. Daly for facilitating access to the National Centre for Isotope Geochemistry (NCIG), Dublin, a joint venture of UCD, Trinity College Dublin and University College Cork, funded mainly by Science Foundation Ireland. ST acknowledges funding from a Griffith Geoscience award. PTL and FIRM thank the BAS air unit and field operations management who greatly facilitated fieldwork in the Theron Mountains and in Dronning Maud Land. Thanks are also extended to Lev Ilyinsky and Kerstin Linden at the Nordsims facility, Stockholm, which is operated under joint agreement between the research councils of Denmark, Norway, and Sweden, the Geological Survey of Finland, and the Swedish Museum of Natural History. This is NORDSIM contribution 300. Editor Laurie Reisberg and two anonymous journal reviewers have substantially improved the clarity of this manuscript.</t>
  </si>
  <si>
    <t>0009-2541</t>
  </si>
  <si>
    <t>1872-6836</t>
  </si>
  <si>
    <t>CHEM GEOL</t>
  </si>
  <si>
    <t>Chem. Geol.</t>
  </si>
  <si>
    <t>10.1016/j.chemgeo.2011.11.006</t>
  </si>
  <si>
    <t>893ES</t>
  </si>
  <si>
    <t>WOS:000300339000008</t>
  </si>
  <si>
    <t>Fritts, DC; Janches, D; Iimura, H; Hocking, WK; Bageston, JV; Leme, NMP</t>
  </si>
  <si>
    <t>Fritts, D. C.; Janches, D.; Iimura, H.; Hocking, W. K.; Bageston, J. V.; Leme, N. M. P.</t>
  </si>
  <si>
    <t>Drake Antarctic Agile Meteor Radar first results: Configuration and comparison of mean and tidal wind and gravity wave momentum flux measurements with Southern Argentina Agile Meteor Radar</t>
  </si>
  <si>
    <t>LATENT-HEAT RELEASE; LOWER THERMOSPHERE; PLANETARY-WAVES; DIURNAL TIDES; POKER FLAT; INTERANNUAL VARIABILITY; VELOCITY FLUCTUATIONS; SEASONAL-VARIATION; MIDDLE ATMOSPHERE; SUMMER MESOPAUSE</t>
  </si>
  <si>
    <t>A new generation meteor radar was installed at the Brazilian Antarctic Comandante Ferraz Base (62.1 degrees S) in March 2010. This paper describes the motivations for the radar location, its measurement capabilities, and comparisons of measured mean winds, tides, and gravity wave momentum fluxes from April to June of 2010 and 2011 with those by a similar radar on Tierra del Fuego (53.8 degrees S). Motivations for the radars include the hotspot of small-scale gravity wave activity extending from the troposphere into the mesosphere and lower thermosphere (MLT) centered over the Drake Passage, the maximum of the semidiurnal tide at these latitudes, and the lack of other MLT wind measurements in this latitude band. Mean winds are seen to be strongly modulated at planetary wave and longer periods and to exhibit strong coherence over the two radars at shorter time scales as well as systematic seasonal variations. The semidiurnal tide contributes most to the large-scale winds over both radars, with maximum tidal amplitudes during May and maxima at the highest altitudes varying from similar to 20 to &gt;70 ms(-1). In contrast, the diurnal tide and various planetary waves achieve maximum winds of similar to 10 to 20 ms(-1). Monthly mean gravity wave momentum fluxes appear to reflect the occurrence of significant sources at lower altitudes, with relatively small zonal fluxes over both radars, but with significant, and opposite, meridional momentum fluxes below similar to 85 km. These suggest gravity waves propagating away from the Drake Passage at both sites, and may indicate an important source region accounting in part for this hotspot.</t>
  </si>
  <si>
    <t>[Fritts, D. C.; Iimura, H.] NW Res Associates, Colorado Res Associates Div, Boulder, CO USA; [Janches, D.] NASA, Goddard Space Flight Ctr, Space Weather Lab, Greenbelt, MD 20771 USA; [Bageston, J. V.; Leme, N. M. P.] Inst Nacl Pesquisas Espaciais, BR-12227010 Sao Jose Dos Campos, SP, Brazil; [Hocking, W. K.] Univ Western Ontario, Dept Phys, London, ON N6A 3K7, Canada</t>
  </si>
  <si>
    <t>NorthWest Research Associates; National Aeronautics &amp; Space Administration (NASA); NASA Goddard Space Flight Center; Instituto Nacional de Pesquisas Espaciais (INPE); Western University (University of Western Ontario)</t>
  </si>
  <si>
    <t>Fritts, DC (corresponding author), NW Res Associates, Colorado Res Associates Div, 3380 Mitchell Ln, Boulder, CO USA.</t>
  </si>
  <si>
    <t>dave@cora.nwra.com</t>
  </si>
  <si>
    <t>Bageston, Jose Valentin/F-1269-2018; Janches, Diego/D-4674-2012</t>
  </si>
  <si>
    <t>Janches, Diego/0000-0001-8615-5166; Bageston, Jose V/0000-0003-2931-8488</t>
  </si>
  <si>
    <t>NSF [OPP-0839084, ATM-0634650]; Secretaria for the Interministerial Commission of Sea Resources (SECIRM); Brazilian Antarctic Program (PROANTAR); National Institute for Science and Technology; Antarctic Environmental Research (INCT-APA); ATMANTAR/MCT/CNPq, FAPERJ; FAPESP [2010/06608-2]; Directorate For Geosciences; Office of Polar Programs (OPP) [0839084] Funding Source: National Science Foundation</t>
  </si>
  <si>
    <t>NSF(National Science Foundation (NSF)); Secretaria for the Interministerial Commission of Sea Resources (SECIRM); Brazilian Antarctic Program (PROANTAR); National Institute for Science and Technology; Antarctic Environmental Research (INCT-APA); ATMANTAR/MCT/CNPq, FAPERJ(Fundacao Carlos Chagas Filho de Amparo a Pesquisa do Estado do Rio De Janeiro (FAPERJ)); FAPESP(Fundacao de Amparo a Pesquisa do Estado de Sao Paulo (FAPESP)); Directorate For Geosciences; Office of Polar Programs (OPP)(National Science Foundation (NSF)NSF - Directorate for Geosciences (GEO))</t>
  </si>
  <si>
    <t>Research described in this paper was performed under NSF grants OPP-0839084 and ATM-0634650. We are especially grateful to the Secretaria for the Interministerial Commission of Sea Resources (SECIRM), the Brazilian Antarctic Program (PROANTAR), the National Institute for Science and Technology, Antarctic Environmental Research (INCT-APA), and the ATMANTAR/MCT/CNPq project, FAPERJ, for their support of this research and visits to Ferraz Station to install and service DrAAMER. We are also very grateful for the valuable assistance of personnel at Estacion Astronomica Rio Grande (EARG) with the operations and maintenance of SAAMER. J. V. Bageston thanks FAPESP for his postdoctorate fellowship under the process number 2010/06608-2. Finally, we are indebted to MARDOC and Genesis Software for working with us to devise a radar configuration that met our measurement objectives. We also acknowledge use of the CEDAR database and the GSWM-09 website at NCAR for GSWM-09 results employed for our comparisons.</t>
  </si>
  <si>
    <t>JAN 21</t>
  </si>
  <si>
    <t>D02105</t>
  </si>
  <si>
    <t>10.1029/2011JD016651</t>
  </si>
  <si>
    <t>880FN</t>
  </si>
  <si>
    <t>WOS:000299390400002</t>
  </si>
  <si>
    <t>Haase, JS; Maldonado-Vargas, J; Rabier, F; Cocquerez, P; Minois, M; Guidard, V; Wyss, P; Johnson, AV</t>
  </si>
  <si>
    <t>Haase, J. S.; Maldonado-Vargas, J.; Rabier, F.; Cocquerez, P.; Minois, M.; Guidard, V.; Wyss, P.; Johnson, A. V.</t>
  </si>
  <si>
    <t>A proof-of-concept balloon-borne Global Positioning System radio occultation profiling instrument for polar studies</t>
  </si>
  <si>
    <t>OPERATIONAL IMPLEMENTATION; DATA ASSIMILATION; GPS; ATMOSPHERE; CHAMP; SENSITIVITY; ANTARCTICA; RECEIVER; WATER</t>
  </si>
  <si>
    <t>Global warming has focused attention on the polar regions and recent changes in sea and land ice distribution. Accurate modeling of the future evolution of climate and weather in the Antarctic relies heavily on remote sensing observations. However, their reliable assimilation into numerical weather models and reanalyses is challenging because of the unique environment and sparsity of in-situ observations for validation. We developed a stratospheric balloon-borne GPS radio occultation system for the 2010 Concordiasi campaign to provide refractivity and derived temperature profiles for improving satellite data assimilation. The observed excess phase delay profiles agree with those simulated from model and dropsonde profiles. 711 occultations were recorded from two balloons, comparable to the number of profiles acquired by 13 driftsonde balloons. Of these profiles, 32% descended to 4 km above the surface, without open-loop receiver tracking technology, demonstrating it is possible to retrieve useful information with relatively simple low cost instruments. Citation: Haase, J. S., J. Maldonado-Vargas, F. Rabier, P. Cocquerez, M. Minois, V. Guidard, P. Wyss, and A. V. Johnson (2012), A proof-of-concept balloon-borne Global Positioning System radio occultation profiling instrument for polar studies, Geophys. Res. Lett., 39, L02803, doi:10.1029/2011GL049982.</t>
  </si>
  <si>
    <t>[Haase, J. S.; Johnson, A. V.] Purdue Univ, Dept Earth &amp; Atmospher Sci, W Lafayette, IN 47907 USA; [Maldonado-Vargas, J.] Univ Puerto Rico, Dept Phys, Mayaguez, PR 00681 USA; [Rabier, F.; Guidard, V.] Meteo France &amp; CNRS, CNRM GAME GMAP, F-31057 Toulouse, France; [Cocquerez, P.] Ctr Natl Etud Spatiales, F-31401 Toulouse, France; [Minois, M.] SOGETI High Tech, F-31703 Blagnac, France; [Wyss, P.] Purdue Univ, Dept Chem, W Lafayette, IN 47907 USA</t>
  </si>
  <si>
    <t>Purdue University System; Purdue University; University of Puerto Rico; University of Puerto Rico Mayaguez; Meteo France; Centre National de la Recherche Scientifique (CNRS); Purdue University System; Purdue University</t>
  </si>
  <si>
    <t>Haase, JS (corresponding author), Purdue Univ, Dept Earth &amp; Atmospher Sci, 550 Stadium Mall Dr, W Lafayette, IN 47907 USA.</t>
  </si>
  <si>
    <t>jhaase@purdue.edu; jayson.maldonado@upr.edu; florence.rabier@meteo.fr; Philippe.Cocquerez@cnes.fr; marc.minois@cnes.fr; vincent.guidard@meteo.fr; wyss@purdue.edu; ablanch@purdue.edu</t>
  </si>
  <si>
    <t>Haase, Jennifer S./AAX-9735-2020; GUIDARD, Vincent/X-3762-2019</t>
  </si>
  <si>
    <t>Haase, Jennifer S./0000-0001-8468-2368; GUIDARD, Vincent/0000-0002-4136-3962; Rabier, Florence/0000-0002-3222-6712</t>
  </si>
  <si>
    <t>NSF [0814290, ANT-1043676]; NSF Office of Polar Programs; University of Puerto Rico of Mayaguez; Meteo-France; CNES; CNRS/INSU; NCAR; University of Wyoming; Purdue University; University of Colorado; Alfred Wegener Institute; Met Office; ECMWF; IPEV; PNRA; USAP; BAS; Directorate For Geosciences; Office of Polar Programs (OPP) [1261680] Funding Source: National Science Foundation; Div Atmospheric &amp; Geospace Sciences; Directorate For Geosciences [0814290] Funding Source: National Science Foundation</t>
  </si>
  <si>
    <t>NSF(National Science Foundation (NSF)); NSF Office of Polar Programs(National Science Foundation (NSF)); University of Puerto Rico of Mayaguez; Meteo-France; CNES(Centre National D'etudes Spatiales); CNRS/INSU(Centre National de la Recherche Scientifique (CNRS)); NCAR(National Science Foundation (NSF)NSF - Directorate for Geosciences (GEO)); University of Wyoming; Purdue University; University of Colorado; Alfred Wegener Institute; Met Office; ECMWF; IPEV; PNRA; USAP; BAS; Directorate For Geosciences; Office of Polar Programs (OPP)(National Science Foundation (NSF)NSF - Directorate for Geosciences (GEO)); Div Atmospheric &amp; Geospace Sciences; Directorate For Geosciences(National Science Foundation (NSF)NSF - Directorate for Geosciences (GEO))</t>
  </si>
  <si>
    <t>This work was supported by NSF grants 0814290 and ANT-1043676. We thank the following people and organizations for their support: NSF Office of Polar Programs for the instrument deployment field support; J. Zimmerman and M. Everly at the Purdue University AMY Chemistry Facility for assistance with hardware development; O. Gallien, J.-M. Nicot, and the team at CNES for assistance with the GPS ROC payload integration; S. Cohn, J. Wang, and NCAR EOL for supplying the dropsonde dataset; University of Puerto Rico of Mayaguez for funding a summer internship for portions of this work; B. Murphy and P. Muradyan for assistance with the data processing. Maps were produced using the GMT software, http://www.soest.hawaii.edu/gmt/. Concordiasi was built by an international scientific group and is currently supported by the following agencies: Meteo-France, CNES, CNRS/INSU, NSF, NCAR, University of Wyoming, Purdue University, University of Colorado, the Alfred Wegener Institute, the Met Office, and ECMWF. Concordiasi also benefits from logistic or financial support of the operational polar agencies IPEV, PNRA, USAP and BAS, and from BSRN measurements at Concordia. Concordiasi is part of the THORPEX-IPY cluster within the International Polar Year effort. Detailed information on Concordiasi is available on the Web site http://www.cnrm.meteo.fr/concordiasi/. The authors thank the two anonymous reviewers for their constructive comments.</t>
  </si>
  <si>
    <t>L02803</t>
  </si>
  <si>
    <t>10.1029/2011GL049982</t>
  </si>
  <si>
    <t>880GX</t>
  </si>
  <si>
    <t>WOS:000299394400001</t>
  </si>
  <si>
    <t>Lin, H; Twining, BS</t>
  </si>
  <si>
    <t>Lin, Hai; Twining, Benjamin S.</t>
  </si>
  <si>
    <t>Chemical speciation of iron in Antarctic waters surrounding free-drifting icebergs</t>
  </si>
  <si>
    <t>Southern Ocean; Scotia Sea; Weddell Sea; Biogeochemistry; Fe(II); Iron complexation</t>
  </si>
  <si>
    <t>CATHODIC STRIPPING VOLTAMMETRY; NATURAL ORGANIC-LIGANDS; SOUTHERN-OCEAN; DISSOLVED IRON; OXIDATION-KINETICS; COMPLEXING LIGANDS; NORTH PACIFIC; FE; COMPLEXATION; FE(II)</t>
  </si>
  <si>
    <t>Free-drifting icebergs in the Southern Ocean may serve as an important source of iron (Fe) to surrounding waters. We studied the chemical speciation of Fe in the waters around several Antarctic icebergs during cruises to the Scotia and Weddell Seas in June 2008 and March 2009. Iron(II) was measured by flow injection chemiluminescence, and Fe-binding ligands were determined following the cruises via competitive ligand equilibrium-cathodic stripping voltammetry. Iron(11) concentrations were significantly higher within 1 km of the nearest iceberg (146 +/- 11 pM: 12 +/- 0.8% of total dissolved Fe (NFe)) compared to farther stations (66 +/- 12 pM; 4 +/- 1% of DFe). Iron(II) concentrations were significantly positively correlated with incident light levels, indicating a photochemical source. However spatial Fe(II) gradients were statistically significant even after accounting for light effects and were stronger than gradients in DFe or phytoplankton biomass. Iron(11) was also higher at deeper depths along the iceberg face, suggesting Fe(II) is directly released from ice-rafted minerals. Total Fe-binding ligand concentrations were significantly higher closer to icebergs in the fall but not in the winter, when plankton biomass and grazing activity were substantially lower. Ligands were always present in excess of DFe, but ligands were more fully titrated with DFe in the fall. Ligand/DFe ratios were relatively low (1.2-1.7) compared to other Southern Ocean studies, suggesting that ligands were mostly titrated and additional Fe inputs would be prone to scavenging. Conditional stability constants of ligands (K', with respect to Fe') ranged from 10(11.9) to 10(12.9). Macrozooplankton grazing pressure was also elevated near icebergs and may have served as a source of Fe(II) and ligands. Icebergs appear to affect, directly and indirectly, the speciation of Fe in surrounding waters with potential implications for bioavailability and scavenging behavior. (C) 2011 Elsevier B.V. All rights reserved.</t>
  </si>
  <si>
    <t>[Twining, Benjamin S.] Bigelow Lab Ocean Sci, W Boothbay Harbor, ME 04575 USA; [Lin, Hai; Twining, Benjamin S.] Univ S Carolina, Dept Chem &amp; Biochem, Columbia, SC 29208 USA</t>
  </si>
  <si>
    <t>Bigelow Laboratory for Ocean Sciences; University of South Carolina System; University of South Carolina Columbia</t>
  </si>
  <si>
    <t>Twining, BS (corresponding author), Bigelow Lab Ocean Sci, W Boothbay Harbor, ME 04575 USA.</t>
  </si>
  <si>
    <t>btwining@bigelow.org</t>
  </si>
  <si>
    <t>Twining, Benjamin/0000-0002-1365-9192</t>
  </si>
  <si>
    <t>U.S. National Science Foundation [ANT 0636319]</t>
  </si>
  <si>
    <t>U.S. National Science Foundation(National Science Foundation (NSF))</t>
  </si>
  <si>
    <t>This research was supported by the U.S. National Science Foundation (ANT 0636319) through a grant to BST. The authors thank the captain and crew of the RVIB Nathaniel B. Palmer and the staff from Raytheon Polar Services for their assistance. Assistance with sample collection was provided by C. Hexel, S. Kindleberger and T. Shaw. We are also grateful to B. Robison, R. Sherlock, K. Reisenbichler, C. Dawe for providing ROV sampling around icebergs.</t>
  </si>
  <si>
    <t>JAN 20</t>
  </si>
  <si>
    <t>10.1016/j.marchem.2011.10.005</t>
  </si>
  <si>
    <t>892EG</t>
  </si>
  <si>
    <t>WOS:000300268900009</t>
  </si>
  <si>
    <t>Gagan, MK; Dunbar, GB; Suzuki, A</t>
  </si>
  <si>
    <t>Gagan, Michael K.; Dunbar, Gavin B.; Suzuki, Atsushi</t>
  </si>
  <si>
    <t>The effect of skeletal mass accumulation in Porites on coral Sr/Ca and δ18O paleothermometry</t>
  </si>
  <si>
    <t>SEA-SURFACE TEMPERATURE; GREAT-BARRIER-REEF; PACIFIC WARM POOL; PAPUA-NEW-GUINEA; NINO-SOUTHERN-OSCILLATION; WESTERN EQUATORIAL PACIFIC; LAST INTERGLACIAL PERIOD; EARLY MARINE DIAGENESIS; HIGH-RESOLUTION SR/CA; EL-NINO</t>
  </si>
  <si>
    <t>Paleotemperature estimates based on coral Sr/Ca have not been widely accepted because the reconstructed glacial-Holocene shift in tropical sea-surface temperature (similar to 4-6 degrees C) is larger than that indicated by foraminiferal Mg/Ca (similar to 2-4 degrees C). We show that corals over-estimate changes in sea-surface temperature (SST) because their records are attenuated during skeletogenesis within the living tissue layer. To quantify this process, we microprofiled skeletal mass accumulation within the tissue layer of Porites from Australasian coral reefs and laboratory culturing experiments. The results show that the sensitivity of the Sr/Ca and delta O-18 thermometers in Porites will be suppressed, variable, and dependent on the relationship between skeletal growth rate and mass accumulation within the tissue layer. Our findings help explain why delta O-18-SST sensitivities for Porites range from -0.08 parts per thousand/degrees C to -0.22 parts per thousand/degrees C and are always less than the value of -0.23 parts per thousand/degrees C established for biogenic aragonite. Based on this observation, we recalibrated the coral Sr/Ca thermometer to determine a revised sensitivity of -0.084 mmol/mol/degrees C. After rescaling, most of the published Sr/Ca-SST estimates for the Indo-Pacific region for the last similar to 14,000 years (similar to 7 degrees C to +2 degrees C relative to modern) fall within the 95% confidence envelope of the foraminiferal Mg/Ca-SST records. We conclude that two types of calibration scales are required for coral paleothermometry; an attenuated Porites-specific thermometer sensitivity for studies of seasonal to interannual change in SST and, importantly, the rescaled -0.084 mmol/mol/degrees C Sr/Ca sensitivity for studies of 20th-century trends and millennial-scale changes in mean SST. The calibration-scaling concept will apply to the development of transfer functions for all geochemical tracers in corals.</t>
  </si>
  <si>
    <t>[Gagan, Michael K.; Dunbar, Gavin B.] Australian Natl Univ, Res Sch Earth Sci, Canberra, ACT 0200, Australia; [Suzuki, Atsushi] Geol Survey Japan, Natl Inst Adv Ind Sci &amp; Technol, Tsukuba, Ibaraki 3058567, Japan; [Dunbar, Gavin B.] Victoria Univ Wellington, Antarctic Res Ctr, Wellington, New Zealand</t>
  </si>
  <si>
    <t>Australian National University; National Institute of Advanced Industrial Science &amp; Technology (AIST); Victoria University Wellington</t>
  </si>
  <si>
    <t>Gagan, MK (corresponding author), Australian Natl Univ, Res Sch Earth Sci, Bldg 61 Mills Rd, Canberra, ACT 0200, Australia.</t>
  </si>
  <si>
    <t>michael.gagan@anu.edu.au</t>
  </si>
  <si>
    <t>Suzuki, Atsushi/L-6120-2018; Gagan, Michael K/L-5014-2018</t>
  </si>
  <si>
    <t>Suzuki, Atsushi/0000-0002-0266-5765;</t>
  </si>
  <si>
    <t>Australian Research Council [DP0342917]; Grants-in-Aid for Scientific Research [21340166] Funding Source: KAKEN; Australian Research Council [DP0342917] Funding Source: Australian Research Council</t>
  </si>
  <si>
    <t>Australian Research Council(Australian Research Council); Grants-in-Aid for Scientific Research(Ministry of Education, Culture, Sports, Science and Technology, Japan (MEXT)Japan Society for the Promotion of ScienceGrants-in-Aid for Scientific Research (KAKENHI)); Australian Research Council(Australian Research Council)</t>
  </si>
  <si>
    <t>We thank Charlie Veron at the Australian Institute of Marine Science for identifying the Porites species used in this study. We are also grateful to Hodaka Kawahata (University of Tokyo), Takanori Sato (General Environmental Technos Co. Ltd.), and Tamano Omata (JAMSTEC) for kindly letting us examine and sample the cultured coral specimens and to Rose Berdin (RSES, ANU) for providing the coral sample from the Philippines. Special thanks are due to Heather Scott-Gagan for assistance in the RSES microsampling laboratory. We also thank Editor Rainer Zahn, Thierry Correge, and three anonymous referees for constructive reviews that contributed to a substantially improved final manuscript. GBD's Post-doctoral Fellowship was supported by funding from Australian Research Council Discovery grant DP0342917 to MKG.</t>
  </si>
  <si>
    <t>PA1203</t>
  </si>
  <si>
    <t>10.1029/2011PA002215</t>
  </si>
  <si>
    <t>880DN</t>
  </si>
  <si>
    <t>WOS:000299385000001</t>
  </si>
  <si>
    <t>Gillies, CL; Stark, JS; Johnstone, GJ; Smith, SDA</t>
  </si>
  <si>
    <t>Gillies, C. L.; Stark, J. S.; Johnstone, G. J.; Smith, S. D. A.</t>
  </si>
  <si>
    <t>Carbon flow and trophic structure of an Antarctic coastal benthic community as determined by δ13C and δ15N</t>
  </si>
  <si>
    <t>stable isotope analysis; benthic; trophic ecology; Antarctica; Windmill Islands; Casey Station</t>
  </si>
  <si>
    <t>STABLE-ISOTOPE RATIOS; FOOD-WEB STRUCTURE; TERRA-NOVA BAY; SEA-ICE; ORGANIC-MATTER; MCMURDO-SOUND; ROSS SEA; SUBTIDAL MACROALGAE; SPECIES COMPOSITION; FEEDING ECOLOGY</t>
  </si>
  <si>
    <t>Stable isotopes of carbon and nitrogen were used to determine the different carbon pathways and trophic assemblages amongst coastal benthic fauna of the Windmill Islands, East Antarctica. Macroalgae, pelagic POM, sediment POM and sea ice POM had well-separated delta C-13 signatures, which ranged from -36.75 parts per thousand, for the red alga Phyllophora antarctica, to -10.35 parts per thousand for sea ice POM. Consumers were also well separated by delta C-13, ranging from -21.42 parts per thousand for the holothurian Staurocucumis sp. up to -7.47 parts per thousand, for the urchin Sterechinus neumayeri. Analysis of delta C-13 and delta N-15 revealed distinct groups for suspension feeders, grazer/herbivores and deposit feeders, whilst predators and predator/scavengers showed less grouping. Consumers spanned a delta N-15 range of 8.71 parts per thousand, equivalent to four trophic levels, although delta N-15 ratios amongst consumers were continuous, rather than grouped into discrete trophic levels. The study has built a trophic model for the Windmill Islands and summarises three main carbon pathways utilised by the benthos: (1) pelagic POM; (2) macroalgae/epiphytic/benthic diatoms and (3) sediment POM/benthic diatoms. The movement of carbon within the coastal benthic community of the Windmill Islands is considered complex, and stable isotopes of carbon and nitrogen were valuable tools in determining specific feeding guilds and in tracing carbon flow, particularly amongst lower-order consumers. (C) 2011 Elsevier Ltd. All rights reserved.</t>
  </si>
  <si>
    <t>[Gillies, C. L.; Smith, S. D. A.] So Cross Univ, Natl Marine Sci Ctr, Coffs Harbour, NSW 2450, Australia; [Gillies, C. L.; Stark, J. S.; Johnstone, G. J.] Australian Antarctic Div, Kingston, Tas 7050, Australia</t>
  </si>
  <si>
    <t>Southern Cross University; Australian Antarctic Division</t>
  </si>
  <si>
    <t>Gillies, CL (corresponding author), So Cross Univ, Natl Marine Sci Ctr, Coffs Harbour, NSW 2450, Australia.</t>
  </si>
  <si>
    <t>chris.gillies@aad.gov.au</t>
  </si>
  <si>
    <t>Stark, Jonathan/ABF-4025-2020; Smith, Stephen D A/I-1945-2012</t>
  </si>
  <si>
    <t>Stark, Jonathan/0000-0002-4268-8072; Smith, Stephen D A/0000-0002-3372-5441</t>
  </si>
  <si>
    <t>University of New England; Sothern Cross University; Australian Antarctic Division [2948, 2201]</t>
  </si>
  <si>
    <t>University of New England; Sothern Cross University; Australian Antarctic Division</t>
  </si>
  <si>
    <t>We thank members of the summer 2006/07 Casey dive and 2008/09 field teams for assistance with field collections. We are very grateful for advice on stable isotope preparations provided by Melissa Bautista and advice of food web studies provided by Katrin Iken. This research was funded by a PhD research scholarship in part by University of New England and Sothern Cross University, and supported financially and logistically by the Australian Antarctic Division (AAS projects 2948 and 2201).</t>
  </si>
  <si>
    <t>10.1016/j.ecss.2011.11.003</t>
  </si>
  <si>
    <t>898MC</t>
  </si>
  <si>
    <t>WOS:000300745500006</t>
  </si>
  <si>
    <t>Padman, L; Costa, DP; Dinniman, MS; Fricker, HA; Goebel, ME; Huckstadt, LA; Humbert, A; Joughin, I; Lenaerts, JTM; Ligtenberg, SRM; Scambos, T; van den Broeke, MR</t>
  </si>
  <si>
    <t>Padman, Laurie; Costa, Daniel P.; Dinniman, Michael S.; Fricker, Helen A.; Goebel, Michael E.; Huckstadt, Luis A.; Humbert, Angelika; Joughin, Ian; Lenaerts, Jan T. M.; Ligtenberg, Stefan R. M.; Scambos, Ted; van den Broeke, Michiel R.</t>
  </si>
  <si>
    <t>Oceanic controls on the mass balance of Wilkins Ice Shelf, Antarctica</t>
  </si>
  <si>
    <t>PENINSULA CONTINENTAL-SHELF; DIGITAL ELEVATION MODEL; SEA-ICE; SATELLITE RADAR; AUSTRAL FALL; LASER DATA; GEORGE-VI; BREAK-UP; VARIABILITY; SHEET</t>
  </si>
  <si>
    <t>Several Antarctic Peninsula (AP) ice shelves have lost significant fractions of their volume over the past decades, coincident with rapid regional climate change. Wilkins Ice Shelf (WIS), on the western side of the AP, is the most recent, experiencing a sequence of large calving events in 2008 and 2009. We analyze the mass balance for WIS for the period 1992-2008 and find that the averaged rate of ice-shelf thinning was similar to 0.8 m a(-1), driven by a mean basal melt rate of &lt; w(b)&gt; = 1.3 +/- 0.4 m a(-1). Interannual variability was large, associated with changes in both surface mass accumulation and &lt; w(b)&gt;. Basal melt rate declined significantly around 2000 from 1.8 +/- 0.4 m a(-1) for 1992-2000 to similar to 0.75 +/- 0.55 m a(-1) for 2001-2008; the latter value corresponding to approximately steady-state ice-shelf mass. Observations of ocean temperature T obtained during 2007-2009 by instrumented seals reveal a cold, deep halo of Winter Water (WW; T approximate to - 1.6 degrees C) surrounding WIS. The base of the WW in the halo is similar to 170 m, approximately the mean ice draft for WIS. We hypothesize that the transition in &lt; w(b)&gt; in 2000 was caused by a small perturbation (similar to 10-20 m) in the relative depths of the ice base and the bottom of the WW layer in the halo. We conclude that basal melting of thin ice shelves like WIS is very sensitive to upper-ocean and coastal processes that act on shorter time and space scales than those affecting basal melting of thicker West Antarctic ice shelves such as George VI and Pine Island Glacier.</t>
  </si>
  <si>
    <t>[Padman, Laurie] Earth &amp; Space Res, Corvallis, OR 97333 USA; [Costa, Daniel P.; Huckstadt, Luis A.] Univ Calif Santa Cruz, Santa Cruz, CA 95060 USA; [Dinniman, Michael S.] Old Dominion Univ, Ctr Coastal Phys Oceanog, Norfolk, VA 23508 USA; [Fricker, Helen A.] Univ Calif San Diego, Scripps Inst Oceanog, Inst Geophys &amp; Planetary Phys, La Jolla, CA 92037 USA; [Goebel, Michael E.] NOAA, Antarct Ecosyst Res Div, SWFSC, Natl Marine Fisheries Serv, La Jolla, CA 92037 USA; [Humbert, Angelika] Univ Hamburg, Inst Geophys, D-20146 Hamburg, Germany; [Joughin, Ian] Univ Washington, Appl Phys Lab, Polar Sci Ctr, Seattle, WA 98105 USA; [Lenaerts, Jan T. M.; Ligtenberg, Stefan R. M.; van den Broeke, Michiel R.] Univ Utrecht, Inst Marine &amp; Atmospher Res Utrecht, NL-3584 CC Utrecht, Netherlands; [Scambos, Ted] Univ Colorado, CIRES, Natl Snow &amp; Ice Data Ctr, Boulder, CO 80309 USA</t>
  </si>
  <si>
    <t>University of California System; University of California Santa Cruz; Old Dominion University; University of California System; University of California San Diego; Scripps Institution of Oceanography; National Oceanic Atmospheric Admin (NOAA) - USA; University of Hamburg; University of Washington; University of Washington Seattle; Utrecht University; University of Colorado System; University of Colorado Boulder</t>
  </si>
  <si>
    <t>Padman, L (corresponding author), Earth &amp; Space Res, Corvallis, OR 97333 USA.</t>
  </si>
  <si>
    <t>padman@esr.org</t>
  </si>
  <si>
    <t>Joughin, Ian R/A-2998-2008; Ligtenberg, Stefan/AAF-8290-2020; Carlos, Universidade Federal de São/W-8832-2019; Joughin, Ian/AAR-7778-2021; Huckstadt, Luis/A-5838-2018; Huckstadt, Luis A./J-8532-2019; Lenaerts, Jan/D-9423-2012; Scambos, Ted A/B-1856-2009; Huckstadt, Luis/JNR-7637-2023; Van den Broeke, Michiel R./F-7867-2011; Padman, Laurence/AAH-3808-2021; Costa, Daniel Paul/E-2616-2013</t>
  </si>
  <si>
    <t>Joughin, Ian R/0000-0001-6229-679X; Carlos, Universidade Federal de São/0000-0002-0334-3899; Joughin, Ian/0000-0001-6229-679X; Huckstadt, Luis/0000-0002-2453-7350; Huckstadt, Luis A./0000-0002-2453-7350; Lenaerts, Jan/0000-0003-4309-4011; Van den Broeke, Michiel R./0000-0003-4662-7565; Padman, Laurence/0000-0003-2010-642X; Fricker, Helen Amanda/0000-0002-0921-1432; Dinniman, Michael/0000-0001-7519-9278; Humbert, Angelika/0000-0002-0244-8760; Costa, Daniel Paul/0000-0002-0233-5782; SCAMBOS, Ted A./0000-0003-4268-6322</t>
  </si>
  <si>
    <t>NASA [NNG05GR58G, NNX06AD40G, NNG06GA69G]; ONR [N00014-05-1-0645]; NSF [OPP-0338101, ANT-0440687, ANT-0523332, ANT-0523172]; Utrecht University; Netherlands Organization of Scientific Research (NWO/ALW); Directorate For Geosciences; Office of Polar Programs (OPP) [0838911] Funding Source: National Science Foundation; Directorate For Geosciences; Office of Polar Programs (OPP) [0838937] Funding Source: National Science Foundation</t>
  </si>
  <si>
    <t>NASA(National Aeronautics &amp; Space Administration (NASA)); ONR(Office of Naval Research); NSF(National Science Foundation (NSF)); Utrecht University; Netherlands Organization of Scientific Research (NWO/ALW)(Netherlands Organization for Scientific Research (NWO)); Directorate For Geosciences; Office of Polar Programs (OPP)(National Science Foundation (NSF)NSF - Directorate for Geosciences (GEO)); Directorate For Geosciences; Office of Polar Programs (OPP)(National Science Foundation (NSF)NSF - Directorate for Geosciences (GEO))</t>
  </si>
  <si>
    <t>ERS and Envisat radar altimeter data is copyright to ESA and was provided by Jay Zwally at the Cryospheric Sciences Branch of the Hydrospheric and Biospheric Sciences Laboratory of NASA/GSFC, with special thanks to Jairo Santana and Helen Cornejo (http://icesat4.gsfc.nasa.gov/). We thank David Sandwell for providing the high-resolution bathymetry grids; Patrick Robinson for calibration and preparation of, and Birgitte McDonald for deployment of, the seal CTD tags. This study was supported by NASA grants NNG05GR58G, NNX06AD40G, and NNG06GA69G to L.P., H.A.F, and T.A.S., respectively; ONR grant N00014-05-1-0645 to D.P.C.; and NSF grants OPP-0338101 to ESR, ANT-0440687 and ANT-0523332 to D.P.C., and ANT-0523172 to ODU. We acknowledge support from Utrecht University and the Netherlands Polar Program of the Netherlands Organization of Scientific Research (NWO/ALW). This is ESR contribution 146.</t>
  </si>
  <si>
    <t>C01010</t>
  </si>
  <si>
    <t>10.1029/2011JC007301</t>
  </si>
  <si>
    <t>880FP</t>
  </si>
  <si>
    <t>WOS:000299390600001</t>
  </si>
  <si>
    <t>Antarctic Treaty is cold comfort</t>
  </si>
  <si>
    <t>JAN 19</t>
  </si>
  <si>
    <t>10.1038/481237a</t>
  </si>
  <si>
    <t>877VK</t>
  </si>
  <si>
    <t>WOS:000299210600001</t>
  </si>
  <si>
    <t>Gasson, E; Siddall, M; Lunt, DJ; Rackham, OJL; Lear, CH; Pollard, D</t>
  </si>
  <si>
    <t>Gasson, Edward; Siddall, Mark; Lunt, Daniel J.; Rackham, Owen J. L.; Lear, Caroline H.; Pollard, David</t>
  </si>
  <si>
    <t>EXPLORING UNCERTAINTIES IN THE RELATIONSHIP BETWEEN TEMPERATURE, ICE VOLUME, AND SEA LEVEL OVER THE PAST 50 MILLION YEARS</t>
  </si>
  <si>
    <t>REVIEWS OF GEOPHYSICS</t>
  </si>
  <si>
    <t>TETRAETHER MEMBRANE-LIPIDS; CARBON-DIOXIDE CONCENTRATIONS; EOCENE-OLIGOCENE TRANSITION; LAST GLACIAL MAXIMUM; SHEET MASS-BALANCE; PLANKTONIC-FORAMINIFERA; SOUTHERN-OCEAN; COASTAL-PLAIN; NEW-JERSEY; MIDPLEISTOCENE TRANSITION</t>
  </si>
  <si>
    <t>Over the past decade, efforts to estimate temperature and sea level for the past 50 Ma have increased. In parallel, efforts to model ice sheet changes during this period have been ongoing. We review published paleodata and modeling work to provide insights into how sea level responds to changing temperature through changes in ice volume and thermal expansion. To date, the temperature to sea level relationship has been explored for the transition from glacial to interglacial states. Attempts to synthesize the temperature to sea level relationship in deeper time, when temperatures were significantly warmer than present, have been tentative. We first review the existing temperature and sea level data and model simulations, with a discussion of uncertainty in each of these approaches. We then synthesize the sea level and temperature data and modeling results we have reviewed to test plausible forms for the sea level versus temperature relationship. On this very long timescale there are no globally representative temperature proxies, and so we investigate this relationship using deep-sea temperature records and surface temperature records from high and low latitudes. It is difficult to distinguish between the different plausible forms of the temperature to sea level relationship given the wide errors associated with the proxy estimates. We argue that for surface high-latitude Southern Hemisphere temperature and deep-sea temperature, the rate of change of sea level to temperature has not remained constant, i.e., linear, over the past 50 Ma, although the relationship remains ambiguous for the available low-latitude surface temperature data. A nonlinear form between temperature and sea level is consistent with ice sheet modeling studies. This relationship can be attributed to (1) the different glacial thresholds for Southern Hemisphere glaciation compared to Northern Hemisphere glaciation and (2) the ice sheet carrying capacity of the Antarctic continent.</t>
  </si>
  <si>
    <t>[Gasson, Edward; Siddall, Mark] Univ Bristol, Dept Earth Sci, Bristol BS8 1RJ, Avon, England; [Gasson, Edward; Lunt, Daniel J.] British Antarctic Survey, Cambridge CB3 0ET, England; [Lunt, Daniel J.] Univ Bristol, Sch Geog Sci, BRIDGE, Bristol BS8 1SS, Avon, England; [Rackham, Owen J. L.] Univ Bristol, Bristol Ctr Complex Sci, Bristol BS8 1UB, Avon, England; [Lear, Caroline H.] Cardiff Univ, Sch Earth &amp; Ocean Sci, Cardiff CF10 3YE, S Glam, Wales; [Pollard, David] Penn State Univ, Earth &amp; Environm Syst Inst, Coll Earth &amp; Mineral Sci, University Pk, PA 16802 USA</t>
  </si>
  <si>
    <t>University of Bristol; UK Research &amp; Innovation (UKRI); Natural Environment Research Council (NERC); NERC British Antarctic Survey; University of Bristol; University of Bristol; Cardiff University; Pennsylvania Commonwealth System of Higher Education (PCSHE); Pennsylvania State University; Pennsylvania State University - University Park</t>
  </si>
  <si>
    <t>Gasson, E (corresponding author), Univ Bristol, Dept Earth Sci, Wills Mem Bldg,Queens Rd, Bristol BS8 1RJ, Avon, England.</t>
  </si>
  <si>
    <t>e.gasson@bristol.ac.uk</t>
  </si>
  <si>
    <t>IPO, PAGES/JXY-7546-2024; Rackham, Owen/AAM-3108-2021; Lear, Caroline H/D-2582-2009; Lunt, Daniel/G-9451-2011</t>
  </si>
  <si>
    <t>Rackham, Owen/0000-0002-4390-0872; Gasson, Edward/0000-0003-4653-6217; Lear, Caroline/0000-0002-7533-4430; Lunt, Daniel/0000-0003-3585-6928</t>
  </si>
  <si>
    <t>British Antarctic Survey (BAS); University of Bristol; NERC; World Universities Network (WUN); Research Council UK; NERC [bas0100027] Funding Source: UKRI; Natural Environment Research Council [bas0100027, NE/D000041/1] Funding Source: researchfish</t>
  </si>
  <si>
    <t>British Antarctic Survey (BAS); University of Bristol; NERC(UK Research &amp; Innovation (UKRI)Natural Environment Research Council (NERC)); World Universities Network (WUN); Research Council UK(UK Research &amp; Innovation (UKRI)); NERC(UK Research &amp; Innovation (UKRI)Natural Environment Research Council (NERC)); Natural Environment Research Council(UK Research &amp; Innovation (UKRI)Natural Environment Research Council (NERC))</t>
  </si>
  <si>
    <t>We thank Roderik van de Wal and three anonymous reviewers for their careful and insightful comments, which significantly improved the manuscript. We thank Richard Pancost for his comments on sections of the manuscript. Support from British Antarctic Survey (BAS) and University of Bristol is acknowledged. Funding for Edward Gasson was provided by NERC, BAS, and a World Universities Network (WUN) grant. Mark Siddall is supported by a Research Council UK fellowship. This is a contribution to the PALSEA working group.</t>
  </si>
  <si>
    <t>8755-1209</t>
  </si>
  <si>
    <t>1944-9208</t>
  </si>
  <si>
    <t>REV GEOPHYS</t>
  </si>
  <si>
    <t>Rev. Geophys.</t>
  </si>
  <si>
    <t>RG1005</t>
  </si>
  <si>
    <t>10.1029/2011RG000358</t>
  </si>
  <si>
    <t>880HD</t>
  </si>
  <si>
    <t>WOS:000299395000001</t>
  </si>
  <si>
    <t>Mcmillan, P; Iwamoto, T; Stewart, A; Smith, PJ</t>
  </si>
  <si>
    <t>Mcmillan, Peter; Iwamoto, Tomio; Stewart, Andrew; Smith, Peter J.</t>
  </si>
  <si>
    <t>A new species of grenadier, genus Macrourus (Teleostei, Gadiformes, Macrouridae) from the southern hemisphere and a revision of the genus</t>
  </si>
  <si>
    <t>Fishes; Southern Ocean; Antarctica; taxonomy; distribution; identification key; illustration</t>
  </si>
  <si>
    <t>ROUGHHEAD GRENADIER</t>
  </si>
  <si>
    <t>A new Macrourus species from the southern hemisphere is described. It was first recognised from the Ross Sea, Antarctica after specimens sampled during the International Polar Year in 2008 showed significant genetic differences (C01) among those initially identified as M. whitsoni (Regan). M. caml sp. nov. has 8 (rarely 7 or 9) pelvic fin rays, a band (2-3 rows) of small uniform-sized teeth in the lower jaw, lacks an outer row of enlarged teeth in the upper jaw, 30-40 scales in a diagonal row from anal fin origin to lateral line, ventral surface of the head is mostly scaled, except for scaleless areas anterior to the mouth and on the anterior half of the lower jaw. M caml sp. nov. is large, reaching at least 890 mm TL and appears to be abundant. Numerous specimens caught by commercial bottom longline vessels fishing in the Ross Sea are held at Museum of New Zealand Te Papa Tongarewa, Wellington New Zealand. All five species of Macrourus (M. berglax, M. caml, M. carinatus, M. holotrachys, and M. whitsoni) are compared and illustrated, based on examination of specimens, and a key to species is provided.</t>
  </si>
  <si>
    <t>[Mcmillan, Peter] Natl Inst Water &amp; Atmospher Res Ltd, Wellington 6241, New Zealand; [Iwamoto, Tomio] Calif Acad Sci, Dept Ichthyol, San Francisco, CA 94118 USA; [Stewart, Andrew] Museum New Zealand Te Papa Tongarewa, Wellington, New Zealand; [Smith, Peter J.] Museum Victoria, Melbourne, Vic 3001, Australia</t>
  </si>
  <si>
    <t>National Institute of Water &amp; Atmospheric Research (NIWA) - New Zealand; California Academy of Sciences; Museum Victoria</t>
  </si>
  <si>
    <t>Mcmillan, P (corresponding author), Natl Inst Water &amp; Atmospher Res Ltd, Private Bag 14901, Wellington 6241, New Zealand.</t>
  </si>
  <si>
    <t>p.mcmillan@niwa.co.nz; tiwamoto@calacademy.org</t>
  </si>
  <si>
    <t>Stewart, Andrew/HGC-0709-2022</t>
  </si>
  <si>
    <t>M.S.I. through Te Papa Biosystematics of NZ EEZ Fishes within NIWA [C01X0502]; New Zealand Government [IPY2007-01]</t>
  </si>
  <si>
    <t>M.S.I. through Te Papa Biosystematics of NZ EEZ Fishes within NIWA; New Zealand Government</t>
  </si>
  <si>
    <t>Thanks to New Zealand Ministry of Fisheries observers who retained specimens during trips on longline vessels in the Southern Ocean including: C. Anderson, G. Anderson, S. Anderson, S. Beatson, C. Blincoe, G. Breedt, T. Brunning, S. Cave, D. Cole, R. Davies, M. Dixon, G. Dolan, B. Fairhead, R. Guild, J. Hall, R. Hansen, R. Horn, G. Johnson, C. Keith, C. Loveridge, D. Marli, M. Nedd, H. Reid, K. Ruck, A. Sealey, F. Stoffberg, S. Thickpenny, S. Visagie, B. Watkins, J. Williamson, R. Win, J. Wium. A. Graham and J. Pogonoski (CSIRO, Hobart) kindly examined Macrourus specimens held in their care. C. Struthers provided comments on the manuscript, J. Barker, and C. Roberts (all NMNZ) provided help with specimens, data, and M. Freeborn prepared most of the line drawings. Whole specimens and tissue samples of M. berglax were kindly provided by J. Galbraith (NMFS, Woods Hole), E. Hilton and C. Cotton (VIMS). Thanks to M. McGrouther (AMS), J. Maclaine (BMNH), P. Pruvost (MNHN), and J. Williams (USNM) for specimen information, and T. Sutton and A. Roa-Varon for help in various ways. S. Baird, E. Mackay, P Marriott prepared figures, some photographs, and some line drawings and M. McVeagh carried out genetic analysis (all NIWA). Helpful comments on the manuscript were provided by C. Roberts and an anonymous reviewer. AS supported (in part) by M.S.I. through Te Papa Biosystematics of NZ EEZ Fishes subcontract within NIWA's Marine Biodiversity and Biosecurity OBI Programme (Contract C01X0502). This research was funded by the New Zealand Government under the New Zealand International Polar Year-Census of Antarctic Marine Life Project (Phase 2: IPY2007-01). We acknowledge project governance provided by the Ministry of Fisheries Science Team and the Ocean Survey 20/20 CAML Advisory Group (Land Information New Zealand, Ministry of Fisheries, Antarctica New Zealand, Ministry of Foreign Affairs and Trade, and National Institute of Water and Atmosphere Ltd).</t>
  </si>
  <si>
    <t>891RM</t>
  </si>
  <si>
    <t>WOS:000300234300001</t>
  </si>
  <si>
    <t>Cai, MH; Zhao, Z; Yin, ZG; Ahrens, L; Huang, P; Cai, MG; Yang, HZ; He, JF; Sturm, R; Ebinghaus, R; Xie, ZY</t>
  </si>
  <si>
    <t>Cai, Minghong; Zhao, Zhen; Yin, Zhigao; Ahrens, Lutz; Huang, Peng; Cai, Minggang; Yang, Haizhen; He, Jianfeng; Sturm, Renate; Ebinghaus, Ralf; Xie, Zhiyong</t>
  </si>
  <si>
    <t>Occurrence of Perfluoroalkyl Compounds in Surface Waters from the North Pacific to the Arctic Ocean</t>
  </si>
  <si>
    <t>PERFLUORINATED COMPOUNDS; ATMOSPHERIC CHEMISTRY; POLYFLUOROALKYL COMPOUNDS; COASTAL WATERS; ACIDS; SEDIMENT; ALCOHOLS; CARBOXYLATES; TRANSPORT; RIVER</t>
  </si>
  <si>
    <t>Perfluoroalkyl compounds (PFCs) were determined in 22 surface water samples (39-76 degrees N) and three sea ice core and snow samples (77-87 degrees N) collected from North Pacific to the Arctic Ocean during the fourth Chinese Arctic Expedition in 2010. Geographically, the average concentration of Sigma PFC in surface water samples were 560 +/- 170 pg L-1 for the Northwest Pacific Ocean, 500 +/- 170 pg L-1 for the Arctic Ocean, and 340 +/- 130 pg L-1 for the Bering Sea, respectively. The perfluoroalkyl carboxylates (PFCAs) were the dominant PFC class in the water samples, however, the spatial pattern of PFCs varied. The C-5, C-7 and C-8 PFCAs (i.e., perfluoropentanoate (PFPA), perfluoroheptanoate (PFHpA), and perfluorooctanoate (PFOA)) were the dominant PFCs in the Northwest Pacific Ocean while in the Bering Sea the PFPA dominated. The changing in the pattern and concentrations in Pacific Ocean indicate that the PFCs in surface water were influenced by sources from the East-Asian (such as Japan and China) and North American coast, and dilution effect during their transport to the Arctic. The presence of PFCs in the snow and ice core samples indicates an atmospheric deposition of PFCs in the Arctic. The elevated PFC concentration in the Arctic Ocean shows that the ice melting had an impact on the PFC levels and distribution. In addition, the C-4 and C-5 PFCAs (i.e., perfluorobutanoate (PFBA), PFPA) became the dominant PFCs in the Arctic Ocean indicating that PFBA is a marker for sea ice melting as the source of exposure.</t>
  </si>
  <si>
    <t>[Cai, Minghong; He, Jianfeng] Polar Res Inst China, SOA Key Lab Polar Sci, Shanghai 200136, Peoples R China; [Cai, Minghong; Yin, Zhigao; Yang, Haizhen] Tongji Univ, Coll Environm Sci &amp; Engn, Shanghai 200092, Peoples R China; [Zhao, Zhen; Ahrens, Lutz; Sturm, Renate; Ebinghaus, Ralf; Xie, Zhiyong] Ctr Mat &amp; Coastal Res GmbH, Helmholtz Zentrum Geesthacht, Inst Coastal Res, D-21502 Geesthacht, Germany; [Huang, Peng; Cai, Minggang] Xiamen Univ, Coll Oceanog &amp; Environm Sci, Xiamen 361005, Peoples R China</t>
  </si>
  <si>
    <t>cai, minggang/G-3979-2010; Xie, Zhiyong/E-8436-2014; Ahrens, Lutz/S-6266-2019; Huang, Peng/E-8571-2017; HUANG, Shuiying/C-3117-2014</t>
  </si>
  <si>
    <t>cai, minggang/0000-0003-2828-0529; Ahrens, Lutz/0000-0002-5430-6764; Huang, Peng/0000-0001-7038-3869;</t>
  </si>
  <si>
    <t>Chinese Arctic and Antarctic Administration; National Natural Science Foundation of China [40776003]</t>
  </si>
  <si>
    <t>Chinese Arctic and Antarctic Administration; National Natural Science Foundation of China(National Natural Science Foundation of China (NSFC))</t>
  </si>
  <si>
    <t>We express our sincere gratitude to all the members of the 4th Chinese National Arctic Research Expedition and the support from the Chinese Arctic and Antarctic Administration. This research was supported by the National Natural Science Foundation of China (No.40776003).</t>
  </si>
  <si>
    <t>JAN 17</t>
  </si>
  <si>
    <t>10.1021/es2026278</t>
  </si>
  <si>
    <t>876VQ</t>
  </si>
  <si>
    <t>WOS:000299136200015</t>
  </si>
  <si>
    <t>Whitehouse, PL; Bentley, MJ; Le Brocq, AM</t>
  </si>
  <si>
    <t>Whitehouse, Pippa L.; Bentley, Michael J.; Le Brocq, Anne M.</t>
  </si>
  <si>
    <t>A deglacial model for Antarctica: geological constraints and glaciological modelling as a basis for a new model of Antarctic glacial isostatic adjustment</t>
  </si>
  <si>
    <t>Antarctica; Last Glacial Maximum; Deglaciation; Ice-sheet model; Geological data; Glacial isostatic adjustment</t>
  </si>
  <si>
    <t>WEDDELL SEA EMBAYMENT; ICE-SURFACE FLUCTUATIONS; PRINCE-CHARLES MOUNTAINS; LUTZOW-HOLM BAY; MARIE-BYRD-LAND; EAST ANTARCTICA; LARSEMANN HILLS; WEST ANTARCTICA; EXPOSURE AGES; ROSS SEA</t>
  </si>
  <si>
    <t>We present a new reconstruction of the Antarctic Ice Sheets between 20 ka BP and the present day. Our reconstruction is derived using a numerical model to generate a physically-consistent ice surface across the whole of the continent. We define the extent of the ice sheet at five time slices; 20, 15, 10, 5 and 0 ka BP, assuming an equilibrium state for the 20 ka BP time slice, and a transient state for the deglacial time slices. The evolution of the ice sheet within the numerical model is driven by variations in temperature, accumulation rate, and relative sea level. In order to reconstruct the concave profile of the ice sheet in marine-grounded regions, such as the Ross and Weddell Seas, we force our model to develop channels of faster flow by defining greater basal sliding along the trajectory of former ice streams. We find a strong dependence upon the basal sliding parameters, and also the position of the grounding line. We use an extensive data base of geological and glaciological data to constrain our ice-sheet reconstruction. Grounding-line extent is prescribed from marine geological data and we test ice-sheet thickness against onshore geological data at 62 sites. Of the five time slices considered, our 20 ka BP reconstruction is the best constrained by data and has an RMS misfit of 147.6 m when compared to observations of ice thickness change between 20 ka BP and the present day. Across all time slices there are large regions of the ice-sheet which are poorly constrained, especially after 20 ka BP. We estimate the spatial distribution of uncertainty in our ice-sheet reconstruction, and note that the solutions are least reliable in regions of complex topography. We predict that the Antarctic Ice Sheets contributed 9 +/- 1.5 m of eustatic sea level to the global ocean between 20 ka BP and the present, and our reconstruction with minimum misfit contributes similar to 8 m eustatic sea level during this period. These values, which we argue are an upper bound, are lower than many previous estimates. The reconstructed pattern of ice unloading can serve as a new input for glacial isostatic models. (C) 2011 Elsevier Ltd. All rights reserved.</t>
  </si>
  <si>
    <t>[Whitehouse, Pippa L.; Bentley, Michael J.] Univ Durham, Dept Geog, Durham DH1 3LE, England; [Le Brocq, Anne M.] Univ Exeter, Coll Life &amp; Environm Sci, Exeter EX4 4RJ, Devon, England</t>
  </si>
  <si>
    <t>Durham University; University of Exeter</t>
  </si>
  <si>
    <t>Whitehouse, PL (corresponding author), Univ Durham, Dept Geog, South Road, Durham DH1 3LE, England.</t>
  </si>
  <si>
    <t>pippa.whitehouse@durham.ac.uk</t>
  </si>
  <si>
    <t>Bentley, Michael J/F-7386-2011</t>
  </si>
  <si>
    <t>Bentley, Michael J/0000-0002-2048-0019; Whitehouse, Pippa/0000-0002-9092-3444</t>
  </si>
  <si>
    <t>NERC [NE/E004806]; NERC [NE/F01452X/1] Funding Source: UKRI; Natural Environment Research Council [NE/F01452X/1] Funding Source: researchfish</t>
  </si>
  <si>
    <t>We thank numerous colleagues with whom we have discussed former ice extent and thickness data. Stewart Jamieson, Stephen Livingstone, Matt King and Glenn Milne all provided helpful discussion on specific modelling or data issues. We also thank Erik Ivins and an anonymous reviewer for providing useful comments on the manuscript. The work was carried out under NERC Grant NE/E004806.</t>
  </si>
  <si>
    <t>JAN 16</t>
  </si>
  <si>
    <t>10.1016/j.quascirev.2011.11.016</t>
  </si>
  <si>
    <t>912UX</t>
  </si>
  <si>
    <t>WOS:000301828000001</t>
  </si>
  <si>
    <t>Hillenbrand, CD; Melles, M; Kuhn, G; Larter, RD</t>
  </si>
  <si>
    <t>Hillenbrand, Claus-Dieter; Melles, Martin; Kuhn, Gerhard; Larter, Robert D.</t>
  </si>
  <si>
    <t>Marine geological constraints for the grounding-line position of the Antarctic Ice Sheet on the southern Weddell Sea shelf at the Last Glacial Maximum</t>
  </si>
  <si>
    <t>Antarctica; Ice sheet; Ice shelf; LGM; Sea level; Weddell Sea</t>
  </si>
  <si>
    <t>FILCHNER-RONNE ICE; PLEISTOCENE-HOLOCENE RETREAT; BASAL SHEAR-STRESS; WESTERN ROSS-SEA; DEGLACIAL HISTORY; BOTTOM WATER; EMBAYMENT CONSTRAINTS; SURFACE SEDIMENTS; RADIOCARBON CONSTRAINTS; GLACIOMARINE SEDIMENTS</t>
  </si>
  <si>
    <t>The history of grounded ice-sheet extent on the southern Weddell Sea shelf during the Last Glacial Maximum (LGM) and the timing of post-LGM ice-sheet retreat are poorly constrained. Several glaciological models reconstructed widespread grounding and major thickening of the Antarctic Ice Sheet in the Weddell Sea sector at the LGM. In contrast, recently published onshore data and modelling results concluded only very limited LGM-thickening of glaciers and ice streams feeding into the modern Filchner and Ronne ice shelves. These studies concluded that during the LGM ice shelves rather than grounded ice covered the Filchner and Ronne troughs, two deep palaeo-ice stream troughs eroded into the southern Weddell Sea shelf. Here we review previously published and unpublished marine geophysical and geological data from the southern Weddell Sea shelf. The stratigraphy and geometry of reflectors in acoustic sub-bottom profiles are similar to those from other West Antarctic palaeo-ice stream troughs, where grounded ice had advanced to the shelf break at the LGM. Numerous cores from the southern Weddell Sea shelf recovered sequences with properties typical for subglacially deposited tills or subglacially compacted sediments. These data sets give evidence that grounded ice had advanced across the shelf during the past, thereby grounding in even the deepest parts of the Filchner and Ronne troughs. Radiocarbon dates from glaciomarine sediments overlying the subglacial deposits are limited, but indicate that the ice grounding occurred at the LGM and that ice retreat started before similar to 15.1 corrected C-14 kyrs before present (BP) on the outer shelf and before similar to 7.7 corrected C-14 kyrs BP on the inner shelf, which is broadly synchronous with ice retreat in other Antarctic sectors. The apparent mismatch between the ice-sheet reconstructions from marine and terrestrial data can be attributed to ice streams with very low surface profiles (similar to those of ice plains) that had advanced through Filchner Trough and Ronne Trough at the LGM. Considering the global sea-level low-stand of similar to 130 m below present, a low surface slope of the expanded LGM-ice sheet in the southern Weddell Sea can reconcile grounding-line advance to the shelf break with limited thickening of glaciers and ice streams in the hinterland. This scenario implies that ice-sheet growth in the Weddell Sea sector during the LGM and ice-sheet drawdown throughout the last deglaciation could only have made minor contributions to the major global sea-level fluctuations during these times. (C) 2011 Elsevier Ltd. All rights reserved.</t>
  </si>
  <si>
    <t>[Hillenbrand, Claus-Dieter; Larter, Robert D.] British Antarctic Survey, Cambridge CB3 0ET, England; [Melles, Martin] Univ Cologne, Inst Geol &amp; Mineral, D-50674 Cologne, Germany; [Kuhn, Gerhard] Alfred Wegener Inst Polar &amp; Marine Res, D-27568 Bremerhaven, Germany</t>
  </si>
  <si>
    <t>UK Research &amp; Innovation (UKRI); Natural Environment Research Council (NERC); NERC British Antarctic Survey; University of Cologne; Helmholtz Association; Alfred Wegener Institute, Helmholtz Centre for Polar &amp; Marine Research</t>
  </si>
  <si>
    <t>Hillenbrand, CD (corresponding author), British Antarctic Survey, Madingley Rd, Cambridge CB3 0ET, England.</t>
  </si>
  <si>
    <t>hilc@bas.ac.uk</t>
  </si>
  <si>
    <t>Melles, Martin/J-4070-2012</t>
  </si>
  <si>
    <t>Melles, Martin/0000-0003-0977-9463; Kuhn, Gerhard/0000-0001-6069-7485; Larter, Robert/0000-0002-8414-7389</t>
  </si>
  <si>
    <t>British Antarctic Survey's Ice-Sheets; Alfred Wegener Institute's PACES; NERC [bas0100027] Funding Source: UKRI; Natural Environment Research Council [bas0100027] Funding Source: researchfish</t>
  </si>
  <si>
    <t>British Antarctic Survey's Ice-Sheets; Alfred Wegener Institute's PACES; NERC(UK Research &amp; Innovation (UKRI)Natural Environment Research Council (NERC)); Natural Environment Research Council(UK Research &amp; Innovation (UKRI)Natural Environment Research Council (NERC))</t>
  </si>
  <si>
    <t>This work was supported by the British Antarctic Survey's Ice-Sheets and the Alfred Wegener Institute's PACES programmes. The authors thank Martin Wessels for his sedimentological data, Johann Klages for picking calcareous microfossils from core PS1611, Synnove Elvevold for providing coordinates from the NARE sediment cores and the captains, officers, crew and support staff of the various RV Polarstern expeditions that collected samples and data used in our study. Finally, we thank Jan Sverre Laberg and Michele Rebesco for their thoughtful reviews, which helped to improve the manuscript.</t>
  </si>
  <si>
    <t>10.1016/j.quascirev.2011.11.017</t>
  </si>
  <si>
    <t>WOS:000301828000002</t>
  </si>
  <si>
    <t>Siddall, M; Milne, GA; Masson-Delmotte, V</t>
  </si>
  <si>
    <t>Siddall, Mark; Milne, Glenn A.; Masson-Delmotte, Valerie</t>
  </si>
  <si>
    <t>Uncertainties in elevation changes and their impact on Antarctic temperature records since the end of the last glacial period</t>
  </si>
  <si>
    <t>ice sheet; Antarctica; isostasy; ice cores; termination</t>
  </si>
  <si>
    <t>POSTGLACIAL SEA-LEVEL; EPICA DOME-C; SCALE CLIMATE-CHANGE; VOSTOK ICE CORE; ISOTOPIC COMPOSITION; EAST ANTARCTICA; TAYLOR DOME; SURFACE; VARIABILITY; GREENLAND</t>
  </si>
  <si>
    <t>This study presents a sensitivity analysis considering the influence of elevation changes associated with both ice thickness and land height changes on water stable isotope temperature proxies from Antarctic ice cores. We compare results from three different ice sheet models and three different Earth viscosity models at a 10 ice core sites. As expected, the ice-thinning signal at West Antarctic sites is the largest contributor to elevation-induced temperature changes. The signal predicted by the ice models considered produced 100-200% of the total glacial to interglacial signal in delta D, indicating that the deglacial ice thinning is overestimated by an amount approaching an order of magnitude at some locations. This indicates that the total volume loss in these models is considerably overestimated. Furthermore, the predicted rate of this change is not supported by the isotope data and so, again, most likely reflects inaccuracies in the adopted ice models. Estimates of contemporary ice mass changes inferred from satellite gravity data corrected using any of these models with therefore be biased as a result. The isostatic signal acts to reduce the total elevation change at most sites and has a relatively small magnitude (a few% to similar to 20% of that due to the ice thickness change) so is secondary at most sites and for most of the time. However, our results indicate that it could be the dominant control on elevation at some West Antarctic sites during the Holocene, resulting in a secular cooling signal of similar to 10-20 parts per thousand in ED. None of the models capture the Holocene isotopic depletion trend present at several sites in East Antarctica. (C) 2011 Elsevier B.V. All rights reserved.</t>
  </si>
  <si>
    <t>[Siddall, Mark] Univ Bristol, Dept Earth Sci, Bristol, Avon, England; [Milne, Glenn A.] Univ Ottawa, Dept Earth Sci, Ottawa, ON, Canada; [Masson-Delmotte, Valerie] UVSQ, CNRS, UMR 8212, Lab Sci Climat &amp; Environm,IPSL,CEA, Gif Sur Yvette, France</t>
  </si>
  <si>
    <t>University of Bristol; University of Ottawa; CEA; Centre National de la Recherche Scientifique (CNRS); Universite Paris Saclay; Universite Paris Cite; CNRS - National Institute for Earth Sciences &amp; Astronomy (INSU)</t>
  </si>
  <si>
    <t>Siddall, M (corresponding author), Univ Bristol, Dept Earth Sci, Bristol, Avon, England.</t>
  </si>
  <si>
    <t>mark.siddall@bristol.ac.uk</t>
  </si>
  <si>
    <t>Masson-Delmotte, Valerie L/G-1995-2011; IPO, PAGES/JXY-7546-2024</t>
  </si>
  <si>
    <t>Masson-Delmotte, Valerie L/0000-0001-8296-381X;</t>
  </si>
  <si>
    <t>Research Council UK; European Commission [243908]; ESF HOLOCLIP</t>
  </si>
  <si>
    <t>Research Council UK(UK Research &amp; Innovation (UKRI)); European Commission(European Union (EU)European Commission Joint Research Centre); ESF HOLOCLIP</t>
  </si>
  <si>
    <t>Mark Siddall acknowledges support from University of Bristol and the PALSEA PAGES/IMAGES working group, in particular conversations with Andrea Dutton at WHOI during PALSEA 2009. Mark Siddall is supported by a Research Council UK fellowship. This work was supported by funding to the Past4Future project from the European Commission's 7th Framework Programme, grant number 243908, and is Past4Future contribution number 2 and the ESF HOLOCLIP grant. Discussions with Heidy Mader, David Smeed, Paul Valdes, Jonathan Bamber and Jonathan Gregory have been important in bringing this paper together. We are very grateful Massimo Frezzotti provided the information in Table 1 and Barbara Stenni who provided the Tabs Dome data.</t>
  </si>
  <si>
    <t>JAN 15</t>
  </si>
  <si>
    <t>10.1016/j.epsl.2011.04.032</t>
  </si>
  <si>
    <t>901LO</t>
  </si>
  <si>
    <t>WOS:000300968600004</t>
  </si>
  <si>
    <t>Tyra, MA; Farquhar, J; Guan, Y; Leshin, LA</t>
  </si>
  <si>
    <t>Tyra, M. A.; Farquhar, J.; Guan, Y.; Leshin, L. A.</t>
  </si>
  <si>
    <t>An oxygen isotope dichotomy in CM2 chondritic carbonates-A SIMS approach</t>
  </si>
  <si>
    <t>AQUEOUS ALTERATION; CARBONACEOUS CHONDRITES; PARENT BODIES; WEATHERING PRODUCTS; HYDROUS ASTEROIDS; ELEPHANT MORAINE; METEORITE; CONSTRAINTS; EVOLUTION; RECORD</t>
  </si>
  <si>
    <t>We present petrologic and Secondary Ion Mass Spectrometry (SIMS) oxygen isotope analyses of Ca-carbonate within a group of paired Antarctic CM2 chondrites. The carbonates can be grouped into two isotopically and morphologically distinct populations. Type 1 grains (small matrix grains) possess average delta O-18 of 33.7 perpendicular to 2.3 parts per thousand (1 sigma) and average Delta O-17 of -0.81 parts per thousand +/- 0.90 parts per thousand (1 sigma). Type 2 grains (calcite aggregates) possess distinct oxygen isotopic compositions, average delta O-18 of 19.4 parts per thousand +/- 1.5 parts per thousand (1 sigma) and average Delta O-17 of -1.98 +/- 0.9 parts per thousand (1 sigma). These differences are interpreted to indicate that the two populations of calcite formed under different conditions at different times. The carbonates have textural features that suggest an extraterrestrial origin. The data presented here fall within error of a previously measured array for carbonates from CM falls (Benedix et al., 2003). The presence of two generations of carbonate suggests carbonate formation in two discrete events on the parent body of these meteorites. The oxygen isotopic data presented here deviate from prior bulk carbonate measurements undertaken for these meteorites. Most likely, this deviation is because bulk carbonate analyses included vein carbonate which formed during terrestrial weathering. (C) 2011 Elsevier Ltd. All rights reserved.</t>
  </si>
  <si>
    <t>[Tyra, M. A.] Univ New Mexico, Dept Earth &amp; Planetary Sci, Northrop Hall,Room 141,MSC 03 2040,1 Univ New Mex, Albuquerque, NM 87131 USA; [Tyra, M. A.; Farquhar, J.] Univ Maryland, Dept Geol, College Pk, MD 21742 USA; [Tyra, M. A.; Farquhar, J.] Univ Maryland, ESSIC, College Pk, MD 21742 USA; [Guan, Y.] CALTECH, Div Geol &amp; Planetary Sci, Pasadena, CA 91125 USA; [Leshin, L. A.] NASA Headquarters, Explorat Syst Mission Directorate, Washington, DC 20024 USA</t>
  </si>
  <si>
    <t>University of New Mexico; University System of Maryland; University of Maryland College Park; University System of Maryland; University of Maryland College Park; California Institute of Technology; National Aeronautics &amp; Space Administration (NASA); Mary W. Jackson NASA Headquarters</t>
  </si>
  <si>
    <t>Tyra, MA (corresponding author), Univ New Mexico, Dept Earth &amp; Planetary Sci, Northrop Hall,Room 141,MSC 03 2040,1 Univ New Mex, Albuquerque, NM 87131 USA.</t>
  </si>
  <si>
    <t>matyra@unm.edu</t>
  </si>
  <si>
    <t>Tyra, Mark/0000-0002-7148-8643</t>
  </si>
  <si>
    <t>NASA [NAG5-11979, NNX09AF72G]; NSF [EAR01-15488]; University of Maryland; New Mexico Space Grant; NASA [NNX09AF72G, 118644] Funding Source: Federal RePORTER</t>
  </si>
  <si>
    <t>NASA(National Aeronautics &amp; Space Administration (NASA)); NSF(National Science Foundation (NSF)); University of Maryland; New Mexico Space Grant; NASA(National Aeronautics &amp; Space Administration (NASA))</t>
  </si>
  <si>
    <t>We thank A.N. Krot (AE), L. Bonal, and one anonymous reviewer for their careful edits. Phillip M. Piccoli, Richard J. Walker, Penny King, Paul Niles, Adrian Brearley, and Alan J. Kaufman all contributed ideas, expertise, and/or their red pen to this work. This work was supported by NASA Cosmochemistry Grants NAG5-11979 and NNX09AF72G, NSF Grant EAR01-15488, a University of Maryland GRB award, and the New Mexico Space Grant.</t>
  </si>
  <si>
    <t>10.1016/j.gca.2011.10.003</t>
  </si>
  <si>
    <t>875DK</t>
  </si>
  <si>
    <t>WOS:000299010400026</t>
  </si>
  <si>
    <t>Gehrels, WR; Callard, SL; Moss, PT; Marshall, WA; Blaauw, M; Hunter, J; Milton, JA; Garnett, MH</t>
  </si>
  <si>
    <t>Gehrels, W. Roland; Callard, S. Louise; Moss, Patrick T.; Marshall, William A.; Blaauw, Maarten; Hunter, John; Milton, J. Andrew; Garnett, Mark H.</t>
  </si>
  <si>
    <t>Nineteenth and twentieth century sea-level changes in Tasmania and New Zealand</t>
  </si>
  <si>
    <t>salt marsh; proxy data; foraminifera; Holocene; Anthropocene; Southwest Pacific</t>
  </si>
  <si>
    <t>RADIOCARBON AGE CALIBRATION; GREENLAND ICE-SHEET; MASS-BALANCE; SALT-MARSH; LATE PLEISTOCENE; RISE; SEDIMENTS; HISTORY; RECORD; FORAMINIFERA</t>
  </si>
  <si>
    <t>Positive deviations from linear sea-level trends represent important climate signals if they are persistent and geographically widespread. This paper documents rapid sea-level rise reconstructed from sedimentary records obtained from salt marshes in the Southwest Pacific region (Tasmania and New Zealand). A new late Holocene relative sea-level record from eastern Tasmania was dated by AMS(14)C (conventional, high precision and bomb-spike), Cs-137, Pb-210, stable Pb isotopic ratios, trace metals, pollen and charcoal analyses. Palaeosea-level positions were determined by foraminiferal analyses. Relative sea level in Tasmania was within half a metre of present sea level for much of the last 6000 yr. Between 1900 and 1950 relative sea level rose at an average rate of 4.2 +/- 0.1 mm/yr. During the latter half of the 20th century the reconstructed rate of relative sea-level rise was 0.7 +/- 0.6 mm/yr. Our study is consistent with a similar pattern of relative sea-level change recently reconstructed for southern New Zealand. The change in the rate of sea-level rise in the SW Pacific during the early 20th century was larger than in the North Atlantic and could suggest that northern hemisphere land-based ice was the most significant melt source for global sea-level rise. (C) 2011 Elsevier B.V. All rights reserved.</t>
  </si>
  <si>
    <t>[Gehrels, W. Roland; Marshall, William A.] Univ Plymouth, Sch Geog Earth &amp; Environm Sci, Plymouth PL4 8AA, Devon, England; [Callard, S. Louise] Victoria Univ Wellington, Sch Geog Environm &amp; Earth Sci, Wellington, New Zealand; [Moss, Patrick T.] Univ Queensland, Sch Geog Planning &amp; Environm Management, Brisbane, Qld, Australia; [Blaauw, Maarten] Queens Univ Belfast, Sch Geog Archaeol &amp; Palaeoecol, Belfast, Antrim, North Ireland; [Hunter, John] Univ Tasmania, Antarctic Climate &amp; Ecosyst Cooperat Res Ctr, Hobart, Tas, Australia; [Milton, J. Andrew] Univ Southampton, Sch Ocean &amp; Earth Sci, Southampton SO9 5NH, Hants, England; [Garnett, Mark H.] NERC Radiocarbon Facil, Glasgow, Lanark, Scotland; [Milton, J. Andrew] Natl Oceanog Ctr, Southampton, Hants, England</t>
  </si>
  <si>
    <t>University of Plymouth; Victoria University Wellington; University of Queensland; Queens University Belfast; University of Tasmania; Antarctic Climate &amp; Ecosystems Cooperative Research Centre (ACE CRC); NERC National Oceanography Centre; University of Southampton; UK Research &amp; Innovation (UKRI); Natural Environment Research Council (NERC); NERC British Geological Survey; NERC National Oceanography Centre</t>
  </si>
  <si>
    <t>Gehrels, WR (corresponding author), Univ Plymouth, Sch Geog Earth &amp; Environm Sci, Plymouth PL4 8AA, Devon, England.</t>
  </si>
  <si>
    <t>wrgehrels@plymouth.ac.uk</t>
  </si>
  <si>
    <t>IPO, PAGES/JXY-7546-2024; Moss, Patrick/AFM-9408-2022; Gehrels, Roland/ABB-2625-2021; Blaauw, Maarten/E-4539-2011; Garnett, Mark/C-2377-2009</t>
  </si>
  <si>
    <t>Blaauw, Maarten/0000-0002-5680-1515; Milton, James/0000-0003-4245-5532; Garnett, Mark/0000-0001-6486-2126; Moss, Patrick/0000-0003-1546-9242</t>
  </si>
  <si>
    <t>IGCP [588]; NERC [NRCF010001] Funding Source: UKRI; Natural Environment Research Council [NRCF010001] Funding Source: researchfish</t>
  </si>
  <si>
    <t>IGCP; NERC(UK Research &amp; Innovation (UKRI)Natural Environment Research Council (NERC)); Natural Environment Research Council(UK Research &amp; Innovation (UKRI)Natural Environment Research Council (NERC))</t>
  </si>
  <si>
    <t>For help in the field we thank Nick Callow, Sasha Colecutt, Richard Coleman, Maria Gehrels, Hugh Grenfell, Nick Bowden, Brigid Morrison and Kelly O' Loughlin. Kurt Lambeck provided GIA model sea-level estimates. Jamie Quinn drafted diagrams. Three anonymous reviewers provided constructive comments. This paper is a contribution to PALSEA/IMAGES, to IGCP Project 588 (Preparing for Coastal Change) and to the INQUA Commission on Coastal and Marine Processes.</t>
  </si>
  <si>
    <t>10.1016/j.epsl.2011.08.046</t>
  </si>
  <si>
    <t>WOS:000300968600012</t>
  </si>
  <si>
    <t>Hamme, RC; Cassar, N; Lance, VP; Vaillancourt, RD; Bender, ML; Strutton, PG; Moore, TS; DeGrandpre, MD; Sabine, CL; Ho, DT; Hargreaves, BR</t>
  </si>
  <si>
    <t>Hamme, Roberta C.; Cassar, Nicolas; Lance, Veronica P.; Vaillancourt, Robert D.; Bender, Michael L.; Strutton, Peter G.; Moore, Tommy S.; DeGrandpre, Michael D.; Sabine, Christopher L.; Ho, David T.; Hargreaves, Bruce R.</t>
  </si>
  <si>
    <t>Dissolved O2/Ar and other methods reveal rapid changes in productivity during a Lagrangian experiment in the Southern Ocean</t>
  </si>
  <si>
    <t>NET COMMUNITY PRODUCTION; ISOTOPIC FRACTIONATION; BIOLOGICAL PRODUCTION; MARINE-PHYTOPLANKTON; PACIFIC SECTOR; FRONTAL ZONES; IN-VITRO; OXYGEN; WATER; RESPIRATION</t>
  </si>
  <si>
    <t>We use continuous and discrete measurements of the dissolved O-2/Ar ratio in the mixed layer to investigate the dynamics of biological productivity during the Southern Ocean Gas Exchange Experiment in March and April 2008. Injections of SF6 defined two water masses (patches) that were followed for up to 2 weeks. In the first patch, dissolved O-2/Ar was supersaturated, indicating net biological production of organic carbon. In the second patch, rapidly decreasing O-2/Ar could only be reasonably explained if the mixed layer was experiencing a period of net heterotrophy. The observations rule out dominant contributions from vertical mixing, lateral dilution, or respiration in the ship's underway seawater supply lines. We also compare nine different estimates of net community, new, primary, or gross production made during the experiment. Net community and new production estimates agreed well in the first patch but disagreed in the second patch, both during an initial net heterotrophic period but also during the apparently autotrophic period at the end of the observations. Rapidly changing productivity during the second patch complicated the comparison of methods that integrate over daily and several week timescales. Primary productivity values from on-deck 24 h C-14 incubations and gross carbon production values from photosynthesis-irradiance experiments were nearly identical even during highly dynamic periods of net heterotrophy, while gross oxygen production measurements were 3.5-4.2 times higher but with uncertainties in that ratio near +/- 2. These comparisons show that the photosynthesis-irradiance experiments based on 1-2 h C-14 incubations underestimated gross carbon production.</t>
  </si>
  <si>
    <t>[Hamme, Roberta C.] Univ Victoria, Sch Earth &amp; Ocean Sci, Victoria, BC V8W 3V6, Canada; [Cassar, Nicolas] Duke Univ, Nicholas Sch Environm, Div Earth &amp; Ocean Sci, Durham, NC 27708 USA; [Lance, Veronica P.] Columbia Univ, Lamont Doherty Earth Observ, Palisades, NY USA; [Vaillancourt, Robert D.] Millersville Univ Pennsylvania, Dept Earth Sci, Millersville, PA 17551 USA; [Bender, Michael L.] Princeton Univ, Dept Geosci, Princeton, NJ 08544 USA; [Strutton, Peter G.] Univ Tasmania, Inst Marine &amp; Antarctic Studies, Hobart, Tas 7005, Australia; [Moore, Tommy S.; DeGrandpre, Michael D.] Univ Montana, Dept Chem &amp; Biochem, Missoula, MT 59812 USA; [Hargreaves, Bruce R.] Lehigh Univ, Dept Earth &amp; Environm Sci, Bethlehem, PA 18015 USA; [Ho, David T.] Univ Hawaii Manoa, Dept Oceanog, Honolulu, HI 96822 USA; [Sabine, Christopher L.] NOAA, Pacific Marine Environm Lab, Seattle, WA 98115 USA</t>
  </si>
  <si>
    <t>University of Victoria; Duke University; Columbia University; Pennsylvania State System of Higher Education (PASSHE); Millersville University of Pennsylvania; Princeton University; University of Tasmania; University of Montana System; University of Montana; Lehigh University; University of Hawaii System; University of Hawaii Manoa; National Oceanic Atmospheric Admin (NOAA) - USA</t>
  </si>
  <si>
    <t>Hamme, RC (corresponding author), Univ Victoria, Sch Earth &amp; Ocean Sci, POB 3065 STN CSC, Victoria, BC V8W 3V6, Canada.</t>
  </si>
  <si>
    <t>rhamme@uvic.ca</t>
  </si>
  <si>
    <t>Hamme, Roberta/AAA-4802-2022; Moore, Thomas/AAU-9480-2021; Cassar, Nicolas/B-4260-2011; Ho, David T./A-3154-2011; Strutton, Peter/C-4466-2011</t>
  </si>
  <si>
    <t>Moore, Thomas/0000-0003-3930-1946; Cassar, Nicolas/0000-0003-0100-3783; Ho, David T./0000-0002-0944-6952; Strutton, Peter/0000-0002-2395-9471; Hamme, Roberta/0000-0001-7022-9706; Vaillancourt, Robert/0000-0003-1008-2380; DeGrandpre, Michael/0000-0003-1969-6709</t>
  </si>
  <si>
    <t>NSERC [328290-2006]; NASA [NNX08AF12G, NNX07AV24G, NNX07AV23G]; NOAA [NA07OAR4310088, NA07OAR4310122, GC07-129, GC07-109, NA07OAR4310113, NA08OAR4310890]; NSF [ANT-0636744, OCE-0726784]; NASA [NNX08AF12G, 102572] Funding Source: Federal RePORTER</t>
  </si>
  <si>
    <t>NSERC(Natural Sciences and Engineering Research Council of Canada (NSERC)); NASA(National Aeronautics &amp; Space Administration (NASA)); NOAA(National Oceanic Atmospheric Admin (NOAA) - USA); NSF(National Science Foundation (NSF)); NASA(National Aeronautics &amp; Space Administration (NASA))</t>
  </si>
  <si>
    <t>We thank Matt Reid and Paul Schmieder for making the underway SF6 measurements, Greg Johnson for processing the CTD data, and Burke Hales for providing his underway salinity data. Bruce Barnett, Robert Mika, and Cory Beatty are thanked for their help with cruise logistics and sample analysis. We appreciate the comments of Paul Quay and an anonymous reviewer that helped us to improve the manuscript. Funding for this work was provided by NSERC Discovery grant 328290-2006 to R. C. H.; NASA cooperative agreements NNX08AF12G to M. L. B., NNX07AV24G to R. D. V., J.F. Marra, and A. Subramaniam, and NNX07AV23G to B. R. H.; NOAA grants NA07OAR4310088 to P. G. S. and B. Hales, NA07OAR4310122 to M. D. D., GC07-129 and GC07-109 to C. L. S., and NA07OAR4310113 and NA08OAR4310890 to D. T. H.; and NSF grants ANT-0636744 to M. L. B. and OCE-0726784 to M. D. D. This is PMEL contribution 3672.</t>
  </si>
  <si>
    <t>JAN 14</t>
  </si>
  <si>
    <t>C00F12</t>
  </si>
  <si>
    <t>10.1029/2011JC007046</t>
  </si>
  <si>
    <t>877LK</t>
  </si>
  <si>
    <t>WOS:000299182400001</t>
  </si>
  <si>
    <t>Shiga, D</t>
  </si>
  <si>
    <t>Shiga, David</t>
  </si>
  <si>
    <t>Antarctic lakes go wandering over ice sheets</t>
  </si>
  <si>
    <t>879WV</t>
  </si>
  <si>
    <t>WOS:000299364500011</t>
  </si>
  <si>
    <t>Ananthaswamy, A</t>
  </si>
  <si>
    <t>Ananthaswamy, Anil</t>
  </si>
  <si>
    <t>Antarctic hero</t>
  </si>
  <si>
    <t>WOS:000299364500017</t>
  </si>
  <si>
    <t>Munneke, PK; Picard, G; van den Broeke, MR; Lenaerts, JTM; van Meijgaard, E</t>
  </si>
  <si>
    <t>Munneke, P. Kuipers; Picard, G.; van den Broeke, M. R.; Lenaerts, J. T. M.; van Meijgaard, E.</t>
  </si>
  <si>
    <t>Insignificant change in Antarctic snowmelt volume since 1979</t>
  </si>
  <si>
    <t>MICROWAVE RADIOMETERS; ICE SHELVES; CLIMATE; PENINSULA; VARIABILITY; SENSORS; TRENDS; MELT</t>
  </si>
  <si>
    <t>Surface snowmelt is widespread in coastal Antarctica. Satellite-based microwave sensors have been observing melt area and duration for over three decades. However, these observations do not reveal the total volume of meltwater produced on the ice sheet. Here we present an Antarctic melt volume climatology for the period 1979-2010, obtained using a regional climate model equipped with realistic snow physics. We find that mean continent-wide meltwater volume (1979-2010) amounts to 89 Gt y(-1) with large interannual variability (sigma = 41 Gt y(-1)). Of this amount, 57 Gt y(-1) (64%) is produced on the floating ice shelves extending from the grounded ice sheet, and 71 Gt y(-1) in West-Antarctica, including the Antarctic Peninsula. We find no statistically significant trend in either continent-wide or regional meltwater volume for the 31-year period 1979-2010. Citation: Kuipers Munneke, P., G. Picard, M. R. van den Broeke, J. T. M. Lenaerts, and E. van Meijgaard (2012), Insignificant change in Antarctic snowmelt volume since 1979, Geophys. Res. Lett., 39, L01501, doi: 10.1029/2011GL050207.</t>
  </si>
  <si>
    <t>[Munneke, P. Kuipers; van den Broeke, M. R.; Lenaerts, J. T. M.] Univ Utrecht, Inst Marine &amp; Atmospher Res, NL-3508 TA Utrecht, Netherlands; [Picard, G.] CNRS UJF, Lab Glaciol &amp; Geophys Environm, F-38402 St Martin Dheres, France; [van Meijgaard, E.] Royal Netherlands Meteorol Inst, NL-3730 AE De Bilt, Netherlands</t>
  </si>
  <si>
    <t>Utrecht University; Communaute Universite Grenoble Alpes; Universite Grenoble Alpes (UGA); Centre National de la Recherche Scientifique (CNRS); Royal Netherlands Meteorological Institute</t>
  </si>
  <si>
    <t>Munneke, PK (corresponding author), Univ Utrecht, Inst Marine &amp; Atmospher Res, POB 80005, NL-3508 TA Utrecht, Netherlands.</t>
  </si>
  <si>
    <t>Lenaerts, Jan/D-9423-2012; Picard, Ghislain/D-4246-2013; Van den Broeke, Michiel R./F-7867-2011</t>
  </si>
  <si>
    <t>Lenaerts, Jan/0000-0003-4309-4011; Picard, Ghislain/0000-0003-1475-5853; Van den Broeke, Michiel R./0000-0003-4662-7565; Kuipers Munneke, Peter/0000-0001-5555-3831</t>
  </si>
  <si>
    <t>NWO/ALW [818.01.016]; European Union [226375]</t>
  </si>
  <si>
    <t>NWO/ALW(Netherlands Organization for Scientific Research (NWO)); European Union(European Union (EU))</t>
  </si>
  <si>
    <t>Andrew Monaghan (National Center for Atmospheric Research, Boulder, CO, USA) is kindly thanked for discussing and analyzing surface temperature trends in correlation with meltwater volume. We would like to thank the anonymous reviewers for their help in improving this manuscript. ECMWF is thanked for providing access to their supercomputer facilities. This research was partly funded by NWO/ALW grant 818.01.016, and partly supported by funding from the ice2sea programme from the European Union 7th Framework Programme, grant 226375. Ice2sea contribution 58.</t>
  </si>
  <si>
    <t>JAN 13</t>
  </si>
  <si>
    <t>L01501</t>
  </si>
  <si>
    <t>10.1029/2011GL050207</t>
  </si>
  <si>
    <t>877KK</t>
  </si>
  <si>
    <t>WOS:000299178800005</t>
  </si>
  <si>
    <t>Davies, BJ; Hambrey, MJ; Smellie, JL; Carrivick, JL; Glasser, NF</t>
  </si>
  <si>
    <t>Davies, Bethan J.; Hambrey, Michael J.; Smellie, John L.; Carrivick, Jonathan L.; Glasser, Neil F.</t>
  </si>
  <si>
    <t>Antarctic Peninsula Ice Sheet evolution during the Cenozoic Era</t>
  </si>
  <si>
    <t>Antarctic Peninsula; Glaciation; Neogene; Palaeogene; Quaternary; Last Glacial Maximum</t>
  </si>
  <si>
    <t>LAST GLACIAL MAXIMUM; JAMES-ROSS-ISLAND; SOUTH SHETLAND ISLANDS; KING-GEORGE-ISLAND; RADIOCARBON AGE CALIBRATION; CONTINENTAL RISE WEST; WEDDELL SEA EMBAYMENT; LATE-HOLOCENE ADVANCE; MARINE DIATOM RECORD; TROUGH-MOUTH FAN</t>
  </si>
  <si>
    <t>The Antarctic Peninsula region is currently undergoing rapid environmental change, resulting in the thinning, acceleration and recession of glaciers and the sequential collapse of ice shelves. It is important to view these changes in the context of long-term palaeoenvironmental complexity and to understand the key processes controlling ice sheet growth and recession. In addition, numerical ice sheet models require detailed geological data for tuning and testing. Therefore, this paper systematically and holistically reviews published geological evidence for Antarctic Peninsula Ice Sheet variability for each key locality throughout the Cenozoic, and brings together the prevailing consensus of the extent, character and behaviour of the glaciations of the Antarctic Peninsula region. Major contributions include a downloadable database of 186 terrestrial and marine calibrated dates; an original reconstruction of the LGM ice sheet: and a new series of isochrones detailing ice sheet retreat following the LGM. Glaciation of Antarctica was initiated around the Eocene/Oligocene transition in East Antarctica. Palaeogene records of Antarctic Peninsula glaciation are primarily restricted to King George Island, where glacigenic sediments provide a record of early East Antarctic glaciations, but with modification of far-travelled erratics by local South Shetland Island ice caps. Evidence for Neogene glaciation is derived primarily from King George Island and James Ross Island, where glaciovolcanic strata indicate that ice thicknesses reached 500-850 m during glacials. This suggests that the Antarctic Peninsula Ice Sheet draped, rather than drowned, the topography. Marine geophysical investigations indicate multiple ice sheet advances during this time. Seismic profiling of continental shelf-slope deposits indicates up to ten large advances of the Antarctic Peninsula Ice Sheet during the Early Pleistocene, when the ice sheet was dominated by 40 kyr cycles. Glacials became more pronounced, reaching the continental shelf edge, and of longer duration during the Middle Pleistocene. During the Late Pleistocene, repeated glacials reached the shelf edge, but ice shelves inhibited iceberg rafting. The Last Glacial Maximum (LGM) occurred at 18 ka BP, after which transitional glaciomarine sediments on the continental shelf indicate ice-sheet retreat. The continental shelf contains large bathymetric troughs, which were repeatedly occupied by large ice streams during Pleistocene glaciations. Retreat after the LGM was episodic in the Weddell Sea, with multiple readvances and changes in ice-flow direction, but rapid in the Bellingshausen Sea. The late Holocene Epoch was characterised by repeated fluctuations in palaeoenvironmental conditions, with associated glacial readvances. However, this has been subsumed by rapid warming and ice-shelf collapse during the twentieth century. (C) 2011 Elsevier Ltd. All rights reserved.</t>
  </si>
  <si>
    <t>[Davies, Bethan J.; Hambrey, Michael J.; Glasser, Neil F.] Aberystwyth Univ, Ctr Glaciol, Inst Geog &amp; Earth Sci, Aberystwyth SY23 3DB, Dyfed, Wales; [Smellie, John L.] Univ Leicester, Dept Geol, Leicester LE1 7RH, Leics, England; [Carrivick, Jonathan L.] Univ Leeds, Sch Geog, Leeds LS2 9JT, W Yorkshire, England</t>
  </si>
  <si>
    <t>Aberystwyth University; University of Leicester; University of Leeds</t>
  </si>
  <si>
    <t>Davies, BJ (corresponding author), Aberystwyth Univ, Ctr Glaciol, Inst Geog &amp; Earth Sci, Llandinam Bldg,Penglais Campus, Aberystwyth SY23 3DB, Dyfed, Wales.</t>
  </si>
  <si>
    <t>bdd@aber.ac.uk</t>
  </si>
  <si>
    <t>Davies, Bethan/0000-0002-8636-1813; Carrivick, Jonathan/0000-0002-9286-5348; Glasser, Neil/0000-0002-8245-2670</t>
  </si>
  <si>
    <t>NERC [AFI 9-01 (NE/F012942/1)]; Climate Change Consortium for Wales (C3W); NERC [NE/F012896/1, NE/F012942/1] Funding Source: UKRI; Natural Environment Research Council [NE/F012942/1, NE/F012896/1] Funding Source: researchfish</t>
  </si>
  <si>
    <t>NERC(UK Research &amp; Innovation (UKRI)Natural Environment Research Council (NERC)); Climate Change Consortium for Wales (C3W); NERC(UK Research &amp; Innovation (UKRI)Natural Environment Research Council (NERC)); Natural Environment Research Council(UK Research &amp; Innovation (UKRI)Natural Environment Research Council (NERC))</t>
  </si>
  <si>
    <t>This work was funded by NERC grant AFI 9-01 (NE/F012942/1) and the Climate Change Consortium for Wales (C3W). It forms part of a contribution to the Scientific Committee on Antarctic Research's programme, Antarctic Climate Evolution. Terry Hughes and one anonymous reviewer are gratefully acknowledged for thoughtful and insightful comments that greatly improved the manuscript. The Mosaic of Antarctica and Antarctic Digital Database are gratefully acknowledged for their data, which was used in the construction of figures.</t>
  </si>
  <si>
    <t>JAN 12</t>
  </si>
  <si>
    <t>10.1016/j.quascirev.2011.10.012</t>
  </si>
  <si>
    <t>890CC</t>
  </si>
  <si>
    <t>WOS:000300121700003</t>
  </si>
  <si>
    <t>Sterken, M; Roberts, SJ; Hodgson, DA; Vyverman, W; Balbo, AL; Sabbe, K; Moreton, SG; Verleyen, E</t>
  </si>
  <si>
    <t>Sterken, Mieke; Roberts, Stephen J.; Hodgson, Dominic A.; Vyverman, Wim; Balbo, Andrea L.; Sabbe, Koen; Moreton, Steven G.; Verleyen, Elie</t>
  </si>
  <si>
    <t>Holocene glacial and climate history of Prince Gustav Channel, northeastern Antarctic Peninsula</t>
  </si>
  <si>
    <t>Antarctic Peninsula; Deglaciation; Climate change; Palaeoclimate; Marine; Terrestrial</t>
  </si>
  <si>
    <t>SOUTH-SHETLAND-ISLANDS; JAMES-ROSS-ISLAND; VI ICE SHELF; RADIOCARBON AGE CALIBRATION; LAKE-SEDIMENTS; DIATOM ASSEMBLAGES; SURFACE SEDIMENTS; LATE PLEISTOCENE; EAST ANTARCTICA; LARSEMANN HILLS</t>
  </si>
  <si>
    <t>The Antarctic Peninsula is one of the most rapidly warming regions on Earth, as evidenced by a recent increase in the intensity and duration of summer melting, the recession of glaciers and the retreat and collapse of ice shelves. Despite this, only a limited number of well-dated near shore marine and lake sediment based palaeoenvironmental records exist from this region: so our understanding of the longer-term context of this rapid climate change is limited. Here we provide new well-dated constraints on the deglaciation history, and changes in sea ice and climate based on analyses of sedimentological proxies, diatoms and fossil pigments in a sediment core collected from an isolation basin on Beak Island in Prince Gustav Channel, NE Antarctic Peninsula (63 degrees 36'S, 57 degrees 20'W). Twenty two radiocarbon dates provided a chronology for the core including a minimum modelled age for deglaciation of 10,602 cal yr BP, following the onset of marine sedimentation. Conditions remained cold and perennial sea ice persisted in this part of Prince Gustav Channel until c. 9372 cal yr BR This was followed by a seasonally open marine environment until at least 6988 cal yr BP, corresponding with the early retreat and disintegration of the ice shelf in southern Prince Gustav Channel. Following isolation of the basin from 6988 cal yr BP a relatively cold climate persisted until 3169 cal yr BR A Mid-late Holocene climate optimum occurred between 3169 and 2120 cal yr BP, inferred from multiple indicators of increased biological production. This postdates the onset of the Mid-late Holocene climate optimum in the South Shetland Islands (4380 cal yr BP) and the South Orkney Islands (3800 cal yr BP) suggesting that cooler climate systems of the Weddell Sea Gyre to the east of the Peninsula may have buffered the onset of warming. Climate deterioration is inferred from c. 2120 cal yr BP until 543 cal yr BR This was followed by warming. Superimposed on this warming trend, the instrumental record of recent warming at nearby Hope Bay is mirrored by a recent increase in the lake's primary production and a shift in the diatom communities in the uppermost 3 cm of sediments, suggesting that this is amongst the first records to show an ecological response to recent rapid temperature increase. These new constraints on glaciological and climate events in Prince Gustav Channel are reviewed in the context of wider changes in the Antarctic region. (C) 2011 Elsevier Ltd. All rights reserved.</t>
  </si>
  <si>
    <t>[Roberts, Stephen J.; Hodgson, Dominic A.; Balbo, Andrea L.] British Antarctic Survey, Nat Environm Res Council, Cambridge CB3 0ET, England; [Sterken, Mieke; Vyverman, Wim; Sabbe, Koen; Verleyen, Elie] Univ Ghent, Lab Protistol &amp; Aquat Ecol, Dept Biol, B-9000 Ghent, Belgium; [Moreton, Steven G.] NERC, Radiocarbon Facil, E Kilbride G75 0QF, Lanark, Scotland</t>
  </si>
  <si>
    <t>UK Research &amp; Innovation (UKRI); Natural Environment Research Council (NERC); NERC British Antarctic Survey; Ghent University; UK Research &amp; Innovation (UKRI); Natural Environment Research Council (NERC); NERC British Geological Survey</t>
  </si>
  <si>
    <t>Hodgson, DA (corresponding author), British Antarctic Survey, Nat Environm Res Council, Madingley Rd, Cambridge CB3 0ET, England.</t>
  </si>
  <si>
    <t>mksterken@gmail.com; sjro@bas.ac.uk; daho@bas.ac.uk; Wim.Vyverman@ugent.be; balbo@imf.csic.es; Koen.Sabbe@ugent.be; S.Moreton@nercrcl.gla.ac.uk; Elie.Verleyen@ugent.be</t>
  </si>
  <si>
    <t>Moreton, Steven G/C-2373-2009</t>
  </si>
  <si>
    <t>Moreton, Steven G/0000-0002-8030-2433; Balbo, Andrea Luca/0000-0002-3906-375X; Roberts, Stephen/0000-0003-3407-9127</t>
  </si>
  <si>
    <t>UK Natural Environment Research Council through the British Antarctic Survey CACHE-PEP; Belgian Science Policy Office; Scientific Research Flanders, Belgium; Natural Environment Research Council [bas0100024, NRCF010001] Funding Source: researchfish; NERC [NRCF010001, bas0100024] Funding Source: UKRI</t>
  </si>
  <si>
    <t>UK Natural Environment Research Council through the British Antarctic Survey CACHE-PEP; Belgian Science Policy Office(Belgian Federal Science Policy Office); Scientific Research Flanders, Belgium(FWO); Natural Environment Research Council(UK Research &amp; Innovation (UKRI)Natural Environment Research Council (NERC)); NERC(UK Research &amp; Innovation (UKRI)Natural Environment Research Council (NERC))</t>
  </si>
  <si>
    <t>This study was funded by the UK Natural Environment Research Council through the British Antarctic Survey CACHE-PEP project (led by D.A. Hodgson) and the Belgian Science Policy Office project HOLANT (led by W. Vyverman). E. Verleyen is a postdoctoral research fellow of the Fund for Scientific Research Flanders, Belgium. Andy Lole is thanked for his assistance in the field and the captain and crew of the HMS Endurance and and 815 Naval Air Squadron for logistic support. Dr. Chris Hayward at the University of Edinburgh Tephrochronological Analytical Unit (TAU) is thanked for his assistance in undertaking preliminary microprobe analysis on the three main visible ash layers in this core, which will be the focus of a forthcoming paper.</t>
  </si>
  <si>
    <t>10.1016/j.quascirev.2011.10.017</t>
  </si>
  <si>
    <t>WOS:000300121700006</t>
  </si>
  <si>
    <t>Bromwich, DH; Nicolas, JP; Hines, KM; Kay, JE; Key, EL; Lazzara, MA; Lubin, D; McFarquhar, GM; Gorodetskaya, IV; Grosvenor, DP; Lachlan-Cope, T; van Lipzig, NPM</t>
  </si>
  <si>
    <t>Bromwich, David H.; Nicolas, Julien P.; Hines, Keith M.; Kay, Jennifer E.; Key, Erica L.; Lazzara, Matthew A.; Lubin, Dan; McFarquhar, Greg M.; Gorodetskaya, Irina V.; Grosvenor, Daniel P.; Lachlan-Cope, Thomas; van Lipzig, Nicole P. M.</t>
  </si>
  <si>
    <t>TROPOSPHERIC CLOUDS IN ANTARCTICA</t>
  </si>
  <si>
    <t>POLAR STRATOSPHERIC CLOUDS; CLIMATOLOGY-PROJECT ISCCP; ALTIMETER-SYSTEM GLAS; SURFACE HEAT-BUDGET; SOUTH-POLE; PART I; SEA-ICE; ULTRAVIOLET-RADIATION; OPTICAL DEPTH; ATMOSPHERIC CIRCULATION</t>
  </si>
  <si>
    <t>Compared to other regions, little is known about clouds in Antarctica. This arises in part from the challenging deployment of instrumentation in this remote and harsh environment and from the limitations of traditional satellite passive remote sensing over the polar regions. Yet clouds have a critical influence on the ice sheet's radiation budget and its surface mass balance. The extremely low temperatures, absolute humidity levels, and aerosol concentrations found in Antarctica create unique conditions for cloud formation that greatly differ from those encountered in other regions, including the Arctic. During the first decade of the 21st century, new results from field studies, the advent of cloud observations from spaceborne active sensors, and improvements in cloud parameterizations in numerical models have contributed to significant advances in our understanding of Antarctic clouds. This review covers four main topics: (1) observational methods and instruments, (2) the seasonal and interannual variability of cloud amounts, (3) the microphysical properties of clouds and aerosols, and (4) cloud representation in global and regional numerical models. Aside from a synthesis of the existing literature, novel insights are also presented. A new climatology of clouds over Antarctica and the Southern Ocean is derived from combined measurements of the CloudSat and Cloud-Aerosol Lidar and Infrared Pathfinder Satellite Observation (CALIPSO) satellites. This climatology is used to assess the forecast cloud amounts in 20th century global climate model simulations. While cloud monitoring over Antarctica from space has proved essential to the recent advances, the review concludes by emphasizing the need for additional in situ measurements.</t>
  </si>
  <si>
    <t>[Bromwich, David H.; Nicolas, Julien P.; Hines, Keith M.] Ohio State Univ, Byrd Polar Res Ctr, Polar Meteorol Grp, Columbus, OH 43210 USA; [Gorodetskaya, Irina V.; van Lipzig, Nicole P. M.] Katholieke Univ Leuven, Dept Earth &amp; Environm Sci, B-3001 Heverlee, Belgium; [Grosvenor, Daniel P.] Univ Manchester, SEAES, Ctr Atmospher Sci, Manchester M13 9PL, Lancs, England; [Kay, Jennifer E.] Natl Ctr Atmospher Res, Climate &amp; Global Dynam Div, Boulder, CO 80307 USA; [Key, Erica L.] Natl Sci Fdn, Off Polar Programs, Arctic Div, Arlington, VA 22230 USA; [Lachlan-Cope, Thomas] British Antarctic Survey, Cambridge CB3 0ET, England; [Lazzara, Matthew A.] Univ Wisconsin Madison, Antarctic Meteorol Res Ctr, Space Sci &amp; Engn Ctr, Madison, WI 53706 USA; [Lubin, Dan] Univ Calif San Diego, Scripps Inst Oceanog, La Jolla, CA 92093 USA; [McFarquhar, Greg M.] Univ Illinois, Dept Atmospher Sci, Urbana, IL 61801 USA; [Bromwich, David H.; Nicolas, Julien P.] Ohio State Univ, Dept Geog, Atmospher Sci Program, Columbus, OH 43210 USA</t>
  </si>
  <si>
    <t>University System of Ohio; Ohio State University; KU Leuven; University of Manchester; National Center Atmospheric Research (NCAR) - USA; National Science Foundation (NSF); NSF - Directorate for Geosciences (GEO); NSF - Office of Polar Programs (OPP); UK Research &amp; Innovation (UKRI); Natural Environment Research Council (NERC); NERC British Antarctic Survey; University of Wisconsin System; University of Wisconsin Madison; University of California System; University of California San Diego; Scripps Institution of Oceanography; University of Illinois System; University of Illinois Urbana-Champaign; University System of Ohio; Ohio State University</t>
  </si>
  <si>
    <t>Bromwich, DH (corresponding author), Ohio State Univ, Byrd Polar Res Ctr, Polar Meteorol Grp, 1090 Carmack Rd,108 Scott Hall, Columbus, OH 43210 USA.</t>
  </si>
  <si>
    <t>bromwich.1@osu.edu</t>
  </si>
  <si>
    <t>Bromwich, David H/C-9225-2016; van Lipzig, Nicole/ABF-2964-2021; McFarquhar, Greg/R-9154-2018; Gorodetskaya, Irina/K-1987-2015; KAY, JENNIFER/C-6042-2012</t>
  </si>
  <si>
    <t>van Lipzig, Nicole/0000-0003-2899-4046; McFarquhar, Greg/0000-0003-0950-0135; Gorodetskaya, Irina/0000-0002-2294-7823; Lazzara, Matthew/0000-0002-4343-498X; KAY, JENNIFER/0000-0002-3625-5377; Grosvenor, Daniel/0000-0002-4919-7751; Key, Erica/0000-0002-5099-5961</t>
  </si>
  <si>
    <t>Scientific Committee on Antarctic Research (SCAR); International Union on Geodesy and Geophysics (IUGG); International Commission on Polar Meteorology (ICPM); Byrd Polar Research Center; British Antarctic Survey; NSF [ATM-0751291, ANT-0838967]; NASA [NNX10AM22G, NNX08AF79G]; Office of Science, Office of Biological and Environmental Research Science Division (BER), Department of Energy [DE-SC0001279]; NSF Office of Polar Program [ANT-0838834]; Belgian Science Policy; Natural Environment Research Council [bas0100023] Funding Source: researchfish; NERC [bas0100023] Funding Source: UKRI; NASA [101240, NNX08AF79G, 129061, NNX10AM22G] Funding Source: Federal RePORTER; Directorate For Geosciences; Office of Polar Programs (OPP) [0838834] Funding Source: National Science Foundation</t>
  </si>
  <si>
    <t>Scientific Committee on Antarctic Research (SCAR); International Union on Geodesy and Geophysics (IUGG); International Commission on Polar Meteorology (ICPM); Byrd Polar Research Center; British Antarctic Survey; NSF(National Science Foundation (NSF)); NASA(National Aeronautics &amp; Space Administration (NASA)); Office of Science, Office of Biological and Environmental Research Science Division (BER), Department of Energy(United States Department of Energy (DOE)); NSF Office of Polar Program(National Science Foundation (NSF)); Belgian Science Policy(Belgian Federal Science Policy Office); Natural Environment Research Council(UK Research &amp; Innovation (UKRI)Natural Environment Research Council (NERC)); NERC(UK Research &amp; Innovation (UKRI)Natural Environment Research Council (NERC)); NASA(National Aeronautics &amp; Space Administration (NASA)); Directorate For Geosciences; Office of Polar Programs (OPP)(National Science Foundation (NSF)NSF - Directorate for Geosciences (GEO))</t>
  </si>
  <si>
    <t>The International Workshop on Antarctic Clouds, from which the initiative of the present review originates, was sponsored by the Scientific Committee on Antarctic Research (SCAR), the International Union on Geodesy and Geophysics (IUGG), the International Commission on Polar Meteorology (ICPM), the Byrd Polar Research Center, and the British Antarctic Survey. The research of D.H. B., J.P.N., and K.M.H. was funded in part by NSF grant ATM-0751291 and grant ANT-0838967. Funding for J.E.K. to analyze CloudSat and CALIOP data was provided by NASA grant NNX10AM22G. The research of G.M.M. was supported by the Office of Science, Office of Biological and Environmental Research Science Division (BER), Department of Energy under grant DE-SC0001279. D.L. is supported in part by NASA under NNX08AF79G. M.A.L. thanks the NSF Office of Polar Program for supporting the Antarctic Meteorological Research Center via grant number ANT-0838834. I.G. and N.V.L. are grateful to the Belgian Science Policy for funding the cloud observatory at Princess Elisabeth station; to collaborators at the Institute for Marine and Atmospheric Research Utrecht, the University of Cologne, and the Belgian Royal Meteorological Institute for assistance in measurements and data processing; and to Maximilian Maahn (Bonn University) for help in radar data processing. The visual cloud observations from Antarctic stations were obtained from http://cdiac.ornl.gov/epubs/ndp/ndp026d/ndp026d.html. MODIS cloud data were obtained from the NASA/LAADS portal (http://modis.gsfc.nasa.gov/). ISCCP cloud data were obtained from: http://isccp.giss.nasa.gov/. ERA-Interim mean sea level pressure and cloud data were obtained from the ECMWF data server (http://data.ecmwf.int/data/). This review is Byrd Polar Research Center contribution 1414.</t>
  </si>
  <si>
    <t>RG1004</t>
  </si>
  <si>
    <t>10.1029/2011RG000363</t>
  </si>
  <si>
    <t>877LB</t>
  </si>
  <si>
    <t>WOS:000299181200001</t>
  </si>
  <si>
    <t>Berdermann, J</t>
  </si>
  <si>
    <t>Berdermann, Jens</t>
  </si>
  <si>
    <t>IceCube Collaboration</t>
  </si>
  <si>
    <t>Acoustic transient event reconstruction and sensitivity studies with the South Pole Acoustic Test Setup</t>
  </si>
  <si>
    <t>NUCLEAR INSTRUMENTS &amp; METHODS IN PHYSICS RESEARCH SECTION A-ACCELERATORS SPECTROMETERS DETECTORS AND ASSOCIATED EQUIPMENT</t>
  </si>
  <si>
    <t>4th International Workshop on Acoustic and Radio EeV Neutrino Detection Activities</t>
  </si>
  <si>
    <t>JUN 29-JUL 02, 2010</t>
  </si>
  <si>
    <t>Nantes, FRANCE</t>
  </si>
  <si>
    <t>Acoustic neutrino detection; Acoustic transient data; SPATS</t>
  </si>
  <si>
    <t>The South Pole Acoustic Test Setup (SPATS) consists of four strings instrumented with seven acoustic sensors and transmitters each, which are deployed in the upper 500 m of the IceCube holes. Since end of August 2008 SPATS is operating in transient mode, where three sensor channels of each string, located at three different depth levels, are used for triggered data taking within the 10-100 kHz frequency range. This allows to reconstruct the position of the source of acoustic signals in the antarctic ice with high precision. Acoustic signals from re-freezing IceCube holes are identified. All detected acoustic events seen are associated to sources caused by human activities at the South Pole. Further, the sensitive volume for nu interactions outside the IceCube instrumented area has been determined by simulation and a flux limit for high energy neutrinos was derived. (C) 2010 Elsevier B.V. All rights reserved.</t>
  </si>
  <si>
    <t>[Berdermann, Jens] DESY, D-15735 Zeuthen, Germany</t>
  </si>
  <si>
    <t>Helmholtz Association; Deutsches Elektronen-Synchrotron (DESY)</t>
  </si>
  <si>
    <t>Berdermann, J (corresponding author), DESY, D-15735 Zeuthen, Germany.</t>
  </si>
  <si>
    <t>jens.berdermann@desy.de</t>
  </si>
  <si>
    <t>Sánchez, Juan Antonio Aguilar/H-4467-2015</t>
  </si>
  <si>
    <t>0168-9002</t>
  </si>
  <si>
    <t>1872-9576</t>
  </si>
  <si>
    <t>NUCL INSTRUM METH A</t>
  </si>
  <si>
    <t>Nucl. Instrum. Methods Phys. Res. Sect. A-Accel. Spectrom. Dect. Assoc. Equip.</t>
  </si>
  <si>
    <t>JAN 11</t>
  </si>
  <si>
    <t>S46</t>
  </si>
  <si>
    <t>S49</t>
  </si>
  <si>
    <t>10.1016/j.nima.2010.11.015</t>
  </si>
  <si>
    <t>Instruments &amp; Instrumentation; Nuclear Science &amp; Technology; Physics, Nuclear; Physics, Particles &amp; Fields</t>
  </si>
  <si>
    <t>Instruments &amp; Instrumentation; Nuclear Science &amp; Technology; Physics</t>
  </si>
  <si>
    <t>879WG</t>
  </si>
  <si>
    <t>WOS:000299363000011</t>
  </si>
  <si>
    <t>Besson, D; Dagkesamanskii, R; Kravchenko, E; Kravchenko, I; Zheleznykh, I</t>
  </si>
  <si>
    <t>Besson, D.; Dagkesamanskii, R.; Kravchenko, E.; Kravchenko, I.; Zheleznykh, I.</t>
  </si>
  <si>
    <t>Tethered balloons for radio detection of ultra high energy cosmic neutrinos in Antarctica</t>
  </si>
  <si>
    <t>Radio emission of neutrino-induced cascades; Askaryan effect; Neutrino experiments in Antarctica; Tethered balloons; RITA; UHE neutrino</t>
  </si>
  <si>
    <t>EMISSION</t>
  </si>
  <si>
    <t>We present a brief overview of experimental efforts in Antarctica to search for radio pulses from electron-hadron cascades produced by cosmic ultrahigh-energy neutrinos in Antarctic ice. Thus far, the essential features (energy thresholds, effective recording volumes, etc.) of Antarctic neutrino radio experiments can be classified according to the deployment scheme employed: either (1) on the surface of the glacier-RAMAND-type, (2) in holes in the ice at depths of several hundred meters-RICE-type or (3) on board of a stratospheric balloon at an altitude of 40 km-ANITA-type. We herein propose an alternative possibility, namely to use tethered balloons for placing the radio antennas at modest (compared to ANITA) altitudes above the ice surface (1-2 km). This configuration of antennas will reduce (as compared to ANITA) the energy threshold for detection of neutrinos and increase the observation time. Published by Elsevier B.V.</t>
  </si>
  <si>
    <t>[Kravchenko, I.] Univ Nebraska, Dept Phys &amp; Astron, Lincoln, NE 68588 USA; [Besson, D.] Univ Kansas, Dept Phys &amp; Astron, Lawrence, KS 66045 USA; [Dagkesamanskii, R.; Kravchenko, E.] Radio Astron Observ LPI RAS, Pushchino 142290, Moscow Region, Russia; [Zheleznykh, I.] Russian Acad Sci, Inst Nucl Res, Moscow 117312, Russia</t>
  </si>
  <si>
    <t>University of Nebraska System; University of Nebraska Lincoln; University of Kansas; Russian Academy of Sciences; Russian Academy of Science Lebedev Physical Institute; Russian Academy of Sciences; Institute for Nuclear Research of the Russian Academy of Sciences</t>
  </si>
  <si>
    <t>ikrav@cern.ch</t>
  </si>
  <si>
    <t>Kravchenko, Evgeniya Vasilyevna/M-7464-2013; Dagkesamanskii, Rustam D/N-2113-2015; Kravchenko, Evgeniya/AAD-8153-2019</t>
  </si>
  <si>
    <t>Kravchenko, Evgeniya Vasilyevna/0000-0003-4540-4095;</t>
  </si>
  <si>
    <t>S50</t>
  </si>
  <si>
    <t>S53</t>
  </si>
  <si>
    <t>10.1016/j.nima.2010.11.046</t>
  </si>
  <si>
    <t>WOS:000299363000012</t>
  </si>
  <si>
    <t>Karg, T</t>
  </si>
  <si>
    <t>Karg, Timo</t>
  </si>
  <si>
    <t>Status and recent results of the South Pole Acoustic Test Setup</t>
  </si>
  <si>
    <t>Acoustic neutrino detection; Acoustic ice properties; SPATS</t>
  </si>
  <si>
    <t>NEUTRINO; ICE; WATER</t>
  </si>
  <si>
    <t>The South Pole Acoustic Test Setup (SPATS) has been deployed to study the feasibility of acoustic neutrino detection in Antarctic ice around the South Pole. An array of four strings equipped with acoustic receivers and transmitters, permanently installed in the upper 500 m of boreholes drilled for the IceCube neutrino observatory, and a retrievable transmitter that can be used in the water filled holes before the installation of the IceCube optical strings are used to measure the ice acoustic properties. These include the sound speed and its depth dependence, the attenuation length, the noise level, and the rate and nature of transient background sources in the relevant frequency range from 10 to 100 kHz. SPATS is operating successfully since January 2007 and has been able to either measure or constrain all parameters. We present the latest results of SPATS and discuss their implications for future acoustic neutrino detection activities in Antarctica. (C) 2010 Elsevier B.V. All rights reserved.</t>
  </si>
  <si>
    <t>[Karg, Timo] Berg Univ Wuppertal, Fachbereich C, D-42097 Wuppertal, Germany</t>
  </si>
  <si>
    <t>University of Wuppertal</t>
  </si>
  <si>
    <t>Karg, T (corresponding author), Berg Univ Wuppertal, Fachbereich C, D-42097 Wuppertal, Germany.</t>
  </si>
  <si>
    <t>karg@uni-wuppertal.de</t>
  </si>
  <si>
    <t>Karg, Timo/0000-0003-3251-2126</t>
  </si>
  <si>
    <t>S36</t>
  </si>
  <si>
    <t>S41</t>
  </si>
  <si>
    <t>10.1016/j.nima.2010.10.122</t>
  </si>
  <si>
    <t>WOS:000299363000009</t>
  </si>
  <si>
    <t>Mottram, M</t>
  </si>
  <si>
    <t>Mottram, M.</t>
  </si>
  <si>
    <t>ANITA Collaboration</t>
  </si>
  <si>
    <t>An observational limit on the UHE cosmic neutrino flux from the second flight of the ANITA experiment</t>
  </si>
  <si>
    <t>Neutrino; Ultra-high-energy; Askaryan</t>
  </si>
  <si>
    <t>EMISSION; DETECTOR; PARTICLE; SPECTRUM; RAYS</t>
  </si>
  <si>
    <t>The ANtarctic Impulsive Transient Antenna (ANITA) is a balloon-borne antenna array designed to detect coherent radio Cherenkov radiation produced by ultra-high-energy neutrinos (UHE, E &gt; 10(18) eV) interacting in the Antarctic ice sheet. ANITA completed its second science flight in the Austral summer of 2008-2009, launching on 21st December and recording over 20 million radio-frequency (RF) induced triggers during 30 days aloft. Improvements in sensitivity and increased time over deep ice compared to the first flight of ANITA allow for the most sensitive investigation into the UHE neutrino flux to date. I will talk about the analysis of data taken during the 2nd flight, discuss analysis techniques used, and present recent results (Gorham, 2010 [1]). (C) 2011 Elsevier B.V. All rights reserved.</t>
  </si>
  <si>
    <t>[Mottram, M.] UCL, Dept Phys &amp; Astron, London WC1E 6BT, England</t>
  </si>
  <si>
    <t>University of London; University College London</t>
  </si>
  <si>
    <t>Mottram, M (corresponding author), UCL, Dept Phys &amp; Astron, Gower St, London WC1E 6BT, England.</t>
  </si>
  <si>
    <t>mottram@hep.ucl.ac.uk</t>
  </si>
  <si>
    <t>S59</t>
  </si>
  <si>
    <t>S65</t>
  </si>
  <si>
    <t>10.1016/j.nima.2010.11.158</t>
  </si>
  <si>
    <t>WOS:000299363000014</t>
  </si>
  <si>
    <t>Codabaccus, MB; Bridle, AR; Nichols, PD; Carter, CG</t>
  </si>
  <si>
    <t>Codabaccus, Mohamed B.; Bridle, Andrew R.; Nichols, Peter D.; Carter, Chris G.</t>
  </si>
  <si>
    <t>Restoration of Fillet n-3 Long-Chain Polyunsaturated Fatty Acid Is Improved by a Modified Fish Oil Finishing Diet Strategy for Atlantic Salmon (Salmo salar L.) Smolts Fed Palm Fatty Acid Distillate</t>
  </si>
  <si>
    <t>JOURNAL OF AGRICULTURAL AND FOOD CHEMISTRY</t>
  </si>
  <si>
    <t>fish oil finishing diet; palm fatty acid distillate; apparent digestibility; food deprivation; Atlantic salmon</t>
  </si>
  <si>
    <t>MACCULLOCHELLA-PEELII-PEELII; DIGESTIBILITY; REPLACEMENT; TISSUE; DILUTION; AQUACULTURE; SLAUGHTER; PROFILES; NUTRIENT; QUALITY</t>
  </si>
  <si>
    <t>Reducing the lipid content in fish prior to feeding a fish oil finishing diet (FOFD) has the potential to improve n-3 long-chain (&gt;= C-20) polyunsaturated fatty acid (LC-PUFA) restoration. This study had two main objectives: (1) determine whether feeding Atlantic salmon smolt a 75% palm fatty acid distillate diet (75PFAD) improves the apparent digestibility (AD) of saturated fatty acids (SPA) and (2) examine whether a food deprivation period after growth on 75PFAD leads to higher n-3 LC-PUFA restoration in the fillet when applying a FOFD. The AD of SPA was higher for 75PFAD compared to that of a fish oil (FO) diet. The relative level (as % total fatty acids (FA)) of n-3 LC-PUFA was higher in unfed fish compared to that in continuously fed fish after 21 and 28 day FOFD periods, respectively. Our results suggest that a food deprivation period prior to feeding a FOFD improves the efficiency of n-3 LC-PUFA restoration in the fillet of Atlantic salmon smolt.</t>
  </si>
  <si>
    <t>[Codabaccus, Mohamed B.; Bridle, Andrew R.] Univ Tasmania, NCMCRS, Launceston, Tas 7250, Australia; [Codabaccus, Mohamed B.; Nichols, Peter D.] CSIRO Food Futures Flagship, Div Marine &amp; Atmospher Res, Hobart, Tas 7001, Australia; [Codabaccus, Mohamed B.; Carter, Chris G.] Univ Tasmania, Inst Marine &amp; Antarctic Studies, Hobart, Tas 7001, Australia</t>
  </si>
  <si>
    <t>University of Tasmania; Commonwealth Scientific &amp; Industrial Research Organisation (CSIRO); University of Tasmania</t>
  </si>
  <si>
    <t>Codabaccus, MB (corresponding author), Univ Tasmania, NCMCRS, Bag 1370, Launceston, Tas 7250, Australia.</t>
  </si>
  <si>
    <t>mohamedc@utas.edu.au</t>
  </si>
  <si>
    <t>Carter, Chris Guy/A-3438-2008; Bridle, Andrew R/B-4117-2013; Nichols, Peter D/C-5128-2011</t>
  </si>
  <si>
    <t>Carter, Chris Guy/0000-0001-5210-1282; codabaccus, mohamed/0000-0001-5108-373X; Bridle, Andrew/0000-0002-5788-1297</t>
  </si>
  <si>
    <t>CSIRO; University of Tasmania</t>
  </si>
  <si>
    <t>CSIRO(Commonwealth Scientific &amp; Industrial Research Organisation (CSIRO)); University of Tasmania</t>
  </si>
  <si>
    <t>The financial support awarded by the CSIRO Food Futures Flagship Top-up Scholarship and the University of Tasmania Endeavour International Postgraduate Scholarship for this study is gratefully acknowledged.</t>
  </si>
  <si>
    <t>0021-8561</t>
  </si>
  <si>
    <t>1520-5118</t>
  </si>
  <si>
    <t>J AGR FOOD CHEM</t>
  </si>
  <si>
    <t>J. Agric. Food Chem.</t>
  </si>
  <si>
    <t>10.1021/jf203633z</t>
  </si>
  <si>
    <t>Agriculture, Multidisciplinary; Chemistry, Applied; Food Science &amp; Technology</t>
  </si>
  <si>
    <t>Agriculture; Chemistry; Food Science &amp; Technology</t>
  </si>
  <si>
    <t>874GI</t>
  </si>
  <si>
    <t>WOS:000298943000063</t>
  </si>
  <si>
    <t>Currie, DR; McClatchie, S; Middleton, JF; Nayar, S</t>
  </si>
  <si>
    <t>Currie, David R.; McClatchie, Sam; Middleton, John F.; Nayar, Sasi</t>
  </si>
  <si>
    <t>Biophysical Factors Affecting the Distribution of Demersal Fish around the Head of a Submarine Canyon Off the Bonney Coast, South Australia</t>
  </si>
  <si>
    <t>CONTINENTAL-SLOPE; COMMUNITY STRUCTURE; PHYSICAL PROCESSES; STANDING STOCK; BOUNDARY-LAYER; NEW-ZEALAND; SHELF; CIRCULATION; WATER; PRODUCTIVITY</t>
  </si>
  <si>
    <t>We sampled the demersal fish community of the Bonney Canyon, South Australia at depths (100-1,500 m) and locations that are poorly known. Seventy-eight species of demersal fish were obtained from 12 depth-stratified trawls along, and to either side, of the central canyon axis. Distributional patterns in species richness and biomass were highly correlated. Three fish assemblage groupings, characterised by small suites of species with narrow depth distributions, were identified on the shelf, upper slope and mid slope. The assemblage groupings were largely explained by depth (rho w = 0.78). Compared to the depth gradient, canyon-related effects are weak or occur at spatial or temporal scales not sampled in this study. A conceptual physical model displayed features consistent with the depth zonational patterns in fish, and also indicated that canyon upwelling can occur. The depth zonation of the fish assemblage was associated with the depth distribution of water masses in the area. Notably, the mid-slope community (1,000 m) coincided with a layer of Antarctic Intermediate Water, the upper slope community (500 m) resided within the core of the Flinders Current, and the shelf community was located in a well-mixed layer of surface water (&lt;450 m depth).</t>
  </si>
  <si>
    <t>[Currie, David R.; Middleton, John F.; Nayar, Sasi] S Australian Res &amp; Dev Inst Aquat Sci, Adelaide, SA, Australia; [McClatchie, Sam] Natl Ocean &amp; Atmospher Adm NOAA Fisheries, SW Fisheries Sci Ctr, La Jolla, CA USA</t>
  </si>
  <si>
    <t>Currie, DR (corresponding author), S Australian Res &amp; Dev Inst Aquat Sci, Adelaide, SA, Australia.</t>
  </si>
  <si>
    <t>david.currie@sa.gov.au</t>
  </si>
  <si>
    <t>nayar, Sasi/Q-8101-2019</t>
  </si>
  <si>
    <t>nayar, Sasi/0000-0002-3730-6682</t>
  </si>
  <si>
    <t>South Australian Government (through the Marine Innovation South Australia initiative); Australian Federal Government; MNF Steering Committee</t>
  </si>
  <si>
    <t>South Australian Government (through the Marine Innovation South Australia initiative); Australian Federal Government(Australian Government); MNF Steering Committee</t>
  </si>
  <si>
    <t>This project was jointly funded by the South Australian Government (through the Marine Innovation South Australia initiative) and the Australian Federal Government. The funders had no role in study design, data collection and analysis, decision to publish, or preparation of the manuscript.; This work could not have been undertaken safely and efficiently without the assistance of a highly skilled group of mariners. In particular, we would like to thank the Captain (Ian Taylor) and the crew of the RV Southern Surveyor for their professional and enthusiastic support throughout the voyage. Thanks are also due the following Marine National Facility staff for their outstanding contributions to a highly successful voyage: Fred Stein (Director), Don McKenzie (Voyage Manager), Steve Thomas (Electronics), Bob Beattie (Computing), Mark Rayner (Hydrochemistry) and Anne Kennedy (Swath Mapping). We are also very much indebted to the following voyage scientists for their help and collaboration on this research project: Graham Hooper and Mike Steer (SARDI), James Paterson (Flinders University), Wayne Rumball (SAM), Peter Boult, Toby Payenberg and Ruan Gannon (University of Adelaide). Thanks also to Mark Lewis (CSIRO), Hugh McKenna (Neptune Trawls), Hec Kavanagh and the many support staff at SARDI who helped develop and mobilize the sampling equipment. We are also most grateful to Craig Johnson (Chair, MNF Steering Committee) for supporting our research, and to Laura Richardson (ANU) for her help in developing the hydrodynamic model. The authors would also like to thank Kevin Stieroff and Andrew Thomson (NOAA) for providing helpful comments on an earlier version of the manuscript.</t>
  </si>
  <si>
    <t>e30138</t>
  </si>
  <si>
    <t>10.1371/journal.pone.0030138</t>
  </si>
  <si>
    <t>906ON</t>
  </si>
  <si>
    <t>WOS:000301355700093</t>
  </si>
  <si>
    <t>Yergeau, E; Sanschagrin, S; Beaumier, D; Greer, CW</t>
  </si>
  <si>
    <t>Yergeau, Etienne; Sanschagrin, Sylvie; Beaumier, Danielle; Greer, Charles W.</t>
  </si>
  <si>
    <t>Metagenomic Analysis of the Bioremediation of Diesel-Contaminated Canadian High Arctic Soils</t>
  </si>
  <si>
    <t>DEGRADING BACTERIA; CAULOBACTER-CRESCENTUS; LOW-TEMPERATURES; ANTARCTIC SOIL; RHODOCOCCUS SP; GENES; BIODEGRADATION; HYDROCARBONS; DIVERSITY; NITROGEN</t>
  </si>
  <si>
    <t>As human activity in the Arctic increases, so does the risk of hydrocarbon pollution events. On site bioremediation of contaminated soil is the only feasible clean up solution in these remote areas, but degradation rates vary widely between bioremediation treatments. Most previous studies have focused on the feasibility of on site clean-up and very little attention has been given to the microbial and functional communities involved and their ecology. Here, we ask the question: which microorganisms and functional genes are abundant and active during hydrocarbon degradation at cold temperature? To answer this question, we sequenced the soil metagenome of an ongoing bioremediation project in Alert, Canada through a time course. We also used reverse-transcriptase real-time PCR (RT-qPCR) to quantify the expression of several hydrocarbon-degrading genes. Pseudomonas species appeared as the most abundant organisms in Alert soils right after contamination with diesel and excavation (t = 0) and one month after the start of the bioremediation treatment (t = 1m), when degradation rates were at their highest, but decreased after one year (t = 1y), when residual soil hydrocarbons were almost depleted. This trend was also reflected in hydrocarbon degrading genes, which were mainly affiliated with Gammaproteobacteria at t = 0 and t = 1m and with Alphaproteobacteria and Actinobacteria at t = 1y. RT-qPCR assays confirmed that Pseudomonas and Rhodococcus species actively expressed hydrocarbon degradation genes in Arctic biopile soils. Taken together, these results indicated that biopile treatment leads to major shifts in soil microbial communities, favoring aerobic bacteria that can degrade hydrocarbons.</t>
  </si>
  <si>
    <t>[Yergeau, Etienne; Sanschagrin, Sylvie; Beaumier, Danielle; Greer, Charles W.] Natl Res Council Canada, Biotechnol Res Inst, Montreal, PQ H4P 2R2, Canada</t>
  </si>
  <si>
    <t>National Research Council Canada</t>
  </si>
  <si>
    <t>Yergeau, Etienne/B-5344-2008; Yergeau, Etienne/AAZ-6145-2020</t>
  </si>
  <si>
    <t>Yergeau, Etienne/0000-0002-7112-3425</t>
  </si>
  <si>
    <t>National Research Council of Canada</t>
  </si>
  <si>
    <t>Internal funds from the National Research Council of Canada. The funders had no role in study design, data collection and analysis, decision to publish, or preparation of the manuscript.</t>
  </si>
  <si>
    <t>e30058</t>
  </si>
  <si>
    <t>10.1371/journal.pone.0030058</t>
  </si>
  <si>
    <t>WOS:000301355700083</t>
  </si>
  <si>
    <t>Clark, MS; Denekamp, NY; Thorne, MAS; Reinhardt, R; Drungowski, M; Albrecht, MW; Klages, S; Beck, A; Kube, M; Lubzens, E</t>
  </si>
  <si>
    <t>Clark, Melody S.; Denekamp, Nadav Y.; Thorne, Michael A. S.; Reinhardt, Richard; Drungowski, Mario; Albrecht, Marcus W.; Klages, Sven; Beck, Alfred; Kube, Michael; Lubzens, Esther</t>
  </si>
  <si>
    <t>Long-Term Survival of Hydrated Resting Eggs from Brachionus plicatilis</t>
  </si>
  <si>
    <t>ARTEMIA-FRANCISCANA EMBRYOS; ENERGY-LIMITED STATES; HEAT-SHOCK PROTEINS; GENE-EXPRESSION; MESSENGER-RNA; DESICCATION TOLERANCE; MOLECULAR CHARACTERIZATION; TETRASPANIN SUPERFAMILY; NUCLEOTIDE-METABOLISM; STRESS TOLERANCE</t>
  </si>
  <si>
    <t>Background: Several organisms display dormancy and developmental arrest at embryonic stages. Long-term survival in the dormant form is usually associated with desiccation, orthodox plant seeds and Artemia cysts being well documented examples. Several aquatic invertebrates display dormancy during embryonic development and survive for tens or even hundreds of years in a hydrated form, raising the question of whether survival in the non-desiccated form of embryonic development depends on pathways similar to those occurring in desiccation tolerant forms. Methodology/Principal Findings: To address this question, Illumina short read sequencing was used to generate transcription profiles from the resting and amictic eggs of an aquatic invertebrate, the rotifer, Brachionus plicatilis. These two types of egg have very different life histories, with the dormant or diapausing resting eggs, the result of the sexual cycle and amictic eggs, the non-dormant products of the asexual cycle. Significant transcriptional differences were found between the two types of egg, with amictic eggs rich in genes involved in the morphological development into a juvenile rotifer. In contrast, representatives of classical stress'' proteins: a small heat shock protein, ferritin and Late Embryogenesis Abundant (LEA) proteins were identified in resting eggs. More importantly however, was the identification of transcripts for messenger ribonucleoprotein particles which stabilise RNA. These inhibit translation and provide a valuable source of useful RNAs which can be rapidly activated on the exit from dormancy. Apoptotic genes were also present. Although apoptosis is inconsistent with maintenance of prolonged dormancy, an altered apoptotic pathway has been proposed for Artemia, and this may be the case with the rotifer. Conclusions: These data represent the first transcriptional profiling of molecular processes associated with dormancy in a non-desiccated form and indicate important similarities in the molecular pathways activated in resting eggs compared with desiccated dormant forms, specifically plant seeds and Artemia.</t>
  </si>
  <si>
    <t>[Clark, Melody S.; Thorne, Michael A. S.] British Antarctic Survey, NERC, Cambridge CB3 0ET, England; [Denekamp, Nadav Y.; Lubzens, Esther] Israel Oceanog &amp; Limnol Res, Haifa, Israel; [Reinhardt, Richard; Drungowski, Mario; Albrecht, Marcus W.; Klages, Sven; Beck, Alfred; Kube, Michael] Max Planck Inst Mol Genet, D-14195 Berlin, Germany</t>
  </si>
  <si>
    <t>UK Research &amp; Innovation (UKRI); Natural Environment Research Council (NERC); NERC British Antarctic Survey; Israel Oceanographic &amp; Limnological Research Institute; Max Planck Society</t>
  </si>
  <si>
    <t>Clark, MS (corresponding author), British Antarctic Survey, NERC, High Cross, Cambridge CB3 0ET, England.</t>
  </si>
  <si>
    <t>esther@ocean.org.il</t>
  </si>
  <si>
    <t>Lubzens, Esther/KFE-8167-2024; Clark, Melody/D-7371-2014</t>
  </si>
  <si>
    <t>Thorne, Michael/0000-0001-7759-612X; Clark, Melody/0000-0002-3442-3824; Reinhardt, Richard/0000-0001-9376-2132</t>
  </si>
  <si>
    <t>European Community (NEST) [012674]; NERC [bas0100025] Funding Source: UKRI; Natural Environment Research Council [bas0100025] Funding Source: researchfish</t>
  </si>
  <si>
    <t>European Community (NEST); NERC(UK Research &amp; Innovation (UKRI)Natural Environment Research Council (NERC)); Natural Environment Research Council(UK Research &amp; Innovation (UKRI)Natural Environment Research Council (NERC))</t>
  </si>
  <si>
    <t>This study was financially supported by the European Community (NEST # 012674; Sleeping Beauty). The analyses were completed by the team from the British Antarctic Survey within the Ecosystems Adaptations and Physiology Work Package. The funders had no role in study design, data collection and analysis, decision to publish, or preparation of the manuscript.</t>
  </si>
  <si>
    <t>JAN 9</t>
  </si>
  <si>
    <t>e29365</t>
  </si>
  <si>
    <t>10.1371/journal.pone.0029365</t>
  </si>
  <si>
    <t>906NN</t>
  </si>
  <si>
    <t>Green Accepted, Green Published, gold, Green Submitted</t>
  </si>
  <si>
    <t>WOS:000301352400002</t>
  </si>
  <si>
    <t>Alderslade, P; Mcfadden, CS</t>
  </si>
  <si>
    <t>Alderslade, Philip; Mcfadden, Catherine S.</t>
  </si>
  <si>
    <t>A new genus and species of the family Isididae (Coelenterata: Octocorallia) from a CMAR Biodiversity study, and a discussion on the subfamilial placement of some nominal isidid genera</t>
  </si>
  <si>
    <t>Keratoisidinae; Jasonisis thresheri; bamboo coral; Cnidaria; Alcyonaria; Australia; Mopseinae; Tenuisis; Echinisis; Sclerisis</t>
  </si>
  <si>
    <t>GORGONACEA; LEPIDISIS; EVOLUTION; ANTHOZOA; CNIDARIA; SEA</t>
  </si>
  <si>
    <t>We describe a new abyssal genus and species of bamboo coral (family Isididae) with some markedly unusual characteristics, collected from a depth of just over 2000 m off southern Tasmania. Jasonisis thresheri n. gen., n. sp. possesses a fleshy tegument that contains nematocysts, tubular axial internodes that are internally partitioned, scale-shaped sclerites that have a morphology not recorded before for octocorals, and polyps that lack thorny rods or double stars in the pharynx. Molecular data place Jasonisis n. gen. in the subfamily Keratoisidinae whose definition is altered to incorporate the unusual characters. We also report some comparative observations on the internal structure of the axial internodes of the isidid genera Keratoisis Wright, 1869, Lepidisis Verrill, 1883 and Isidella Gray, 1857, and we alter the definition of the subfamily Mopseinae to allow the inclusion of the genera Tenuisis, Echinisis sensu Bayer &amp; Stefani 1987 and Sclerisis sensu Bayer &amp; Stefani 1987.</t>
  </si>
  <si>
    <t>[Alderslade, Philip] Commonwealth Marine &amp; Atmospher Res, Hobart, Tas 7001, Australia; [Mcfadden, Catherine S.] Harvey Mudd Coll, Dept Biol, Claremont, CA 91711 USA</t>
  </si>
  <si>
    <t>Claremont Colleges; Harvey Mudd College</t>
  </si>
  <si>
    <t>Alderslade, P (corresponding author), Commonwealth Marine &amp; Atmospher Res, POB 1538, Hobart, Tas 7001, Australia.</t>
  </si>
  <si>
    <t>phil.alderslade@csiro.au; mcfadden@hmc.edu</t>
  </si>
  <si>
    <t>NSF [EF-0531570, EF-0531779]</t>
  </si>
  <si>
    <t>The authors thank the Advanced Imaging and Visualisation Laboratory, Woods Hole Oceanographic Institution, for permitting us to use the underwater photograph of Jasonisis thresheri n. sp., Rick van den Enden of the Australian Antarctic Division, Hobart, for the SEM images, Suzanne Horner and Gavin Dally, NTM, for the Orstomisis specimen loan, Suheilah Abdalla for assistance with DNA sequencing, Leen van Ofwegen and Karen Gowlett-Holmes for reading and commenting on different drafts, and Scott France and Les Watling for sharing their data and observations of a similar species. Support for molecular analysis was provided in part by the Assembling the Cnidarian Tree of Life project, NSF grants EF-0531570 to C. S. McFadden and EF-0531779 to Paulyn Cartwright</t>
  </si>
  <si>
    <t>887QI</t>
  </si>
  <si>
    <t>WOS:000299943200002</t>
  </si>
  <si>
    <t>Anderson, B; Mackintosh, A</t>
  </si>
  <si>
    <t>Anderson, Brian; Mackintosh, Andrew</t>
  </si>
  <si>
    <t>Controls on mass balance sensitivity of maritime glaciers in the Southern Alps, New Zealand: The role of debris cover</t>
  </si>
  <si>
    <t>FRANZ-JOSEF GLACIER; DEGREE-DAY MODEL; O-HINE-HUKATERE; SEA-LEVEL; CLIMATE-CHANGE; ARCTIC GLACIERS; MOUNTAIN GLACIERS; EQUILIBRIUM-LINE; ENERGY-BALANCE; TASMAN GLACIER</t>
  </si>
  <si>
    <t>The mass balance sensitivity of a glacier provides a means for assessing its response to future warming and contribution to sea level rise. Many studies have concluded that the first-order control on mass balance sensitivity is climatic, where higher-precipitation (and less continental) glaciers are most sensitive while lower-precipitation (and more continental) glaciers are least sensitive. The Southern Alps in New Zealand experience a limited range of continentality (9-13 K) but strong gradients in precipitation (2.5-11 m a(-1)). Using an energy balance model applied on a regional scale we find that the central Southern Alps glaciers are very sensitive to temperature change (1.9 m w.e. a(-1) K-1, with a range of -1.1 to -4.0 m w.e. a(-1) K-1) and that an 82% increase in precipitation is required to offset a 1 K warming. Spatial variations in mass balance sensitivity cannot be simply explained as a function of precipitation. Topographic effects are important, and we find that debris cover reduces mass balance sensitivity. Mass balance amplitude, which takes into account debris cover, hypsometry and other topographic characteristics, is a better predictor of mass balance sensitivity than precipitation. The mass balance gradient is almost as good a predictor indicating that hypsometry is not a necessary component of sensitivity calculations. Estimating mass balance sensitivity as a function of mass balance gradient allows for parameterizations of mass balance sensitivity based on glacier inventory data. This provides a simple and robust way to assess glacier mass balance sensitivity on a global scale, which may refine future predictions of valley glacier melt and its contribution to sea level rise.</t>
  </si>
  <si>
    <t>[Anderson, Brian; Mackintosh, Andrew] Victoria Univ Wellington, Antarctic Res Ctr, Wellington 6140, New Zealand</t>
  </si>
  <si>
    <t>Anderson, B (corresponding author), Victoria Univ Wellington, Antarctic Res Ctr, POB 600, Wellington 6140, New Zealand.</t>
  </si>
  <si>
    <t>brian.anderson@vuw.ac.nz; andrew.mackintosh@vuw.ac.nz</t>
  </si>
  <si>
    <t>Mackintosh, Andrew/0000-0002-6430-4711</t>
  </si>
  <si>
    <t>Comer Science and Education Fund; FRST</t>
  </si>
  <si>
    <t>Comer Science and Education Fund; FRST(New Zealand Foundation for Research, Science and Technology)</t>
  </si>
  <si>
    <t>We thank Roger Braithwaite, one anonymous reviewer, and the Associate Editor for their detailed and constructive reviews which have significantly improved this paper. The authors were supported by the Comer Science and Education Fund and FRST contracts ANZICE and NIWA Regional Climate Modeling. We thank Fox Glacier Guides and Heather Purdie, who collected mass balance data for Fox and Tasman glaciers, respectively, and Franz Josef Glacier Guides who have supported data collection on Franz Josef Glacier for many years. Access to these National Park and World Heritage areas is an integral part of this work, and we appreciate the support of the Department of Conservation in granting access. NCEP Reanalysis data were provided by the NOAA/OAR/ESRL PSD, Boulder, Colorado, USA, from their Web site at http://www.esrl.noaa.gov/psd/.</t>
  </si>
  <si>
    <t>JAN 7</t>
  </si>
  <si>
    <t>F01003</t>
  </si>
  <si>
    <t>10.1029/2011JF002064</t>
  </si>
  <si>
    <t>874CC</t>
  </si>
  <si>
    <t>WOS:000298931600001</t>
  </si>
  <si>
    <t>Siegert, MJ; Clarke, RJ; Mowlem, M; Ross, N; Hill, CS; Tait, A; Hodgson, D; Parnell, J; Tranter, M; Pearce, D; Bentley, MJ; Cockell, C; Tsaloglou, MN; Smith, A; Woodward, J; Brito, MP; Waugh, E</t>
  </si>
  <si>
    <t>Siegert, Martin J.; Clarke, Rachel J.; Mowlem, Matt; Ross, Neil; Hill, Christopher S.; Tait, Andrew; Hodgson, Dominic; Parnell, John; Tranter, Martyn; Pearce, David; Bentley, Michael J.; Cockell, Charles; Tsaloglou, Maria-Nefeli; Smith, Andy; Woodward, John; Brito, Mario P.; Waugh, Ed</t>
  </si>
  <si>
    <t>CLEAN ACCESS, MEASUREMENT, AND SAMPLING OF ELLSWORTH SUBGLACIAL LAKE: A METHOD FOR EXPLORING DEEP ANTARCTIC SUBGLACIAL LAKE ENVIRONMENTS</t>
  </si>
  <si>
    <t>HYDROGEN-PEROXIDE VAPOR; EXCIMER-LASER IRRADIATION; BACILLUS-SUBTILIS SPORES; ICE-SHEET; ULTRAVIOLET-IRRADIATION; WEST ANTARCTICA; EAST ANTARCTICA; UV-IRRADIATION; VOSTOK; DECONTAMINATION</t>
  </si>
  <si>
    <t>Antarctic subglacial lakes are thought to be extreme habitats for microbial life and may contain important records of ice sheet history and climate change within their lake floor sediments. To find whether or not this is true, and to answer the science questions that would follow, direct measurement and sampling of these environments are required. Ever since the water depth of Vostok Subglacial Lake was shown to be &gt;500 m, attention has been given to how these unique, ancient, and pristine environments may be entered without contamination and adverse disturbance. Several organizations have offered guidelines on the desirable cleanliness and sterility requirements for direct sampling experiments, including the U. S. National Academy of Sciences and the Scientific Committee on Antarctic Research. Here we summarize the scientific protocols and methods being developed for the exploration of Ellsworth Subglacial Lake in West Antarctica, planned for 2012-2013, which we offer as a guide to future subglacial environment research missions. The proposed exploration involves accessing the lake using a hot-water drill and deploying a sampling probe and sediment corer to allow sample collection. We focus here on how this can be undertaken with minimal environmental impact while maximizing scientific return without compromising the environment for future experiments.</t>
  </si>
  <si>
    <t>[Siegert, Martin J.; Ross, Neil] Univ Edinburgh, Sch Geosci, Edinburgh EH8 9XP, Midlothian, Scotland; [Clarke, Rachel J.; Hill, Christopher S.; Tait, Andrew; Hodgson, Dominic; Pearce, David; Smith, Andy] British Antarctic Survey, Nat Environm Res Council, Cambridge CB3 0ET, England; [Mowlem, Matt; Tsaloglou, Maria-Nefeli; Brito, Mario P.; Waugh, Ed] Univ Southampton, Natl Oceanog Ctr, Southampton SO14 3ZH, Hants, England; [Parnell, John] Univ Aberdeen, Dept Geol &amp; Petr Geol, Aberdeen AB24 3UE, Scotland; [Tranter, Martyn] Univ Bristol, Sch Geog Sci, Bristol BS8 1SS, Avon, England; [Bentley, Michael J.] Univ Durham, Dept Geog, Durham DH1 3LE, England; [Cockell, Charles] Univ Edinburgh, Sch Phys &amp; Astron, Edinburgh EH9 3JZ, Midlothian, Scotland; [Woodward, John] Northumbria Univ, Sch Built &amp; Nat Environm, Newcastle Upon Tyne NE1 8ST, Tyne &amp; Wear, England</t>
  </si>
  <si>
    <t>University of Edinburgh; UK Research &amp; Innovation (UKRI); Natural Environment Research Council (NERC); NERC British Antarctic Survey; University of Southampton; NERC National Oceanography Centre; University of Aberdeen; University of Bristol; Durham University; University of Edinburgh; Northumbria University</t>
  </si>
  <si>
    <t>Siegert, MJ (corresponding author), Univ Edinburgh, Sch Geosci, Drummond St, Edinburgh EH8 9XP, Midlothian, Scotland.</t>
  </si>
  <si>
    <t>m.j.siegert@ed.ac.uk</t>
  </si>
  <si>
    <t>Bentley, Michael J/F-7386-2011; Siegert, Martin J/A-3826-2008; Tsaloglou, Maria-Nefeli/G-4306-2016; Siegert, Martin/M-9939-2019; Woodward, John/I-1046-2013; Tranter, Martyn/E-3722-2010</t>
  </si>
  <si>
    <t>Bentley, Michael J/0000-0002-2048-0019; Siegert, Martin J/0000-0002-0090-4806; Tsaloglou, Maria-Nefeli/0000-0001-6380-2404; Siegert, Martin/0000-0002-0090-4806; Mowlem, Matthew/0000-0001-7613-6121; Tranter, Martyn/0000-0003-2071-3094; Pearce, David/0000-0001-5292-4596; Brito, Mario/0000-0002-1779-4535</t>
  </si>
  <si>
    <t>NERC [AFI7-02 NE/D008638/1, NE/G00465X/1]; NERC [NE/G00465X/2, NE/G00465X/1, NE/G005028/1, NE/G00336X/1, NE/G004242/1, noc010003, NE/D009200/1, noc010013, bas0100025, NE/D008638/1] Funding Source: UKRI; Natural Environment Research Council [NE/G004242/1, NE/D009200/1, NE/G00336X/1, NE/D008638/1, NE/G00465X/2, bas0100025, NE/G005028/1, NE/G00465X/1, noc010003, noc010013] Funding Source: researchfish</t>
  </si>
  <si>
    <t>The draft Comprehensive Environmental Evaluation (CEE), on which this paper is based, has been prepared by the Lake Ellsworth Consortium and reviewed by the program's Advisory Committee, which is made up of independent scientists and experts collectively with multidisciplinary knowledge. Particular thanks are given to Peter Barrett, Neil Gilbert, Chuck Kennicutt, Martin Melles, and Satoshi Imura for their constructive comments on a preliminary draft of this report. The draft CEE is made available at www.antarctica.ac.uk/ellsworthcee, which was circulated by the U. K. government to the governments of the other Antarctic Treaty Consultative Parties for initial consideration at the XXXIV Meeting of the Antarctic Treaty Consultative Meeting held in Buenos Aires in 2011. Funding for this work was provided by NERC research grants AFI7-02 NE/D008638/1, from which baseline conditions have been established, and NE/G00465X/1, which supports the direct lake exploration. The Subglacial Lake Ellsworth Consortium, funded by the Natural Environment Research Council (NERC), is a multidisciplinary group of science, engineering, and support teams. Led by principal investigator Martin Siegert of the University of Edinburgh, consortium members are based in two of NERC's Centers of Excellence, British Antarctic Survey and the National Oceanography Centre, and within the universities of Aberdeen, Bristol, and Durham. The consortium works also in partnership with the U. K. universities of Aberystwyth, Lancaster, Northumbria, and Queen's University Belfast and with partners in the United States including Montana State University and Ohio State University, and CECS in Chile. For more information on the consortium, see http://www.ellsworth.org.uk.</t>
  </si>
  <si>
    <t>RG1003</t>
  </si>
  <si>
    <t>10.1029/2011RG000361</t>
  </si>
  <si>
    <t>874HJ</t>
  </si>
  <si>
    <t>WOS:000298945700001</t>
  </si>
  <si>
    <t>Antarctica 1 Lockheed Gets Contract For Antarctic Support</t>
  </si>
  <si>
    <t>JAN 6</t>
  </si>
  <si>
    <t>872YA</t>
  </si>
  <si>
    <t>WOS:000298846200002</t>
  </si>
  <si>
    <t>Hutchings, JK; Heil, P; Steer, A; Hibler, WD</t>
  </si>
  <si>
    <t>Hutchings, J. K.; Heil, P.; Steer, A.; Hibler, W. D., III</t>
  </si>
  <si>
    <t>Subsynoptic scale spatial variability of sea ice deformation in the western Weddell Sea during early summer</t>
  </si>
  <si>
    <t>ANISOTROPIC MODEL; PACK ICE; DRIFT; MOTION</t>
  </si>
  <si>
    <t>Ice Station Polarstern (ISPOL), deployed in the western Weddell Sea from November 2004 to January 2005, included a study of subsynoptic scale variability in sea ice velocity and deformation using an array of 24 buoys. Upon deployment, the ISPOL buoy array measured 70 km in both zonal and meridional extent and consisted of subarrays that resolved sea ice deformation on scales from 10 to 70 km. Across the ISPOL array, divergence varied and did not show a distinct coherent length scale. Spectral analysis of divergence and shear of subarrays revealed that deformation did not vary smoothly across the array. This indicates variability of internal ice stress on the scale of 10 km. Ice conditions within the ISPOL array encompassed two distinct regimes separated by shear along the continental shelf break. Differences in spectral power of the tidal and inertial bands across the two regions do not mirror expected differences due to spatial variability of tide-induced deformation on the shelf break. Instead, they indicate that the pack ice's internal stress behaved anisotropically on the scale of the shear zone ( across the buoy array, 70 km).</t>
  </si>
  <si>
    <t>[Hutchings, J. K.] Univ Alaska Fairbanks, Int Arctic Res Ctr, Fairbanks, AK 99775 USA; [Heil, P.; Steer, A.] Univ Tasmania, Australian Antarctic Div, Hobart, Tas 7001, Australia; [Heil, P.; Steer, A.] Univ Tasmania, Antarctic Climate &amp; Ecosyst Cooperat Res Ctr, Hobart, Tas 7001, Australia; [Hibler, W. D., III] Univ Alaska Fairbanks, Inst Marine Sci, Fairbanks, AK 99709 USA</t>
  </si>
  <si>
    <t>University of Alaska System; University of Alaska Fairbanks; University of Tasmania; Australian Antarctic Division; University of Tasmania; Antarctic Climate &amp; Ecosystems Cooperative Research Centre (ACE CRC); University of Alaska System; University of Alaska Fairbanks</t>
  </si>
  <si>
    <t>Hutchings, JK (corresponding author), Univ Alaska Fairbanks, Int Arctic Res Ctr, 930 Koyukuk Dr, Fairbanks, AK 99775 USA.</t>
  </si>
  <si>
    <t>jenny@iarc.uaf.edu</t>
  </si>
  <si>
    <t>Hutchings, Jennifer K/P-6356-2017</t>
  </si>
  <si>
    <t>Heil, Petra/0000-0003-2078-0342; Steer, Adam/0000-0003-0046-7236</t>
  </si>
  <si>
    <t>Alfred Wegner Institute; German Antarctic Program; JAMSTEC; National Science Foundation [OPP 0520574]; Australian Antarctic Science [742, 2559, 2678]; Australian Government's Cooperative Research Centre through the Antarctic Climate and Ecosystems Cooperative Research Centre; Finnish Antarctic Research Program (FINNARP); Directorate For Geosciences; Office of Polar Programs (OPP) [1023662] Funding Source: National Science Foundation; Office of Polar Programs (OPP); Directorate For Geosciences [1412805] Funding Source: National Science Foundation</t>
  </si>
  <si>
    <t>Alfred Wegner Institute; German Antarctic Program; JAMSTEC; National Science Foundation(National Science Foundation (NSF)); Australian Antarctic Science; Australian Government's Cooperative Research Centre through the Antarctic Climate and Ecosystems Cooperative Research Centre(Australian GovernmentDepartment of Industry, Innovation and ScienceCooperative Research Centres (CRC) Programme); Finnish Antarctic Research Program (FINNARP); Directorate For Geosciences; Office of Polar Programs (OPP)(National Science Foundation (NSF)NSF - Directorate for Geosciences (GEO)); Office of Polar Programs (OPP); Directorate For Geosciences(National Science Foundation (NSF)NSF - Directorate for Geosciences (GEO))</t>
  </si>
  <si>
    <t>Many thanks to the captain and crew of the RV Polarstern. We thank the helicopter crew for their support. The Alfred Wegner Institute and German Antarctic Program provided logistical support for this experiment, which is much appreciated. Anthony Worby is thanked for the coordination of the buoy deployments and collection of the digital aerial photography during the cruise. We are very grateful for the participation of Christian Haas and Jouko Launiainen, who provided buoys in the ISPOL buoy array. Adrienne Tivy, Carl Hoffman, and Sascha Willmes provided field support during the cruise. The IARC component of this project was supported by JAMSTEC. Development of the buoy derived strain rate estimate and error analysis was funded the National Science Foundation, award OPP 0520574 to Jennifer Hutchings. The AAD component of this project was supported by the Australian Antarctic Science grants 742, 2559 and 2678; and supported by the Australian Government's Cooperative Research Centre Program through the Antarctic Climate and Ecosystems Cooperative Research Centre. The Finnish buoys were funded by the Finnish Antarctic Research Program (FINNARP). The complete buoy data set can also be downloaded from http://data.aad.gov.au/aadc/portal/download_file.cfm?file_d=3139. We thank Neal Young for his assistance in retrieving the Envisat ASAR image ((c) ESA 2004), which was provided by the European Space Agency. Laurie Padman provided the CATS2008b data and the Tide Model Driver (TMD) matlab package used to interpolate tide currents to buoy positions, which is much appreciated. Many thanks to Eric Firing, Rob Massom, Glenn Hyland, Ian Alison, and Igor Polyakov, whose comments immensely improved our manuscript. Many thanks also to the anonymous reviewers, whose comments helped clarify our manuscript.</t>
  </si>
  <si>
    <t>JAN 5</t>
  </si>
  <si>
    <t>C01002</t>
  </si>
  <si>
    <t>10.1029/2011JC006961</t>
  </si>
  <si>
    <t>874CD</t>
  </si>
  <si>
    <t>WOS:000298931700001</t>
  </si>
  <si>
    <t>Zhong, GC; Xie, ZY; Cai, MH; Möller, A; Sturm, R; Tang, JH; Zhang, G; He, JF; Ebinghaus, R</t>
  </si>
  <si>
    <t>Zhong, Guangcai; Xie, Zhiyong; Cai, Minghong; Moeller, Axel; Sturm, Renate; Tang, Jianhui; Zhang, Gan; He, Jianfeng; Ebinghaus, Ralf</t>
  </si>
  <si>
    <t>Distribution and Air-Sea Exchange of Current-Use Pesticides (CUPs) from East Asia to the High Arctic Ocean</t>
  </si>
  <si>
    <t>ORGANOCHLORINE PESTICIDES; ATMOSPHERIC DEPOSITION; SURFACE-WATER; GAS-EXCHANGE; ENDOSULFAN; CHLORPYRIFOS; DICOFOL; CONTAMINANTS; DEGRADATION; INSECTICIDE</t>
  </si>
  <si>
    <t>Surface seawater and marine boundary layer air samples were collected on the ice-breaker R/V Xuelong (Snow Dragon) from the East China Sea to the high Arctic (33.23-84.5 degrees N) in July to September 2010 and have been analyzed for six current-use pesticides (CUPs): trifluralin, endosulfan, chlorothalonil, chlorpyrifos, dacthal, and dicofol. In all oceanic air samples, the six CUPs were detected, showing highest level (&gt;100 pg/m(3)) in the Sea of Japan. Gaseous CUPs basically decreased from East Asia (between 36.6 and 45.1 degrees N) toward Bering and Chukchi Seas. The dissolved CUPs in ocean water ranged widely from</t>
  </si>
  <si>
    <t>[Zhong, Guangcai; Xie, Zhiyong; Moeller, Axel; Sturm, Renate; Ebinghaus, Ralf] Helmholtz Zentrum Geesthacht, Ctr Mat &amp; Coastal Res, Inst Coastal Res, Geesthacht, Germany; [Zhong, Guangcai; Tang, Jianhui] Chinese Acad Sci, Yantai Inst Coastal Zone Res, Yantai, Peoples R China; [Zhong, Guangcai] Chinese Acad Sci, Grad Sch, Beijing, Peoples R China; [Cai, Minghong; He, Jianfeng] Polar Res Inst China, SOA Key Lab Polar Sci, Shanghai, Peoples R China; [Zhang, Gan] Chinese Acad Sci, Guangzhou Geochem Inst, Guangzhou, Guangdong, Peoples R China</t>
  </si>
  <si>
    <t>Helmholtz Association; Helmholtz-Zentrum Hereon; Chinese Academy of Sciences; Yantai Institute of Coastal Zone Research, CAS; Chinese Academy of Sciences; University of Chinese Academy of Sciences, CAS; Polar Research Institute of China; Chinese Academy of Sciences</t>
  </si>
  <si>
    <t>Xie, ZY (corresponding author), Helmholtz Zentrum Geesthacht, Ctr Mat &amp; Coastal Res, Inst Coastal Res, Max Planck Str 1, Geesthacht, Germany.</t>
  </si>
  <si>
    <t>zhiyong.xie@hzg.de; caiminghong@pric.gov.cn</t>
  </si>
  <si>
    <t>Xie, Zhiyong/E-8436-2014; Zhang, Gan/C-3528-2012; Tang, Jianhui/O-2277-2013</t>
  </si>
  <si>
    <t>Zhang, Gan/0000-0002-9010-8140;</t>
  </si>
  <si>
    <t>Chinese Arctic and Antarctic Administration</t>
  </si>
  <si>
    <t>We express our sincere gratitude to all the members of the 4th Chinese National Arctic Research Expedition and the support from the Chinese Arctic and Antarctic Administration. We thank Peng Huang for help in sampling on board the ship (Xiamen University, China) and Volker Matthias (Helmholtz-Zentrum Geesthacht, HZG) for help plotting the BTs.</t>
  </si>
  <si>
    <t>JAN 3</t>
  </si>
  <si>
    <t>10.1021/es202655k</t>
  </si>
  <si>
    <t>871UJ</t>
  </si>
  <si>
    <t>WOS:000298762900036</t>
  </si>
  <si>
    <t>C</t>
  </si>
  <si>
    <t>Shi, SC</t>
  </si>
  <si>
    <t>IEEE</t>
  </si>
  <si>
    <t>Shi, Sheng-Cai</t>
  </si>
  <si>
    <t>High-Sensitivity Superconducting Receivers Developed for Mm &amp; Submm Astronomy in China</t>
  </si>
  <si>
    <t>2012 42ND EUROPEAN MICROWAVE CONFERENCE (EUMC)</t>
  </si>
  <si>
    <t>European Microwave Conference</t>
  </si>
  <si>
    <t>Proceedings Paper</t>
  </si>
  <si>
    <t>42nd European Microwave Conference (EuMC)</t>
  </si>
  <si>
    <t>OCT 28-NOV 02, 2012</t>
  </si>
  <si>
    <t>Amsterdam, NETHERLANDS</t>
  </si>
  <si>
    <t>THz; superconducting; mixer; detector</t>
  </si>
  <si>
    <t>DESIGN; MIXERS</t>
  </si>
  <si>
    <t>With outstanding sensitivity, superconducting mixers and detectors play an increasingly important role in mm-and submm-wave (a.k.a. THz) astronomy. Firstly, a newly developed 3 x 3 superconducting array receiver for the 0.1-THz band will be introduced. Secondly, a 0.5-THz receiver using high-energy-gap NbN superconducting tunnel junctions will be presented. Thirdly, the latest development of China's THz project at Dome A, Antarctic, will be addressed.</t>
  </si>
  <si>
    <t>Chinese Acad Sci, Key Lab Radio Astron, Purple Mt Observ, Mm &amp; Submm Lab, Nanjing, Jiangsu, Peoples R China</t>
  </si>
  <si>
    <t>Purple Mountain Observatory, CAS; Chinese Academy of Sciences; Nanjing Institute of Astronomical Optics &amp; Technology, NAOC, CAS</t>
  </si>
  <si>
    <t>Shi, SC (corresponding author), Chinese Acad Sci, Key Lab Radio Astron, Purple Mt Observ, Mm &amp; Submm Lab, Nanjing, Jiangsu, Peoples R China.</t>
  </si>
  <si>
    <t>scshi@pmo.ac.cn</t>
  </si>
  <si>
    <t>345 E 47TH ST, NEW YORK, NY 10017 USA</t>
  </si>
  <si>
    <t>2325-0305</t>
  </si>
  <si>
    <t>978-2-87487-026-2</t>
  </si>
  <si>
    <t>EUR MICROW CONF</t>
  </si>
  <si>
    <t>Engineering, Electrical &amp; Electronic; Physics, Applied</t>
  </si>
  <si>
    <t>Conference Proceedings Citation Index - Science (CPCI-S)</t>
  </si>
  <si>
    <t>Engineering; Physics</t>
  </si>
  <si>
    <t>BHD87</t>
  </si>
  <si>
    <t>WOS:000325100700337</t>
  </si>
  <si>
    <t>Kleinfelder, SA</t>
  </si>
  <si>
    <t>Yu, B</t>
  </si>
  <si>
    <t>Kleinfelder, Stuart A.</t>
  </si>
  <si>
    <t>ARIANNA Collaboration</t>
  </si>
  <si>
    <t>The Autonomous, Low-Power Data Acquisition System for the ARIANNA Antarctic Neutrino Detector Array</t>
  </si>
  <si>
    <t>2012 IEEE NUCLEAR SCIENCE SYMPOSIUM AND MEDICAL IMAGING CONFERENCE RECORD (NSS/MIC)</t>
  </si>
  <si>
    <t>IEEE Nuclear Science Symposium and Medical Imaging Conference</t>
  </si>
  <si>
    <t>IEEE Nuclear Science Symposium / Medical Imaging Conference Record (NSS/MIC) / 19th Room-Temperature Semiconductor X-ray and Gamma-ray Detector Workshop</t>
  </si>
  <si>
    <t>OCT 29-NOV 03, 2012</t>
  </si>
  <si>
    <t>Anaheim, CA</t>
  </si>
  <si>
    <t>Data acquisition; Astrophysics experiment</t>
  </si>
  <si>
    <t>The ARIANNA experiment will observe high-energy cosmogenic neutrino signatures via a large array of autonomous radio listening stations dispersed on the Ross Ice Shelf in Antarctica. Each station in the projected array of 900 stations will contain RF antennas, amplifiers, digitization and real-time triggering circuitry, a CPU with solid-state data storage, and redundant communications paths. Power is provided by both sun and wind. Two prototype stations have been installed, with a hexagonal array of seven stations, with each station 1 km apart, due for deployment over the next two seasons. The station's core data acquisition system includes four channels of analog sampling circuits that operate at 2 GHz and achieve over 11 bits of dynamic range. These circuits sample continuously over a 128-sample circular analog storage array. The circuits use a phase-locked loop to generate the 2 GHz internal clocking from a similar to 30 MHz external clock. Unlike most previous such designs, the high-speed sample clocking is completely synchronous and has very high timing stability, with about 1 ppm RMS jitter. The sampling circuits include the ability to produce a real-time trigger based on pattern-matching of the incoming waveform. Up to 72 patterns can be searched for in parallel, and each pattern looks at 8 consecutive samples, requiring that any or all of the samples be above a high threshold, below a low threshold, in-between or a don't care condition. Each station also includes computing and solid-state event storage, environmental monitoring of voltage and power consumption, wind and temperature conditions, and both long-distance wireless to McMurdo Station and Iridium satellite communications.</t>
  </si>
  <si>
    <t>[Kleinfelder, Stuart A.] Univ Calif Irvine, Irvine, CA 92697 USA</t>
  </si>
  <si>
    <t>University of California System; University of California Irvine</t>
  </si>
  <si>
    <t>Kleinfelder, SA (corresponding author), Univ Calif Irvine, 4416 Engn Hall, Irvine, CA 92697 USA.</t>
  </si>
  <si>
    <t>stuartk@uci.edu</t>
  </si>
  <si>
    <t>1095-7863</t>
  </si>
  <si>
    <t>978-1-4673-2030-6; 978-1-4673-2028-3</t>
  </si>
  <si>
    <t>IEEE NUCL SCI CONF R</t>
  </si>
  <si>
    <t>BHW16</t>
  </si>
  <si>
    <t>WOS:000326814201153</t>
  </si>
  <si>
    <t>S</t>
  </si>
  <si>
    <t>Palmer, EF; Licht, KJ; Swope, RJ; Hemming, SR</t>
  </si>
  <si>
    <t>Rasbury, ET; Hemming, SR; Riggs, NR</t>
  </si>
  <si>
    <t>Palmer, Emerson F.; Licht, Kathy J.; Swope, R. Jeffrey; Hemming, Sidney R.</t>
  </si>
  <si>
    <t>Nunatak moraines as a repository of what lies beneath the East Antarctic ice sheet</t>
  </si>
  <si>
    <t>MINERALOGICAL AND GEOCHEMICAL APPROACHES TO PROVENANCE</t>
  </si>
  <si>
    <t>Geological Society of America Special Papers</t>
  </si>
  <si>
    <t>Article; Book Chapter</t>
  </si>
  <si>
    <t>GLACIER REGION; ROSS EMBAYMENT; BYRD GLACIER; PROVENANCE; EVOLUTION; LAURENTIA; SEDIMENT; RODINIA; AGE; MOUNTAINS</t>
  </si>
  <si>
    <t>The particle size and provenance signature of glacial till from the Lonewolf Nunataks at the head of Byrd Glacier, Antarctica, show evidence of subglacial origin and therefore provide new information about ice-covered bedrock of East Antarctica. Particle-size data from ice-cored moraines at Lonewolf Nunataks show more abundant silt and clay (&gt;50% fines) than active lateral moraines along downstream sites (&lt;10% fines), and 25% of pebbles are faceted and/or striated. Sand and pebbles from moraines at Lonewolf Nunataks are a mix of locally derived Beacon Super-group rocks and exotic felsic igneous and metamorphic rocks. The U/Pb detrital zircon data from the Lonewolf Nunataks till show significant populations of zircon ages, including early Ross and/or Pan-African ages of ca. 565-610 Ma, Grenville ages (ca. 950-1270 Ma), several Proterozoic peaks, and one prominent late Archean peak at ca. 2700 Ma. 40Ar/39Ar analyses of detrital hornblende and mica also show Ross and/or Pan-African ages from ca. 500 to 580 Ma, with a population of Grenville-age hornblende grains of ca. 1150-1250 Ma. This combination of geochronological tools can be used to identify recycled versus primary age populations eroded by the ice sheet, and so provide constraints on the age and distribution of unmapped, ice-covered bedrock. Our data show that petrologic and geochronologic signatures in East Antarctic till can be used to address geologic problems ranging from Cenozoic ice sheet history to Precambrian bedrock geology.</t>
  </si>
  <si>
    <t>[Palmer, Emerson F.; Licht, Kathy J.; Swope, R. Jeffrey] Indiana Univ Purdue Univ Indianapolis, Dept Earth Sci, Indianapolis, IN 46202 USA; [Hemming, Sidney R.] Columbia Univ, Dept Earth &amp; Environm Sci, Palisades, NY 10964 USA; [Hemming, Sidney R.] Columbia Univ, Lamont Doherty Earth Observ, Palisades, NY 10964 USA</t>
  </si>
  <si>
    <t>Indiana University System; Indiana University-Purdue University Indianapolis; Columbia University; Columbia University</t>
  </si>
  <si>
    <t>Licht, KJ (corresponding author), Indiana Univ Purdue Univ Indianapolis, Dept Earth Sci, Indianapolis, IN 46202 USA.</t>
  </si>
  <si>
    <t>Hemming, Sidney/0000-0001-8117-2303; Licht, Kathy/0000-0002-2233-2853</t>
  </si>
  <si>
    <t>GEOLOGICAL SOC AMER INC</t>
  </si>
  <si>
    <t>3300 PENROSE PL, PO BOX 9140, BOULDER, CO 80301 USA</t>
  </si>
  <si>
    <t>0072-1077</t>
  </si>
  <si>
    <t>978-0-8137-2487-4</t>
  </si>
  <si>
    <t>GEOL SOC AM SPEC PAP</t>
  </si>
  <si>
    <t>10.1130/2012.2487(05)</t>
  </si>
  <si>
    <t>10.1130/9780813724874</t>
  </si>
  <si>
    <t>Book Citation Index – Science (BKCI-S)</t>
  </si>
  <si>
    <t>BHW13</t>
  </si>
  <si>
    <t>WOS:000326811400006</t>
  </si>
  <si>
    <t>Chen, C; Bu, CG; He, YQ; Han, JD</t>
  </si>
  <si>
    <t>Chen, Cheng; Bu, Chunguang; He, Yuqing; Han, Jianda</t>
  </si>
  <si>
    <t>Design, Implementation and Experimental Tests of A New Generation of Antarctic Rover</t>
  </si>
  <si>
    <t>2012 IEEE INTERNATIONAL CONFERENCE ON ROBOTICS AND BIOMIMETICS (ROBIO 2012)</t>
  </si>
  <si>
    <t>IEEE International Conference on Robotics and Biomimetics (ROBIO)</t>
  </si>
  <si>
    <t>DEC 11-14, 2012</t>
  </si>
  <si>
    <t>Guangzhou, PEOPLES R CHINA</t>
  </si>
  <si>
    <t>VISION</t>
  </si>
  <si>
    <t>The Arctic and Antarctic, as the harshest environments on the earth, are of great importance to the nation. The extreme environments can be harmful, even fatal, to human beings and mobile robots. To execute missions on the Antarctic in place of human, the State Key Laboratory of Robotics of Shenyang Institute of Automation, Chinese Academy of Sciences has designed three generations of Antarctic rovers. The hardware and software design and implementation of the third generation of Antarctic rover, which has been tested on the Antarctic during the 28th Chinese National Antarctic Research Expedition in 2011, will be presented in this paper. The preliminary experimental results, as introduced in the last part of the paper, suggest that the design and implementation of the hardware and software system can ensure efficiency and reliability of the rover working on the Antarctic.</t>
  </si>
  <si>
    <t>[Chen, Cheng] Chinese Acad Sci, Shenyang Inst Automat, State Key Lab Robot, Shenyang 110016, Peoples R China; [Chen, Cheng] Univ Chinese Acad Sci, Beijing 100049, Peoples R China; [Bu, Chunguang; He, Yuqing; Han, Jianda] Chinese Acad Sci, Shenyang Inst Automat, State Key Lab Robot, Shenyang 110016, Peoples R China</t>
  </si>
  <si>
    <t>Chinese Academy of Sciences; Shenyang Institute of Automation, CAS; Chinese Academy of Sciences; University of Chinese Academy of Sciences, CAS; Chinese Academy of Sciences; Shenyang Institute of Automation, CAS</t>
  </si>
  <si>
    <t>Chen, C (corresponding author), Chinese Acad Sci, Shenyang Inst Automat, State Key Lab Robot, Shenyang 110016, Peoples R China.</t>
  </si>
  <si>
    <t>chenc@sia.cn; heyuqing@sia.cn; jdhan@sia.cn</t>
  </si>
  <si>
    <t>Han, Jian/ABZ-1060-2022</t>
  </si>
  <si>
    <t>Han, Jian/0000-0002-0647-4050</t>
  </si>
  <si>
    <t>National Natural Science of China [61035005]; National High-Tech Research and Development Plan [2011AA040202]</t>
  </si>
  <si>
    <t>National Natural Science of China(National Natural Science Foundation of China (NSFC)); National High-Tech Research and Development Plan(National High Technology Research and Development Program of China)</t>
  </si>
  <si>
    <t>Manuscript received July 14, 2012. This work is supported by the State Key Program of National Natural Science of China (Grant No. 61035005) and National High-Tech Research and Development Plan (Grant No. 2011AA040202).</t>
  </si>
  <si>
    <t>978-1-4673-2127-3; 978-1-4673-2125-9</t>
  </si>
  <si>
    <t>Robotics</t>
  </si>
  <si>
    <t>BFQ85</t>
  </si>
  <si>
    <t>WOS:000321004000360</t>
  </si>
  <si>
    <t>Kim, Y; Hong, SS; Park, JH; Kang, JM; Lee, JS</t>
  </si>
  <si>
    <t>ASME</t>
  </si>
  <si>
    <t>Kim, YoungSeok; Hong, Seung-Seo; Park, Jung-Hee; Kang, Jae-Mo; Lee, Jong-Sub</t>
  </si>
  <si>
    <t>A STUDY ON CHARACTERISTICS OF FROST HEAVING WITH SOIL SAMPLES FROM TERRA NOVA IN THE EAST ANTARCTIC REGION</t>
  </si>
  <si>
    <t>PROCEEDINGS OF THE ASME 31ST INTERNATIONAL CONFERENCE ON OCEAN, OFFSHORE AND ARCTIC ENGINEERING, 2012, VOL 4</t>
  </si>
  <si>
    <t>31st ASME International Conference on Ocean, Offshore and Arctic Engineering</t>
  </si>
  <si>
    <t>JUL 01-06, 2012</t>
  </si>
  <si>
    <t>Rio de Janeiro, BRAZIL</t>
  </si>
  <si>
    <t>The second scientific Antarctica station of South Korea is under construction at Terra Nova Bay located in east Antarctica. The objective of this study is the evaluation of the frost heave susceptibility of soils sampled from the second station site by performing laboratory frost heaving tests. Experiments are carried out with the soil specimens taken from five different areas at Terra Nova Bay. Test specimens are frozen with constant temperatures at the top and bottom of the specimen at -17 degrees C and 4 degrees C, respectively. In addition, grain size analyses and unfrozen water tests are also performed for monitoring the characteristics of the water contained in the permafrost. Frost susceptibility is evaluated by standard methods recommended in UK, US and Japan. Experimental results show that the more the fine contents exist in soils, the more frost heave occurs. The result denotes that grain size has a significant effect on frost heave. The results suggest that the frost heaving susceptibility of the frozen ground at the Antarctic site would be effectively evaluated through the grain size and the frost heaving parameters.</t>
  </si>
  <si>
    <t>[Kim, YoungSeok; Hong, Seung-Seo; Kang, Jae-Mo] Korea Inst Construct Technol, Geotech Engn Res Div, Gyeonggi Do, South Korea</t>
  </si>
  <si>
    <t>Kim, Y (corresponding author), Korea Inst Construct Technol, Geotech Engn Res Div, Gyeonggi Do, South Korea.</t>
  </si>
  <si>
    <t>Lee, Jong-Sub/0000-0002-5991-155X</t>
  </si>
  <si>
    <t>AMER SOC MECHANICAL ENGINEERS</t>
  </si>
  <si>
    <t>THREE PARK AVENUE, NEW YORK, NY 10016-5990 USA</t>
  </si>
  <si>
    <t>978-0-7918-4491-5</t>
  </si>
  <si>
    <t>Engineering, Ocean; Engineering, Mechanical</t>
  </si>
  <si>
    <t>BGZ17</t>
  </si>
  <si>
    <t>WOS:000324655900008</t>
  </si>
  <si>
    <t>Hong, SS; Kim, Y; Park, JH; Lee, J; Lee, JS</t>
  </si>
  <si>
    <t>Hong, Seung-Seo; Kim, YoungSeok; Park, Jung-Hee; Lee, Jangguen; Lee, Jong-Sub</t>
  </si>
  <si>
    <t>TEMPERATURE DISTRIBUTION AND FROZEN SOIL CHARACTERISTICS AT JANGBOGO ANTARCTIC RESEARCH STATION</t>
  </si>
  <si>
    <t>ACTIVE LAYER; PERMAFROST</t>
  </si>
  <si>
    <t>Temperature monitoring along the depth in construction site of the Jangbogo Antarctic research station (74 degrees 37'S, 164 degrees 12'E) was carried out. The thermal behavior of the frozen ground was investigated. The temperatures were measured during site investigation from February 07, 2011 to February 12, 2011. The temperature profile was analyzed in the frozen ground. The results show that the increase along with the depth. This study demonstrates that the temperature profile obtained at this site could be effective reference for the construction of the research station in the Antarctic.</t>
  </si>
  <si>
    <t>[Hong, Seung-Seo; Kim, YoungSeok; Lee, Jangguen] Korea Inst Construct Technol, Geotech Engn Res Div, Gyeonggi Do, South Korea</t>
  </si>
  <si>
    <t>Hong, SS (corresponding author), Korea Inst Construct Technol, Geotech Engn Res Div, Gyeonggi Do, South Korea.</t>
  </si>
  <si>
    <t>WOS:000324655900009</t>
  </si>
  <si>
    <t>Kariminia, S; Ahmad, SS; Hashim, R</t>
  </si>
  <si>
    <t>Abbas, MY</t>
  </si>
  <si>
    <t>Kariminia, Shahab; Ahmad, Sabarinah Sh; Hashim, Rugayah</t>
  </si>
  <si>
    <t>Assessment of Antarctic Tourism Waste Disposal and Management Strategies towards a Sustainable Ecosystem</t>
  </si>
  <si>
    <t>AICE-BS 2012 CAIRO (ASIA PACIFIC INTERNATIONAL CONFERENCE ON ENVIRONMENT-BEHAVIOUR STUDIES)</t>
  </si>
  <si>
    <t>Procedia Social and Behavioral Sciences</t>
  </si>
  <si>
    <t>3rd Asia Pacific International Conference on Environment-Behaviour Studies (AicE-Bs)</t>
  </si>
  <si>
    <t>OCT 31-NOV 02, 2012</t>
  </si>
  <si>
    <t>Minia Univ, Fac Fine Arts, Giza, EGYPT</t>
  </si>
  <si>
    <t>Minia Univ, Fac Fine Arts</t>
  </si>
  <si>
    <t>Antarctic tourism; impact; management; eco-environment</t>
  </si>
  <si>
    <t>ECOLOGICAL FOOTPRINT; CARRYING-CAPACITY; INDICATORS</t>
  </si>
  <si>
    <t>Over the past two decades, Antarctica has experienced a severe eco-environmental degradation due to tourism impacts. The new, diverse and complex tourism activities and technological advancements demonstrate the current regulatory system is insufficient. This study aims to analyze the Antarctic tourism impact, investigate the assessment methods and propose a dynamic management system. This paper suggests two assessment indicators i.e. Antarctic ecological footprint (ATEF) and Antarctic tourism environmental carrying capacity (ATECC) along with nine management strategies. A flowchart demonstrates dynamic process of impact analyses, assessment and management. This system can be deployed to design a dynamic regulatory system toward sustainable Antarctic tourism. (C) 2012 The Authors. Published by Elsevier Ltd.</t>
  </si>
  <si>
    <t>[Kariminia, Shahab; Ahmad, Sabarinah Sh] Univ Teknol MARA, Fac Architecture Planning &amp; Surveying, Shah Alam 40450, Selangor De, Malaysia</t>
  </si>
  <si>
    <t>Universiti Teknologi MARA</t>
  </si>
  <si>
    <t>sabar643@salam.uitm.edu.my</t>
  </si>
  <si>
    <t>Ahmad, Sabarinah Sheikh/ABD-3419-2020; S.Band, Shahab/AAD-3311-2021; Ahmad, Sabarinah/J-7659-2015; Sh.Ahmad, Sabarinah/AAD-8652-2019; Hashim, Rugayah Gy/C-9708-2010</t>
  </si>
  <si>
    <t>Ahmad, Sabarinah/0000-0002-9405-045X; Sh.Ahmad, Sabarinah/0000-0002-9405-045X; Hashim, Rugayah Gy/0000-0002-4807-9024</t>
  </si>
  <si>
    <t>SARA BURGERHARTSTRAAT 25, PO BOX 211, 1000 AE AMSTERDAM, NETHERLANDS</t>
  </si>
  <si>
    <t>1877-0428</t>
  </si>
  <si>
    <t>PROCD SOC BEHV</t>
  </si>
  <si>
    <t>10.1016/j.sbspro.2012.12.262</t>
  </si>
  <si>
    <t>Environmental Studies; Public, Environmental &amp; Occupational Health; Social Sciences, Interdisciplinary</t>
  </si>
  <si>
    <t>Conference Proceedings Citation Index - Social Science &amp; Humanities (CPCI-SSH)</t>
  </si>
  <si>
    <t>Environmental Sciences &amp; Ecology; Public, Environmental &amp; Occupational Health; Social Sciences - Other Topics</t>
  </si>
  <si>
    <t>BGL71</t>
  </si>
  <si>
    <t>WOS:000323429000061</t>
  </si>
  <si>
    <t>Nobes, DC; Pettersson, JK</t>
  </si>
  <si>
    <t>Liu, J; Xu, Y; Dai, Q; Zhu, D; Guo, R; Feng, D; Yan, J; Liu, H; Tong, X; Zhang, D; Li, D</t>
  </si>
  <si>
    <t>Nobes, David C.; Pettersson, Jared K.</t>
  </si>
  <si>
    <t>Non-invasive Imaging of Hydrocarbon Contamination in Permafrost Soils at Marble Point, Mcmurdo Sound Region, Antarctica</t>
  </si>
  <si>
    <t>NEAR-SURFACE GEOPHYSICS AND ENVIRONMENT PROTECTION</t>
  </si>
  <si>
    <t>5th International Conference on Environmental and Engineering Geophysics (ICEEG)</t>
  </si>
  <si>
    <t>JUN 15-18, 2012</t>
  </si>
  <si>
    <t>Cent S Univ, Changsha, PEOPLES R CHINA</t>
  </si>
  <si>
    <t>Cent S Univ</t>
  </si>
  <si>
    <t>GROUND-PENETRATING RADAR; SCOTT BASE</t>
  </si>
  <si>
    <t>Hydrocarbon spills can cause extensive environmental damage and can last a long time in dry permafrost environments like that in Antarctica. Intrusive sampling and attempts at remediation can cause more harm to a site already damaged, particularly in the harsh yet fragile Antarctic environment. Additionally, even carefully planned intrusive sampling programmes can miss the target, in this case the location and extent of contamination. With negligible physical disturbance, non-invasive, non-destructive geophysical methods determined the extent of hydrocarbon contamination in the permafrost soil at Marble Point, in the McMurdo Sound region. Limited sampling was done for calibration, with minimal and highly restricted disturbance. The contamination is 35 to 40 years old; however the electromagnetic response was electrically resistive, the same as relatively young contamination in temperate soils, whereas older temperate spills tend to be electrically conductive. Radar profiles were acquired across the eastern half of the site, crossing two contaminated locations. The radar reflections were enhanced, again as observed for young contamination in temperate soils. Correlation between the radar and electromagnetic responses was excellent. The cold polar climate slows chemical and physical changes to contaminants, so that they respond as if young and relatively fresh. Geophysical imaging provided a viable non-invasive means to map the extent of hydrocarbon contamination in Antarctic permafrost soils with little or no site disturbance.</t>
  </si>
  <si>
    <t>[Nobes, David C.] Univ Canterbury, Dept Geol Sci, Christchurch 8140, New Zealand</t>
  </si>
  <si>
    <t>University of Canterbury</t>
  </si>
  <si>
    <t>Nobes, DC (corresponding author), Univ Canterbury, Dept Geol Sci, Private Bag 4800, Christchurch 8140, New Zealand.</t>
  </si>
  <si>
    <t>david.nobes@canterbury.ac.nz</t>
  </si>
  <si>
    <t>Nobes, David/AAC-6539-2021</t>
  </si>
  <si>
    <t>SCIENCE PRESS USA INC</t>
  </si>
  <si>
    <t>MONMOUTH JUNCTION,</t>
  </si>
  <si>
    <t>2031 US HWY 130, SUITE F, MONMOUTH JUNCTION,, NJ 08852 USA</t>
  </si>
  <si>
    <t>978-1-933100-42-5</t>
  </si>
  <si>
    <t>Engineering, Geological; Geosciences, Multidisciplinary</t>
  </si>
  <si>
    <t>BHA13</t>
  </si>
  <si>
    <t>WOS:000324782800063</t>
  </si>
  <si>
    <t>B</t>
  </si>
  <si>
    <t>O'Brien, PE; Stark, JS; Johnstone, G; Smith, J; Riddle, MJ</t>
  </si>
  <si>
    <t>Harris, PT; Baker, EK</t>
  </si>
  <si>
    <t>O'Brien, Philip E.; Stark, Jonathan S.; Johnstone, Glenn; Smith, Jodie; Riddle, Martin J.</t>
  </si>
  <si>
    <t>Seabed Character and Habitats of a Rocky Antarctic Coastline: Vestfold Hills, East Antarctica</t>
  </si>
  <si>
    <t>SEAFLOOR GEOMORPHOLOGY AS BENTHIC HABITAT: GEOHAB ATLAS OF SEAFLOOR GEOMORPHIC FEATURES AND BENTHIC HABITATS</t>
  </si>
  <si>
    <t>Elsevier Insights</t>
  </si>
  <si>
    <t>Antarctica; coast; habitat; geomorphology; multibeam bathymetry; macroalgae</t>
  </si>
  <si>
    <t>PRYDZ BAY</t>
  </si>
  <si>
    <t>The Vestfold Hills is an area of ice-free coast in East Antarctica. The coast is a complex of small islands, embayments, and fjords. Most of the coast is rocky, but a few sandy beaches are present. Water depths vary from 0 to 200 m in the survey area. High-resolution multibeam bathymetry, underwater video, and detailed diving surveys reveal a mosaic of rock outcrops, sediment-covered basins, and transition zones similar to pediments of desert landscapes. Iceberg scouring is common, but some areas are protected by peninsulas and islands. Biological communities are controlled by substrate and light level, with rocky substrates in shallow water, where ice-free conditions persist for most of the summer, dominated by macroalgae. Areas of sediment have invertebrate fauna and some macroalgae. Rocky areas in deep water or where sea ice persists through the summer are invertebrate dominated.</t>
  </si>
  <si>
    <t>[O'Brien, Philip E.; Smith, Jodie] Geosci Australia, Canberra, ACT, Australia; [Stark, Jonathan S.; Johnstone, Glenn; Riddle, Martin J.] Australian Antarctic Div, Kingston, Tas, Australia</t>
  </si>
  <si>
    <t>Geoscience Australia; Australian Antarctic Division</t>
  </si>
  <si>
    <t>O'Brien, PE (corresponding author), Geosci Australia, Canberra, ACT, Australia.</t>
  </si>
  <si>
    <t>Stark, Jonathan/ABF-4025-2020</t>
  </si>
  <si>
    <t>Stark, Jonathan/0000-0002-4268-8072; Smith, Jodie/0000-0002-4706-4269; O'Brien, Philip/0000-0003-3446-3292</t>
  </si>
  <si>
    <t>978-0-12-385141-3</t>
  </si>
  <si>
    <t>ELSEV INSIGHT</t>
  </si>
  <si>
    <t>10.1016/B978-0-12-385140-6.00020-7</t>
  </si>
  <si>
    <t>BGC23</t>
  </si>
  <si>
    <t>WOS:000322237000022</t>
  </si>
  <si>
    <t>Lucieer, V; Barrett, N; Hill, N; Nichol, SL</t>
  </si>
  <si>
    <t>Lucieer, Vanessa; Barrett, Neville; Hill, Nicole; Nichol, Scott L.</t>
  </si>
  <si>
    <t>Characterization of Shallow Inshore Coastal Reefs on the Tasman Peninsula, Southeastern Tasmania, Australia</t>
  </si>
  <si>
    <t>Habitat mapping; coastal waters; multibeam; autonomous underwater vehicle; reef</t>
  </si>
  <si>
    <t>Multibeam data of coastal bedrock reefs and associated sediments on the southeastern coast of Tasmania, Australia, were recently collected as part of the Commonwealth Environmental Research Facilities Marine Biodiversity Hub. The main aim of the surveys was to test a range of physical environmental parameters of nearshore reefs in southeast Tasmania as surrogates to predict patterns of benthic biodiversity. Two data sets were collected: (1) high-resolution bathymetry and seabed acoustic reflectance (backscatter) from a multibeam system and (2) high-resolution spatially rectified stereo still photographs of the seafloor collected by an autonomous underwater vehicle. In this analysis, the degrees of change of the slope of the seabed over a distance of 6 m and the seabed morphology are examined as surrogates for classifying seabed substrate. The distribution of the biological communities over different seabed morphologies is examined as a first step in the process of linking biological data to seabed substrate.</t>
  </si>
  <si>
    <t>[Lucieer, Vanessa; Barrett, Neville; Hill, Nicole] Univ Tasmania, Inst Marine &amp; Antarctic Studies, Hobart, Tas, Australia; [Nichol, Scott L.] Geosci Australia, Canberra, ACT, Australia</t>
  </si>
  <si>
    <t>University of Tasmania; Geoscience Australia</t>
  </si>
  <si>
    <t>Lucieer, V (corresponding author), Univ Tasmania, Inst Marine &amp; Antarctic Studies, Hobart, Tas, Australia.</t>
  </si>
  <si>
    <t>Lucieer, Vanessa/D-1697-2009; Barrett, Neville/J-7593-2014; Hill, Nicole/J-7856-2014</t>
  </si>
  <si>
    <t>Lucieer, Vanessa/0000-0001-7531-5750; Barrett, Neville/0000-0002-6167-1356; Hill, Nicole/0000-0001-9329-6717</t>
  </si>
  <si>
    <t>10.1016/B978-0-12-385140-6.00034-7</t>
  </si>
  <si>
    <t>WOS:000322237000036</t>
  </si>
  <si>
    <t>Post, AL; O'Brien, PE; Beaman, RJ; Riddle, MJ; De Santis, L; Rintoul, SR</t>
  </si>
  <si>
    <t>Post, Alexandra L.; O'Brien, Philip E.; Beaman, Robin J.; Riddle, Martin J.; De Santis, Laura; Rintoul, Stephen R.</t>
  </si>
  <si>
    <t>Distribution of Hydrocorals Along the George V Slope, East Antarctica</t>
  </si>
  <si>
    <t>hydrocorals; Vulnerable Marine Ecosystem; submarine canyons; continental slope; oceanographic processes</t>
  </si>
  <si>
    <t>MERTZ GLACIER POLYNYA; CONTINENTAL-MARGIN; BOTTOM WATER; ICE; SEDIMENTS; PATTERNS; ICEBERGS; REGION; ADELIE; RISE</t>
  </si>
  <si>
    <t>Dense coral-sponge communities on the upper continental slope (570-950 m) off George V Land, east Antarctica, have been identified as Vulnerable Marine Ecosystems. We propose three main factors governing their distribution on this margin: (i) their depth in relation to iceberg scouring, (ii) the flow of organic-rich bottom waters, and (iii) their location at the head of shelf-cutting canyons. Icebergs scour to depths of 500m in this region, and the lack of such disturbance is a likely factor allowing the growth of rich benthic ecosystems. In addition, the richest communities are found in the heads of canyons that receive descending plumes of Antarctic bottom water formed on the George V shelf, which could entrain abundant food for the benthos. The canyons harboring rich benthos are also those that cut the shelf break. Such canyons are known sites of high productivity in other areas due to strong current flow and increased mixing with shelf waters, and the abrupt, complex topography.</t>
  </si>
  <si>
    <t>[Post, Alexandra L.; O'Brien, Philip E.] Geosci Australia, Marine &amp; Coastal Environm Grp, Canberra, ACT, Australia; [Beaman, Robin J.] James Cook Univ, Sch Earth &amp; Environm Sci, Cairns, Qld, Australia; [Riddle, Martin J.] Australian Antarctic Div, Kingston, Tas, Australia; [De Santis, Laura] Inst Nazl Oceanog &amp; Geofis Sperimentale, Trieste, Italy; [Rintoul, Stephen R.] CSIRO Marine &amp; Atmospher Res, Hobart, Tas, Australia</t>
  </si>
  <si>
    <t>Geoscience Australia; James Cook University; Australian Antarctic Division; Istituto Nazionale di Oceanografia e di Geofisica Sperimentale; Commonwealth Scientific &amp; Industrial Research Organisation (CSIRO)</t>
  </si>
  <si>
    <t>Post, AL (corresponding author), Geosci Australia, Marine &amp; Coastal Environm Grp, Canberra, ACT, Australia.</t>
  </si>
  <si>
    <t>Rintoul, Stephen R/A-1471-2012</t>
  </si>
  <si>
    <t>Rintoul, Stephen R/0000-0002-7055-9876; Post, Alexandra/0000-0002-6287-3283; De Santis, Laura/0000-0002-7752-7754; O'Brien, Philip/0000-0003-3446-3292</t>
  </si>
  <si>
    <t>10.1016/B978-0-12-385140-6.00052-9</t>
  </si>
  <si>
    <t>WOS:000322237000054</t>
  </si>
  <si>
    <t>Ross, J; Crawford, C; Gibson, J; Gallagher, B; Beard, J; McGowan, S</t>
  </si>
  <si>
    <t>Lefroy, T; Curtis, A; Jakeman, A; McKee, J</t>
  </si>
  <si>
    <t>Ross, Jeff; Crawford, Christine; Gibson, John; Gallagher, Barry; Beard, Jason; McGowan, Stephen</t>
  </si>
  <si>
    <t>Improving the utility and sensitivity of estuarine monitoring</t>
  </si>
  <si>
    <t>LANDSCAPE LOGIC: INTEGRATING SCIENCE FOR LANDSCAPE MANAGEMENT</t>
  </si>
  <si>
    <t>This chapter describes the development and key outputs of a study that examined the links between land use, land management and the health of estuarine ecosystems in Tasmania. The project originally involved four major tasks: retrospectively examining the relationships between land use, water quality and quantity, and parameters of estuarine health; assessing change in the condition of selected estuaries in relation to land use change over the period; evaluating indicators of estuarine resource condition and trigger levels of change; and reconstructing a history of estuarine condition back to European settlement. Differences in location, time of year and methods of past sample collection and analysis lead to high levels of variation in the data, which limited our ability to clearly identify land use impacts. This and partner feedback highlighted the need for a standardised framework for the design and interpretation of estuarine monitoring. In response, the contemporary survey in task 2 was modified to identify the key sources of variation so that future monitoring programs could be designed to detect anthropogenic-driven change, with data collection focused on characterising the physical, chemical and biological conditions of the water column and sediments. The findings from historic data and contemporary surveys were used to develop a decision tree and conceptual diagrams to support management of Tasmanian estuaries based on three major drivers of estuarine condition - flushing time, seasonality of critical events and sensitive locations characteristic of different estuary types. This was possible because the study found that multiestuary characterisation is sufficiently consistent to provide a valid model.</t>
  </si>
  <si>
    <t>[Ross, Jeff; Crawford, Christine; Gibson, John; Beard, Jason; McGowan, Stephen] Univ Tasmania, Inst Marine &amp; Antarctic Studies, Hobart, Tas 7001, Australia; [Gallagher, Barry] Univ Tasmania, Sch Zool, Hobart, Tas 7001, Australia</t>
  </si>
  <si>
    <t>Ross, J (corresponding author), Univ Tasmania, Inst Marine &amp; Antarctic Studies, Private Bag 49, Hobart, Tas 7001, Australia.</t>
  </si>
  <si>
    <t>Jeff.Ross@utas.edu.au; Christine.Crawford@utas.edu.au; John.Gibson@utas.edu.au; JohnG6@utas.edu.au; Jason.Beard@utas.edu.au</t>
  </si>
  <si>
    <t>Ross, Donald/F-7607-2012</t>
  </si>
  <si>
    <t>Ross, Donald/0000-0002-8659-3833</t>
  </si>
  <si>
    <t>CSIRO PUBLISHING</t>
  </si>
  <si>
    <t>COLLINGWOOD</t>
  </si>
  <si>
    <t>150 OXFORD STREET, PO BOX 1139, COLLINGWOOD, VIC 3066, AUSTRALIA</t>
  </si>
  <si>
    <t>978-0-643-10355-9</t>
  </si>
  <si>
    <t>BFQ74</t>
  </si>
  <si>
    <t>WOS:000320996500005</t>
  </si>
  <si>
    <t>Verburg, K; Cresswell, H; Bende-Michl, U; Gibson, J; Hairsine, P</t>
  </si>
  <si>
    <t>Verburg, Kirsten; Cresswell, Hamish; Bende-Michl, Ulrike; Gibson, John; Hairsine, Peter</t>
  </si>
  <si>
    <t>Spatial diagnosis of catchment water quality: using multiple lines of evidence</t>
  </si>
  <si>
    <t>PHOSPHORUS INDEXES; IMPACTS; RISK</t>
  </si>
  <si>
    <t>Targeting actions to improve water quality and designing monitoring to evaluate the effectiveness of those actions are challenges faced by catchment managers the world over. Both tasks require an understanding of how a catchment 'works' in terms of sediment and nutrient delivery into the stream network. This can be translated into five key questions. 1 Which nutrients or sediments contribute to water quality problems? 2 What is their origin? 3 Where in the catchment are their source areas? 4 Along which hydrological pathways are the materials transported to the waterways? 5 When are these processes likely to occur? This chapter describes how multiple lines of evidence can be used to focus on these questions. A literature review and case study in the Duck River catchment in north-western Tasmania identified a range of different and often complementary types of information that could be used. These include water quality monitoring over space and time, tracer studies and various types of modelling. It was found that these approaches had different strengths as applied to each of the five key questions and that, to form a diagnosis, a combination of different lines of evidence was necessary. In many research studies, this process is applied informally. To make this more transparent we developed the Guide to Spatial Diagnosis of Catchment Water Quality as a framework for organising available evidence and integrating that knowledge into a spatial diagnosis. The case study from the Duck River catchment is used to demonstrate how the framework evolved, illustrate its use in organising evidence to support decision-making and design monitoring programs, and reflect on the value of the study for landholders and managers in that catchment. While this chapter focuses on sediment and nutrients, the approach and many of the methods are transferrable to other constituents.</t>
  </si>
  <si>
    <t>[Verburg, Kirsten; Cresswell, Hamish; Bende-Michl, Ulrike; Hairsine, Peter] CSIRO Land &amp; Water, Canberra, ACT 2601, Australia; [Verburg, Kirsten; Cresswell, Hamish; Bende-Michl, Ulrike] Water Hlth Country Flagship, Canberra, ACT 2601, Australia; [Gibson, John] Univ Tasmania, Inst Marine &amp; Antarctic Studies, Hobart, Tas 7001, Australia</t>
  </si>
  <si>
    <t>Commonwealth Scientific &amp; Industrial Research Organisation (CSIRO); CSIRO Land &amp; Water; Commonwealth Scientific &amp; Industrial Research Organisation (CSIRO); University of Tasmania</t>
  </si>
  <si>
    <t>Verburg, K (corresponding author), CSIRO Land &amp; Water, GPO Box 1666, Canberra, ACT 2601, Australia.</t>
  </si>
  <si>
    <t>Kirsten.Verburg@csiro.au; Hamish.Cresswell@csiro.au; Ulrike.Bende-Michl@csiro.au; John.Gibson@utas.edu.au; Peter.Hairsine@csiro.au</t>
  </si>
  <si>
    <t>Verburg, Kirsten/F-6050-2011; Hairsine, Peter B/G-6156-2011; Cresswell, Hamish P/G-8658-2011</t>
  </si>
  <si>
    <t>CLAYTON</t>
  </si>
  <si>
    <t>UNIPARK, BLDG 1, LEVEL 1, 195 WELLINGTON RD, LOCKED BAG 10, CLAYTON, VIC 3168, AUSTRALIA</t>
  </si>
  <si>
    <t>978-0-643-10355-9; 978-0-643-10354-2</t>
  </si>
  <si>
    <t>WOS:000320996500008</t>
  </si>
  <si>
    <t>Ismail, Z; Makmor, M; Hashim, R; Shah, RM; Abu Hanifah, N; Ahmad, S</t>
  </si>
  <si>
    <t>Ismail, Zulhabri; Makmor, Maisarah; Hashim, Rugayah; Shah, Rohani Mohd; Abu Hanifah, Norha; Ahmad, Sabarinah</t>
  </si>
  <si>
    <t>The Role of Malaysia under the Antarctic Treaty and Madrid Protocol</t>
  </si>
  <si>
    <t>2012 IEEE COLLOQUIUM ON HUMANITIES, SCIENCE &amp; ENGINEERING RESEARCH (CHUSER 2012)</t>
  </si>
  <si>
    <t>IEEE Colloquium on Humanities, Science and Engineering Research (CHUSER)</t>
  </si>
  <si>
    <t>DEC 03-04, 2012</t>
  </si>
  <si>
    <t>Kota Kinabalu, MALAYSIA</t>
  </si>
  <si>
    <t>Antarctica; The Antarctic Treaty; Madrid Protocol; Malaysia's Antarctica Act</t>
  </si>
  <si>
    <t>ENVIRONMENTAL-IMPACT ASSESSMENT; PROTECTION; CONSERVATION; INSTRUMENTS</t>
  </si>
  <si>
    <t>The Antarctic Treaty 1959 is the body that governs the Antarctic continent which plays an important role of preserving Antarctica's pristine environment. The Antarctic Treaty utilizes several environmental agreements namely Madrid Protocol to minimize the negative impacts of activities in the icy continent. Malaysia has been continuously expanding the Antarctic based research executed by local scientists since 1980s. Furthermore, Malaysia has officially joined the force in preserving the Antarctica's environment in 2011 by acceding the Antarctic Treaty and the Madrid Protocol. Thus, persistent efforts have been carried out in developing Malaysia's Antarctic Act to comply with both the Antarctic Treaty and the Madrid Protocol.</t>
  </si>
  <si>
    <t>[Ismail, Zulhabri; Makmor, Maisarah; Hashim, Rugayah; Shah, Rohani Mohd; Abu Hanifah, Norha; Ahmad, Sabarinah] Univ Teknol MARA UiTM, Shah Alam 40450, Malaysia</t>
  </si>
  <si>
    <t>Ismail, Z (corresponding author), Univ Teknol MARA UiTM, Shah Alam 40450, Malaysia.</t>
  </si>
  <si>
    <t>zulhabri@salam.uitm.edu.my; mysara_makmor@yahoo.com; gy@salam.uitm.edu.my; rohanimohdshah@yahoo.com; Norha881@salam.uitm.edu.my; sabar643@salam.uitm.edu.my</t>
  </si>
  <si>
    <t>Ahmad, Sabarinah Sheikh/ABD-3419-2020; Makmor, Maisarah/AAX-3587-2021; Sh.Ahmad, Sabarinah/AAD-8652-2019; Hashim, Rugayah Gy/C-9708-2010</t>
  </si>
  <si>
    <t>Sh.Ahmad, Sabarinah/0000-0002-9405-045X; Hashim, Rugayah Gy/0000-0002-4807-9024</t>
  </si>
  <si>
    <t>978-1-4673-4617-7; 978-1-4673-4615-3</t>
  </si>
  <si>
    <t>Computer Science, Interdisciplinary Applications; Engineering, Electrical &amp; Electronic</t>
  </si>
  <si>
    <t>Computer Science; Engineering</t>
  </si>
  <si>
    <t>BFC85</t>
  </si>
  <si>
    <t>WOS:000319211300008</t>
  </si>
  <si>
    <t>Boebel, O; Breitzke, M; Burkhardt, E; Bornemann, H</t>
  </si>
  <si>
    <t>Popper, AN; Hawkins, A</t>
  </si>
  <si>
    <t>Boebel, Olaf; Breitzke, Monika; Burkhardt, Elke; Bornemann, Horst</t>
  </si>
  <si>
    <t>Strategic Assessment of the Risk Posed to Marine Mammals by the Use of Air Guns in the Antarctic: Concepts, Methods, Results, and Controversies</t>
  </si>
  <si>
    <t>EFFECTS OF NOISE ON AQUATIC LIFE</t>
  </si>
  <si>
    <t>Advances in Experimental Medicine and Biology</t>
  </si>
  <si>
    <t>[Boebel, Olaf; Breitzke, Monika; Burkhardt, Elke; Bornemann, Horst] Alfred Wegener Inst, D-27568 Bremerhaven, Germany</t>
  </si>
  <si>
    <t>Boebel, O (corresponding author), Alfred Wegener Inst, D-27568 Bremerhaven, Germany.</t>
  </si>
  <si>
    <t>Olaf.Boebel@awi.de</t>
  </si>
  <si>
    <t>Breitzke, Monika/0000-0002-4868-3141</t>
  </si>
  <si>
    <t>233 SPRING STREET, NEW YORK, NY 10013, UNITED STATES</t>
  </si>
  <si>
    <t>0065-2598</t>
  </si>
  <si>
    <t>2214-8019</t>
  </si>
  <si>
    <t>978-1-4419-7310-8</t>
  </si>
  <si>
    <t>ADV EXP MED BIOL</t>
  </si>
  <si>
    <t>Adv.Exp.Med.Biol.</t>
  </si>
  <si>
    <t>10.1007/978-1-4419-7311-5_120</t>
  </si>
  <si>
    <t>Biology; Medicine, Research &amp; Experimental</t>
  </si>
  <si>
    <t>Life Sciences &amp; Biomedicine - Other Topics; Research &amp; Experimental Medicine</t>
  </si>
  <si>
    <t>BFV95</t>
  </si>
  <si>
    <t>WOS:000321592700120</t>
  </si>
  <si>
    <t>Breitzke, M; Bohlen, T</t>
  </si>
  <si>
    <t>Breitzke, Monika; Bohlen, Thomas</t>
  </si>
  <si>
    <t>Modeling Cumulative Sound Exposure Along a Seismic Line to Assess the Risk of Seismic Research Surveys on Marine Mammals in the Antarctic Treaty Area</t>
  </si>
  <si>
    <t>[Breitzke, Monika] Alfred Wegener Inst Polar &amp; Marine Res AWI, D-27570 Bremerhaven, Germany; [Breitzke, Monika] Univ Bremen, D-28359 Bremen, Germany; [Bohlen, Thomas] Karlsruhe Inst Technol, D-76187 Karlsruhe, Germany</t>
  </si>
  <si>
    <t>Helmholtz Association; Alfred Wegener Institute, Helmholtz Centre for Polar &amp; Marine Research; University of Bremen; Helmholtz Association; Karlsruhe Institute of Technology</t>
  </si>
  <si>
    <t>Breitzke, M (corresponding author), Alfred Wegener Inst Polar &amp; Marine Res AWI, D-27570 Bremerhaven, Germany.</t>
  </si>
  <si>
    <t>Monika.Breitzke@uni-bremen.de</t>
  </si>
  <si>
    <t>10.1007/978-1-4419-7311-5_138</t>
  </si>
  <si>
    <t>WOS:000321592700138</t>
  </si>
  <si>
    <t>Watkins, NW; Hnat, B; Chapman, SC</t>
  </si>
  <si>
    <t>Sharma, AS; Bunde, A; Dimri, VP; Baker, DN</t>
  </si>
  <si>
    <t>Watkins, N. W.; Hnat, B.; Chapman, S. C.</t>
  </si>
  <si>
    <t>On Self-Similar and Multifractal Models for the Scaling of Extreme Bursty Fluctuations in Space Plasmas</t>
  </si>
  <si>
    <t>EXTREME EVENTS AND NATURAL HAZARDS: THE COMPLEXITY PERSPECTIVE</t>
  </si>
  <si>
    <t>Geophysical Monograph Book Series</t>
  </si>
  <si>
    <t>Chapman Conference on Complexity and Extreme Events in Geosciences</t>
  </si>
  <si>
    <t>FEB, 2010</t>
  </si>
  <si>
    <t>Natl Geophys Res Inst, Hyderabad, INDIA</t>
  </si>
  <si>
    <t>Natl Geophys Res Inst</t>
  </si>
  <si>
    <t>AURORAL ELECTROJET INDEX; POWER-LAW DISTRIBUTIONS; SOLAR-WIND; AE-INDEX; TURBULENCE; ROBUSTNESS; CUSP; R/S</t>
  </si>
  <si>
    <t>A direct inspiration for the investigation of scaling behavior and extreme fluctuations in space plasmas has come from inherently multiscale physical theories such as self-organized criticality and turbulence. An additional benefit, with space weather implications, is an ability to assess the likelihood of an extreme fluctuation of a given size. If it is present, however, scaling behavior may not be captured by a single self-similarity exponent H but might instead require a multifractal spectrum of scaling exponents. We believe that it is, nonetheless, useful to assess how well simple monofractal models can capture the stylized facts of the scaling behavior of auroral indices and solar wind quantities and here illustrate it by studying the use of linear fractional stable motion (LFSM) as a model for solar wind and ionospheric time series, an example that can be taken as a prototype for other possible models. By postulating such a description, we can heuristically explore how the previously experimentally measured scaling exponents for quantities like superposed epoch averaged activity, or the probability distribution of the differenced time series, depend on the model's parameters. We can then also derive predicted scaling exponents for the exponents of more complicated measurements that have also been made, such as size and duration of bursts above a threshold or the survival probability of a burst. Comparison of these predictions with data is then used to assess the usefulness of LFSM as a toy model for space physics time series.</t>
  </si>
  <si>
    <t>[Watkins, N. W.] British Antarctic Survey, Cambridge CB3 0ET, England</t>
  </si>
  <si>
    <t>Watkins, NW (corresponding author), British Antarctic Survey, Madingley Rd, Cambridge CB3 0ET, England.</t>
  </si>
  <si>
    <t>nww@bas.ac.uk</t>
  </si>
  <si>
    <t>Chapman, Sandra/C-2216-2008; Watkins, Nicholas Wynn/C-5140-2008; Watkins, Nick/GPX-7439-2022</t>
  </si>
  <si>
    <t>Chapman, Sandra/0000-0003-0053-1584; Watkins, Nicholas Wynn/0000-0003-4484-6588; Watkins, Nick/0000-0003-4484-6588</t>
  </si>
  <si>
    <t>EPSRC [EP/H02395X/1, EP/D062837/1] Funding Source: UKRI; NERC [bas0100026] Funding Source: UKRI; STFC [ST/F00205X/1, ST/I000720/1] Funding Source: UKRI</t>
  </si>
  <si>
    <t>EPSRC(UK Research &amp; Innovation (UKRI)Engineering &amp; Physical Sciences Research Council (EPSRC)); NERC(UK Research &amp; Innovation (UKRI)Natural Environment Research Council (NERC)); STFC(UK Research &amp; Innovation (UKRI)Science &amp; Technology Facilities Council (STFC))</t>
  </si>
  <si>
    <t>0065-8448</t>
  </si>
  <si>
    <t>978-0-87590-486-3</t>
  </si>
  <si>
    <t>GEOPHYS MONOGR SER</t>
  </si>
  <si>
    <t>10.1029/2011GM001084</t>
  </si>
  <si>
    <t>Geochemistry &amp; Geophysics; Geosciences, Multidisciplinary</t>
  </si>
  <si>
    <t>BFZ09</t>
  </si>
  <si>
    <t>WOS:000321935100022</t>
  </si>
  <si>
    <t>Crawford, C</t>
  </si>
  <si>
    <t>Hundloe, T; Crawford, C</t>
  </si>
  <si>
    <t>Crawford, Christine</t>
  </si>
  <si>
    <t>The river system and water management</t>
  </si>
  <si>
    <t>VALUE OF WATER IN A DRYING CLIMATE</t>
  </si>
  <si>
    <t>Univ Tasmania, Inst Marine &amp; Antarctic Studies, Hobart, Tas 7001, Australia</t>
  </si>
  <si>
    <t>Crawford, C (corresponding author), Univ Tasmania, Inst Marine &amp; Antarctic Studies, Hobart, Tas 7001, Australia.</t>
  </si>
  <si>
    <t>978-0-643-10663-5</t>
  </si>
  <si>
    <t>Environmental Sciences; Environmental Studies; Water Resources</t>
  </si>
  <si>
    <t>Book Citation Index – Social Sciences &amp; Humanities (BKCI-SSH); Book Citation Index – Science (BKCI-S)</t>
  </si>
  <si>
    <t>Environmental Sciences &amp; Ecology; Water Resources</t>
  </si>
  <si>
    <t>BFQ94</t>
  </si>
  <si>
    <t>WOS:000321009300010</t>
  </si>
  <si>
    <t>Crawford, C; Gibson, J; Gallagher, B</t>
  </si>
  <si>
    <t>Crawford, Christine; Gibson, John; Gallagher, Barry</t>
  </si>
  <si>
    <t>The Little Swanport estuary</t>
  </si>
  <si>
    <t>[Crawford, Christine; Gallagher, Barry] Univ Tasmania, Inst Marine &amp; Antarctic Studies, Hobart, Tas 7001, Australia</t>
  </si>
  <si>
    <t>WOS:000321009300011</t>
  </si>
  <si>
    <t>Ross, J</t>
  </si>
  <si>
    <t>Ross, Jeff</t>
  </si>
  <si>
    <t>Estuarine responses to environmental flows</t>
  </si>
  <si>
    <t>Ross, J (corresponding author), Univ Tasmania, Inst Marine &amp; Antarctic Studies, Hobart, Tas 7001, Australia.</t>
  </si>
  <si>
    <t>WOS:000321009300012</t>
  </si>
  <si>
    <t>Hundloe, T; Daniels, P; White, A; Crawford, C</t>
  </si>
  <si>
    <t>Hundloe, Tor; Daniels, Peter; White, Amy; Crawford, Christine</t>
  </si>
  <si>
    <t>The people and use of natural resources</t>
  </si>
  <si>
    <t>[Hundloe, Tor] Bond Univ, Southport, Qld 4229, Australia; [Hundloe, Tor] Griffith Univ, Environm Sch, Nathan, Qld 4111, Australia; [Hundloe, Tor] Univ Queensland, Brisbane, Qld 4072, Australia; [Daniels, Peter] Griffith Univ, Griffith Sch Environm, Nathan, Qld 4111, Australia; [White, Amy] Bond Univ, Inst Sustainable Dev &amp; Architecture, Southport, Qld 4229, Australia; [Crawford, Christine] Univ Tasmania, Inst Marine &amp; Antarctic Studies, Hobart, Tas 7001, Australia</t>
  </si>
  <si>
    <t>Bond University; Griffith University; University of Queensland; Griffith University; Bond University; University of Tasmania</t>
  </si>
  <si>
    <t>Hundloe, T (corresponding author), Bond Univ, Southport, Qld 4229, Australia.</t>
  </si>
  <si>
    <t>WOS:000321009300014</t>
  </si>
  <si>
    <t>Xiang, WM; Jiang, P; Zheng, XC</t>
  </si>
  <si>
    <t>Yang, WJ; Li, QS</t>
  </si>
  <si>
    <t>Xiang Weiming; Jiang Peng; Zheng Xianchang</t>
  </si>
  <si>
    <t>A New Foundation Countermeasure in West Antarctica Peninsula Area</t>
  </si>
  <si>
    <t>PROGRESS IN INDUSTRIAL AND CIVIL ENGINEERING, PTS. 1-5</t>
  </si>
  <si>
    <t>Applied Mechanics and Materials</t>
  </si>
  <si>
    <t>International Conference on Civil, Architectural and Hydraulic Engineering (ICCAHE 2012)</t>
  </si>
  <si>
    <t>AUG 10-12, 2012</t>
  </si>
  <si>
    <t>Zhangjiajie, PEOPLES R CHINA</t>
  </si>
  <si>
    <t>Geological Evaluation; Foundation Countermeasures; West Antarctica Peninsula</t>
  </si>
  <si>
    <t>Because of the extremely adverse climate environment and construction conditions, the previous buildings in each South Pole Station in west Antarctica area turned up a series of foundational morbidities. I had been to Antarctica as a member of the 21st Chinese National Antarctic Research Expedition Team in 2004, in charge of a program about building suitability. This paper recommended the geological conditions, the subterraneous temperature field and the emerged foundational morbidity in West Antarctica Peninsula Area, eventually expounded a new foundation measure.</t>
  </si>
  <si>
    <t>[Xiang Weiming; Zheng Xianchang] Guangzhou Univ, Sch Civil Engn, Guangzhou, Guangdong, Peoples R China; [Jiang Peng] Shenzhen Investigat &amp; Res Inst Co Ltd, Shenzhen, Peoples R China</t>
  </si>
  <si>
    <t>Guangzhou University</t>
  </si>
  <si>
    <t>Xiang, WM (corresponding author), Guangzhou Univ, Sch Civil Engn, Guangzhou, Guangdong, Peoples R China.</t>
  </si>
  <si>
    <t>huajiankeji@21cn.com; 319742@qq.com; zhengxianchang@21cn.com</t>
  </si>
  <si>
    <t>Xiang, Weiming/L-4063-2015</t>
  </si>
  <si>
    <t>Xiang, Weiming/0000-0001-9065-8428</t>
  </si>
  <si>
    <t>TRANS TECH PUBLICATIONS LTD</t>
  </si>
  <si>
    <t>DURNTEN-ZURICH</t>
  </si>
  <si>
    <t>KREUZSTRASSE 10, 8635 DURNTEN-ZURICH, SWITZERLAND</t>
  </si>
  <si>
    <t>1660-9336</t>
  </si>
  <si>
    <t>978-3-03785-484-6</t>
  </si>
  <si>
    <t>APPL MECH MATER</t>
  </si>
  <si>
    <t>204-208</t>
  </si>
  <si>
    <t>1-5</t>
  </si>
  <si>
    <t>10.4028/www.scientific.net/AMM.204-208.838</t>
  </si>
  <si>
    <t>Engineering, Industrial; Engineering, Civil</t>
  </si>
  <si>
    <t>BEZ11</t>
  </si>
  <si>
    <t>WOS:000318817500161</t>
  </si>
  <si>
    <t>Mintenbeck, K; Barrera-Oro, ER; Brey, T; Jacob, U; Knust, R; Mark, FC; Moreira, E; Strobel, A; Arntz, WE</t>
  </si>
  <si>
    <t>Jacob, U; Woodward, G</t>
  </si>
  <si>
    <t>Mintenbeck, Katja; Barrera-Oro, Esteban R.; Brey, Thomas; Jacob, Ute; Knust, Rainer; Mark, Felix C.; Moreira, Eugenia; Strobel, Anneli; Arntz, Wolf E.</t>
  </si>
  <si>
    <t>Impact of Climate Change on Fishes in Complex Antarctic Ecosystems</t>
  </si>
  <si>
    <t>ADVANCES IN ECOLOGICAL RESEARCH, VOL 46: GLOBAL CHANGE IN MULTISPECIES SYSTEMS, PT 1</t>
  </si>
  <si>
    <t>Advances in Ecological Research</t>
  </si>
  <si>
    <t>Review; Book Chapter</t>
  </si>
  <si>
    <t>SOUTH SHETLAND ISLANDS; TERRA-NOVA BAY; FJORD NOTOTHENIA-ROSSII; FATTY-ACID COMPOSITION; ICE SCOUR DISTURBANCE; NORTH-ATLANTIC OCEAN; KING GEORGE ISLAND; EARLY-LIFE STAGES; COD GADUS-MORHUA; WEDDELL SEA</t>
  </si>
  <si>
    <t>Antarctic marine ecosystems are increasingly threatened by climate change and are considered to be particularly sensitive because of the adaptation of most organisms to cold and stable environmental conditions. Fishes play a central role in the Antarctic marine food web and might be affected by climate change in different ways: (i) directly by increasing water temperatures, decreasing seawater salinity and/or increasing concentrations of CO2; (ii) indirectly by alterations in the food web, in particular by changes in prey composition, and (iii) by alterations and loss of habitat due to sea ice retreat and increased ice scouring on the sea floor. Based on new data and data collected from the literature, we analyzed the vulnerability of the fish community to these threats. The potential vulnerability and acting mechanisms differ among species, developmental stages and habitats. The icefishes (family Channichthyidae) are one group that are especially vulnerable to a changing South Polar Sea, as are the pelagic shoal fish species Pleuragramma antarcticum. Both will almost certainly be negatively affected by abiotic alterations and changes in food web structure associated with climate change, the latter additionally by habitat loss. The major bottleneck for the persistence of the majority of populations appears to be the survival of early developmental stages, which are apparently highly sensitive to many types of alterations. In the long term, if climate projections are realized, species loss seems inevitable: within the demersal fish community, the loss or decline of one species might be compensated by others, whereas the pelagic fish community in contrast is extremely poor in species and dominated by P. antarcticum. The loss of this key species could therefore have especially severe consequences for food web structure and the functioning of the entire ecosystem.</t>
  </si>
  <si>
    <t>[Mintenbeck, Katja; Brey, Thomas; Knust, Rainer; Mark, Felix C.; Strobel, Anneli; Arntz, Wolf E.] Alfred Wegener Inst Polar &amp; Marine Res, Bremerhaven, Germany; [Barrera-Oro, Esteban R.; Moreira, Eugenia] Inst Antartico Argentino, Buenos Aires, DF, Argentina; [Barrera-Oro, Esteban R.; Moreira, Eugenia] Consejo Nacl Invest Cient &amp; Tecn, RA-1033 Buenos Aires, DF, Argentina; [Barrera-Oro, Esteban R.] Museo Argentin Ciencias Nat Bernardino Rivadavia, Buenos Aires, DF, Argentina; [Jacob, Ute] Univ Hamburg, Inst Hydrobiol &amp; Fisheries Sci, Hamburg, Germany</t>
  </si>
  <si>
    <t>Helmholtz Association; Alfred Wegener Institute, Helmholtz Centre for Polar &amp; Marine Research; Instituto Antartico Argentino; Consejo Nacional de Investigaciones Cientificas y Tecnicas (CONICET); Museo Argentino de Ciencias Naturales Bernardino Rivadavia (MACN); University of Hamburg</t>
  </si>
  <si>
    <t>Mintenbeck, K (corresponding author), Alfred Wegener Inst Polar &amp; Marine Res, Bremerhaven, Germany.</t>
  </si>
  <si>
    <t>kmintenbeck@hotmail.com</t>
  </si>
  <si>
    <t>Strobel, Anneli/S-5853-2016; Jacob, Ute/H-3089-2018; Mark, Felix Christopher/P-4759-2016</t>
  </si>
  <si>
    <t>Mark, Felix Christopher/0000-0002-5586-6704; Brey, Thomas/0000-0002-6345-2851; MOREIRA, EUGENIA/0000-0002-3704-1696; Mintenbeck, Katja/0000-0002-3239-6308</t>
  </si>
  <si>
    <t>ELSEVIER ACADEMIC PRESS INC</t>
  </si>
  <si>
    <t>525 B STREET, SUITE 1900, SAN DIEGO, CA 92101-4495 USA</t>
  </si>
  <si>
    <t>0065-2504</t>
  </si>
  <si>
    <t>2163-582X</t>
  </si>
  <si>
    <t>978-0-12-396992-7</t>
  </si>
  <si>
    <t>ADV ECOL RES</t>
  </si>
  <si>
    <t>Adv. Ecol. Res.</t>
  </si>
  <si>
    <t>10.1016/B978-0-12-396992-7.00006-X</t>
  </si>
  <si>
    <t>Book Citation Index – Science (BKCI-S); Science Citation Index Expanded (SCI-EXPANDED)</t>
  </si>
  <si>
    <t>BFF89</t>
  </si>
  <si>
    <t>WOS:000319706500005</t>
  </si>
  <si>
    <t>Sulman, MHM; Huntley, HS; Lipphardt, BL; Kirwan, AD</t>
  </si>
  <si>
    <t>Lin, J; Brunner, D; Gerbig, C; Stohl, A; Luhar, A; Webley, P</t>
  </si>
  <si>
    <t>Sulman, Mohamed H. M.; Huntley, Helga S.; Lipphardt, B. L., Jr.; Kirwan, A. D., Jr.</t>
  </si>
  <si>
    <t>Out of Flatland: Three-Dimensional Aspects of Lagrangian Transport in Geophysical Fluids</t>
  </si>
  <si>
    <t>LAGRANGIAN MODELING OF THE ATMOSPHERE</t>
  </si>
  <si>
    <t>AGU Chapman Conference on Advances in Lagrangian Modeling of the Atmosphere</t>
  </si>
  <si>
    <t>OCT 09-14, 2011</t>
  </si>
  <si>
    <t>Grindelwald, SWITZERLAND</t>
  </si>
  <si>
    <t>ANTARCTIC POLAR VORTEX; TIME LYAPUNOV EXPONENTS; COHERENT STRUCTURES; CHAOTIC ADVECTION; ADRIATIC SEA; FLOWS; PERMEABILITY; STRATOSPHERE; MANIFOLDS; SURFACES</t>
  </si>
  <si>
    <t>Lagrangian analyses based on dynamical systems theory have revealed complex transport pathways and barriers in both the atmosphere and ocean, often referred to as Lagrangian coherent structures (LCS). Since computation of the precise manifolds that define LCS is labor intensive, they are often approximated using finite time Lyapunov exponents (FTLE). Little is known about the 3-D character of LCS, since to date most LCS studies of geophysical flows have been restricted to 2-D analyses on a few selected surfaces. Computing full 3-D FTLE estimates that include combined dispersive effects due to vertical velocities and vertical shear in horizontal velocities can be challenging. A primary concern is whether the use of uncertain diagnostic vertical or diabatic velocities from quasihydrostatic models adds value to FTLE computations. We investigate this issue using an analytic quadrupole model where the LCS positions are known, and the vertical velocities are analytically prescribed. We quantify the differences between full 3-D FTLE and the frequently used 2-D approximation (based on 2-D trajectories), and we suggest a scalar measure of the vertical shear of the horizontal velocities as a diagnostic for identifying cases when the 2-D approximation may fail.</t>
  </si>
  <si>
    <t>[Sulman, Mohamed H. M.; Huntley, Helga S.; Lipphardt, B. L., Jr.; Kirwan, A. D., Jr.] Univ Delaware, Sch Marine Sci &amp; Policy, Newark, DE 19716 USA</t>
  </si>
  <si>
    <t>Sulman, MHM (corresponding author), Univ Delaware, Sch Marine Sci &amp; Policy, Newark, DE 19716 USA.</t>
  </si>
  <si>
    <t>msulman@udel.edu; helgah@udel.edu; brucel@udel.edu; adk@udel.edu</t>
  </si>
  <si>
    <t>Luhar, Ashok/A-1488-2012; Kirwan, Albert/AAK-3896-2020</t>
  </si>
  <si>
    <t>Huntley, Helga/0000-0002-9225-4483</t>
  </si>
  <si>
    <t>Office of Naval Research [N00014-10-1-0522, N00014-11- 10081]; Office of Naval Research MURI OCEAN 3D+1 grant [N00014-11-1-0087]; BP/The Gulf of Mexico Research Initiative</t>
  </si>
  <si>
    <t>Office of Naval Research(Office of Naval Research); Office of Naval Research MURI OCEAN 3D+1 grant; BP/The Gulf of Mexico Research Initiative</t>
  </si>
  <si>
    <t>This research was supported by the Office of Naval Research through grants N00014-10-1-0522 and N00014-11- 10081 to the University of Delaware, the Office of Naval Research MURI OCEAN 3D+1 grant N00014-11-1-0087, a grant from BP/The Gulf of Mexico Research Initiative, and the Mary A. S. Lighthipe endowment to the University of Delaware.</t>
  </si>
  <si>
    <t>978-0-87590-490-0</t>
  </si>
  <si>
    <t>10.1029/2012GM001279</t>
  </si>
  <si>
    <t>BFI76</t>
  </si>
  <si>
    <t>WOS:000320012300008</t>
  </si>
  <si>
    <t>Belchier, M; Peatman, T; Brown, J</t>
  </si>
  <si>
    <t>Belchier, M.; Peatman, T.; Brown, J.</t>
  </si>
  <si>
    <t>THE BIOLOGY, ECOLOGY AND DEVELOPMENT OF FISHERY MANAGEMENT ADVICE FOR THE ANOMURAN CRABS AT SOUTH GEORGIA (CCAMLR SUBAREA 48.3)</t>
  </si>
  <si>
    <t>CCAMLR SCIENCE</t>
  </si>
  <si>
    <t>FAMILY LITHODIDAE CRUSTACEA; PARALOMIS-GRANULOSA; BEAGLE CHANNEL; KING CRAB; REPRODUCTIVE-BIOLOGY; TOOTHFISH; SANTOLLA; DECAPODA</t>
  </si>
  <si>
    <t>This review summarises the available information on the biology and ecology of the lithodids at South Georgia and provides an overview of the development of a management regime for them. Finally it aims to highlight areas in which further research should be directed in order to provide information on which to base the most appropriate assessment and management methods in light of continuing interest in the regional crab fishery. Considerable gaps in our knowledge of the biology, ecology and demography of the lithodid species at South Georgia remain. Uncertainty surrounds estimates of biomass, growth rates and long-term survivorship of discards of the targeted species. In addition, there is doubt surrounding the identification of the less frequently caught species. The ecosystem interactions and function of all lithodids in the region remain poorly understood with great uncertainty surrounding their trophic ecology and life histories. Recent analyses suggest that the current precautionary catch limit may not be sustainable in the long term if it were reached consistently. Further research to address many of the areas outlined above should be undertaken if there is continued interest in the fishery. However, low market value and interest coupled with the very high level of discarding are likely to render the fishery commercially unviable.</t>
  </si>
  <si>
    <t>[Belchier, M.] British Antarctic Survey, Cambridge CB3 0ET, England; [Peatman, T.] MRAG Ltd, London W1J 5PN, England; [Brown, J.] Foreign &amp; Commonwealth Off, London SW1A 2AH, England</t>
  </si>
  <si>
    <t>Belchier, M (corresponding author), British Antarctic Survey, High Cross,Madingley Rd, Cambridge CB3 0ET, England.</t>
  </si>
  <si>
    <t>markb@bas.ac.uk</t>
  </si>
  <si>
    <t>Government of South Georgia; South Sandwich Islands; Natural Environment Research Council [bas0100025] Funding Source: researchfish</t>
  </si>
  <si>
    <t>Government of South Georgia; South Sandwich Islands; Natural Environment Research Council(UK Research &amp; Innovation (UKRI)Natural Environment Research Council (NERC))</t>
  </si>
  <si>
    <t>The authors would like to thank the scientifc observers on commercial vessels and the officers and crew of reseach vessels involved in the collection of data for this study, funding for which was provided by the Government of South Georgia and the South Sandwich Islands.</t>
  </si>
  <si>
    <t>C C A M L R TI</t>
  </si>
  <si>
    <t>NORTH HOBART</t>
  </si>
  <si>
    <t>PO BOX 213, NORTH HOBART, TAS 7002, AUSTRALIA</t>
  </si>
  <si>
    <t>1023-4063</t>
  </si>
  <si>
    <t>CCAMLR SCI</t>
  </si>
  <si>
    <t>CCAMLR Sci.</t>
  </si>
  <si>
    <t>142FF</t>
  </si>
  <si>
    <t>WOS:000318781400001</t>
  </si>
  <si>
    <t>Webber, DN; Parker, SJ</t>
  </si>
  <si>
    <t>Webber, D. N.; Parker, S. J.</t>
  </si>
  <si>
    <t>ESTIMATING UNACCOUNTED FISHING MORTALITY IN THE ROSS SEA REGION AND AMUNDSEN SEA (CCAMLR SUBAREAS 88.1 AND 88.2) BOTTOM LONGLINE FISHERIES TARGETING ANTARCTIC TOOTHFISH</t>
  </si>
  <si>
    <t>Stock assessments rely on estimates of total mortality resulting from fishing activities. However, fish that are captured by fishing gear that is not subsequently retrieved are generally not counted in estimates of total fishing removals or otherwise accounted for in stock assessment models. The mortality resulting from the loss of sections of bottom longline gear in the Ross Sea region and Subarea 88.2 Antarctic toothfish (Dissostichus mawsoni) fisheries is not currently known. A method to estimate unaccounted fishing mortality from lost lines in these fisheries is provided. These estimates suggest that on average 208 tonnes of Antarctic toothfish mortality may be unaccounted for annually. While the current estimates may be improved through the adoption of better data reporting practices, these estimates were incorporated as sensitivity analyses in the 2011 stock assessments for the Ross Sea region and Subarea 88.2 toothfish fisheries.</t>
  </si>
  <si>
    <t>[Webber, D. N.] New Zealand Minist Primary Ind, Wellington, New Zealand; [Parker, S. J.] Natl Inst Water &amp; Atmospher Res NIWA Ltd, Nelson, New Zealand</t>
  </si>
  <si>
    <t>National Institute of Water &amp; Atmospheric Research (NIWA) - New Zealand</t>
  </si>
  <si>
    <t>Webber, DN (corresponding author), New Zealand Minist Primary Ind, POB 2526, Wellington, New Zealand.</t>
  </si>
  <si>
    <t>darcy.webber@ecs.vuw.ac.nz</t>
  </si>
  <si>
    <t>New Zealand Ministry of Fisheries [ANT2010/01]</t>
  </si>
  <si>
    <t>New Zealand Ministry of Fisheries</t>
  </si>
  <si>
    <t>We thank vessel operators and scientific observers for the collection of data, and David Ramm and Eric Appleyard for extracting the data and assisting with data interpretation. We also thank members of the New Zealand Antarctic Fisheries Stock Assessment Working Group for helpful discussions and input into this paper. We also thank Mark Belchier and Stephane Thanassekos for their thoughtful review. The project was funded by the New Zealand Ministry of Fisheries under project ANT2010/01.</t>
  </si>
  <si>
    <t>WOS:000318781400002</t>
  </si>
  <si>
    <t>Okuda, T; Kiyota, M</t>
  </si>
  <si>
    <t>Okuda, T.; Kiyota, M.</t>
  </si>
  <si>
    <t>ANALYSIS OF VARIABILITY OF KRILL SIZE AND FISH BY-CATCH IN THE JAPANESE KRILL FISHERY BASED ON SCIENTIFIC OBSERVER DATA</t>
  </si>
  <si>
    <t>EUPHAUSIA-SUPERBA DANA; ANTARCTIC KRILL; SCOTIA SEA; GROWTH</t>
  </si>
  <si>
    <t>To estimate the optimal relative sample size of scientific observer data collected on Antarctic krill commercial fishing vessels, the relationship between statistical precision and sample size was estimated by using variance component analysis. Observer datasets from the Japanese krill fishery from 1995 to 2008 were analysed using a hierarchical Bayesian model. The models were composed of multistage cluster units (i.e. year, subarea, vessel, cruise and haul) based on a state-space model, separating biological process error in the population dynamics from fishery process as observation error. In both krill length and by-catch fish number, the parameters estimated by the Markov chain Monte Carlo (MCMC) method hardly show difference among years, subareas and vessels. The potent interaction effect between year and subarea suggests large spatio-temporal variability in the size structure of the krill population, which is presumably derived from large variability of recruitment causing difficulty in predicting krill population dynamics. Variances of observer datasets were calculated by the multistage sampling formula with the variance terms derived from the Bayesian model. For both krill length and by-catch fish number, vessel sample size shows marked effects on the coefficient of variation (CV), although haul sample size affects CV for only krill length data up to 10% haul coverage. These results suggest that data collection by scientific observers on board commercial vessels provides important information for the management of krill resources and the Antarctic ecosystem, while further discussion is needed about the optimal relative sample size to ensure the statistical precision required for the specific objective of a study that includes consideration of the cost of observer deployment.</t>
  </si>
  <si>
    <t>[Okuda, T.; Kiyota, M.] Fisheries Res Agcy, Natl Res Inst Far Seas Fisheries, Kanazawa Ku, Yokohama, Kanagawa 2368648, Japan</t>
  </si>
  <si>
    <t>Japan Fisheries Research &amp; Education Agency (FRA)</t>
  </si>
  <si>
    <t>Okuda, T (corresponding author), Fisheries Res Agcy, Natl Res Inst Far Seas Fisheries, Kanazawa Ku, 2-12-4 Fukuura, Yokohama, Kanagawa 2368648, Japan.</t>
  </si>
  <si>
    <t>okudy@affrc.go.jp</t>
  </si>
  <si>
    <t>WOS:000318781400003</t>
  </si>
  <si>
    <t>Kock, KH; Barrera-Oro, E; Belchier, M; Collins, MA; Duhamel, G; Hanchet, S; Pshenichnov, L; Welsford, D; Williams, R</t>
  </si>
  <si>
    <t>Kock, K. -H.; Barrera-Oro, E.; Belchier, M.; Collins, M. A.; Duhamel, G.; Hanchet, S.; Pshenichnov, L.; Welsford, D.; Williams, R.</t>
  </si>
  <si>
    <t>THE ROLE OF FISH AS PREDATORS OF KRILL (EUPHAUSIA SUPERBA) AND OTHER PELAGIC RESOURCES IN THE SOUTHERN OCEAN</t>
  </si>
  <si>
    <t>ANTARCTIC FUR SEALS; ICEFISH CHAMPSOCEPHALUS-GUNNARI; TERRA-NOVA BAY; KING GEORGE ISLAND; ARCTOCEPHALUS-GAZELLA PETERS; SUMMER-AUTUMN PERIOD; MARGINAL ICE-ZONE; SCOTIA ARC REGION; WESTERN ROSS SEA; FEEDING ECOLOGY</t>
  </si>
  <si>
    <t>Krill forms an important part of the diet of many Antarctic fish species. An understanding of the role of fish as krill predators in the Southern Ocean is critical to understanding how changes in fish abundance, such as through fishing or environmental change, are likely to impact on the food webs in the region. First attempts to estimate the krill and pelagic food consumption by Antarctic demersal fish in the low Antarctic were made in the late 1970s/early 1980s. Those estimates were constrained by a paucity of biomass estimates and the mostly qualitative nature of food studies. Food consumption estimates were extended to the mesopelagic realm and the high-Antarctic Zone in the late 1980s and early 1990s when these areas were exploited commercially for Electrona carlsbergi. Currently, the best estimates of annual krill consumption by fish are 23 000 000-29 000 000 tonnes of krill and other pelagic prey taken annually by demersal fish in the 1980s in the whole Southern Ocean, and 5 000 000-32 000 000 tonnes taken by mesopelagic fish in the Atlantic sector of the Southern Ocean. It is clear from this review that fish are important predators of krill, in particular the larger myctophids and some channichthyids and nototheniids, and that the importance of krill in fish diets varies substantially both with time and location on various scales, as well as with the availability of alternate prey in the different regions in the Southern Ocean. Ecosystem models therefore need to account for their role. However, several key areas of uncertainty exist, which need to be considered in ecosystem and food-web models for the Southern Ocean. For instance, no robust estimates of food consumption by mesopelagic fish can be provided for the vast areas of the Indian and Pacific Ocean sectors, or for several of the most abundant myctophid species in the Atlantic sector, due to the paucity of relevant studies in these regions. Where biomass estimates do exist, such as in the Atlantic sector, there can be a lack of precision in trawl and hydroacoustic surveys. Studies that adequately capture the seasonal variation in consumption rates and changing importance of krill in the diet of fish are also rare. Furthermore, the effects of large changes in abundance and community structure of fishes brought about by industrial fishing need to be considered when evaluating patterns that have emerged in Southern Ocean ecosystems in the course of the 20th century. As a first step towards a modelling approach to include fish in krill-based food-web models, it is suggested to incorporate data on Champsocephalus gunnari from the western Atlantic sector and Dissostichus mawsoni from the Ross Sea into modelling approaches within the CCAMLR Ecosystem Monitoring Program. Both species are important predators of krill (C. gunnari) and fish (D. mawsoni) in turn form key prey for top predators in each region.</t>
  </si>
  <si>
    <t>[Kock, K. -H.] Johann Heinrich von Thunen Inst, Inst Seefischerei, D-22767 Hamburg, Germany; [Barrera-Oro, E.] Minist Relac Exteriores Comercio Int &amp; Culto, Direcc Nacl Antartico, Buenos Aires, DF, Argentina; [Belchier, M.] British Antarctic Survey, Cambridge CB3 0ET, England; [Duhamel, G.] Museum Natl Hist Nat, F-75231 Paris 05, France; [Hanchet, S.] Natl Inst Water &amp; Atmospher Res NIWA Ltd, Nelson, New Zealand; [Pshenichnov, L.] YugNIRO, UA-98300 Kerch, Ukraine; [Welsford, D.; Williams, R.] Australian Antarctic Div, Dept Sustainabil Environm Water Populat &amp; Communi, Kingston, Tas 7050, Australia</t>
  </si>
  <si>
    <t>Johann Heinrich von Thunen Institute; UK Research &amp; Innovation (UKRI); Natural Environment Research Council (NERC); NERC British Antarctic Survey; Museum National d'Histoire Naturelle (MNHN); National Institute of Water &amp; Atmospheric Research (NIWA) - New Zealand; Research lnstitute of Fisheries &amp; Oceanography; Australian Antarctic Division</t>
  </si>
  <si>
    <t>Kock, KH (corresponding author), Johann Heinrich von Thunen Inst, Inst Seefischerei, Palmaille 9, D-22767 Hamburg, Germany.</t>
  </si>
  <si>
    <t>karl-hermann.kock@ti.bund.de</t>
  </si>
  <si>
    <t>, Martin/ABE-6728-2020; Collins, Martin A/J-8560-2017</t>
  </si>
  <si>
    <t>, Martin/0000-0001-7132-8650; Welsford, Dirk/0000-0001-5379-5052</t>
  </si>
  <si>
    <t>Natural Environment Research Council [bas0100025] Funding Source: researchfish</t>
  </si>
  <si>
    <t>WOS:000318781400006</t>
  </si>
  <si>
    <t>Atkinson, A; Ward, P; Hunt, BPV; Pakhomov, EA; Hosie, GW</t>
  </si>
  <si>
    <t>Atkinson, A.; Ward, P.; Hunt, B. P. V.; Pakhomov, E. A.; Hosie, G. W.</t>
  </si>
  <si>
    <t>AN OVERVIEW OF SOUTHERN OCEAN ZOOPLANKTON DATA: ABUNDANCE, BIOMASS, FEEDING AND FUNCTIONAL RELATIONSHIPS</t>
  </si>
  <si>
    <t>KRILL EUPHAUSIA-SUPERBA; PRINCE-EDWARD-ISLANDS; MARGINAL ICE-ZONE; CONTINUOUS PLANKTON RECORDER; CALANOIDES-ACUTUS COPEPODA; TUNICATE SALPA-THOMPSONI; EASTERN ATLANTIC SECTOR; DIEL VERTICAL MIGRATION; MESOZOOPLANKTON COMMUNITY STRUCTURE; METRIDIA-GERLACHEI GIESBRECHT</t>
  </si>
  <si>
    <t>There is an enormous amount of data on Southern Ocean (SO) zooplankton, mostly on their distribution with a minority addressing rate processes. This review aims to summarise these data and show where it resides, to assist SO food-web modellers or those with limited specialist knowledge of SO zooplankton. First, a brief overview is provided of the diversity and basic biology of SO zooplankton, with an emphasis on abundance, distribution and feeding. Second, advice is provided on the uses, strengths and limitations of zooplankton data as inputs to SO data compilations or food-web models. Copepods overall comprise &gt;75% of the SO zooplankton biomass (excluding Euphausia superba). Total mesozooplankton biomass density differs little between the Antarctic sectors, but latitudinally it is maximal in the Polar Frontal Zone and declines to the north and south. Those compiling data on numerical density (no. m(-2) or no. m(-3)) need to allow for differences in the extent of identification of early larval stages. Likewise, the time of year, depth of sampling and mesh size of sampler greatly influence the recorded abundance, since the populations can make seasonal vertical migrations and their pulsed reproduction causes great seasonal changes in size structure and abundance. Other issues are specific to polar environments, for example, lipid storage which leads to significantly different length-mass and mass-rate relationships than are reported in global literature compilations. Likewise, stenothermy (narrow temperature tolerance) means that fixed (Q(10)-type) temperature relationships based on global literature compilations must be applied with great caution in SO-specific studies. Protozoa/micrometazoa (&lt;200 mu m) are the main grazers in the SO, since mesozooplankton typically remove &lt;30% of primary production. This emphasises the dominant role of microbial food chains involving small metazoans, relative to the classic short diatom-krill-whale type food chains. Even within regions of abundant krill, copepod production in summer roughly triples that of postlarval E. superba. This fact reflects a large flow of energy through multiple trophic levels, via copepods and their major invertebrate predators such as other predatory copepods, chaetognaths, small omnivorous euphausiids, amphipods up to myctophid fish and birds.</t>
  </si>
  <si>
    <t>[Atkinson, A.; Ward, P.] British Antarctic Survey, Nat Environm Res Council, Cambridge CB3 0ET, England; [Hunt, B. P. V.; Pakhomov, E. A.] Univ British Columbia, Dept Earth &amp; Ocean Sci, Vancouver, BC V6T 1Z4, Canada; [Hosie, G. W.] Australian Antarctic Div, Dept Sustainabil Environm Water Populat &amp; Communi, Kingston, Tas 7050, Australia</t>
  </si>
  <si>
    <t>UK Research &amp; Innovation (UKRI); Natural Environment Research Council (NERC); NERC British Antarctic Survey; University of British Columbia; Australian Antarctic Division</t>
  </si>
  <si>
    <t>Atkinson, A (corresponding author), Plymouth Marine Lab, Prospect Pl, Plymouth PL1 3DH, Devon, England.</t>
  </si>
  <si>
    <t>aat@pml.ac.uk</t>
  </si>
  <si>
    <t>Atkinson, Angus/HOH-3417-2023</t>
  </si>
  <si>
    <t>WOS:000318781400007</t>
  </si>
  <si>
    <t>Strutton, PG; Lovenduski, NS; Mongin, M; Matear, R</t>
  </si>
  <si>
    <t>Strutton, P. G.; Lovenduski, N. S.; Mongin, M.; Matear, R.</t>
  </si>
  <si>
    <t>QUANTIFICATION OF SOUTHERN OCEAN PHYTOPLANKTON BIOMASS AND PRIMARY PRODUCTIVITY VIA SATELLITE OBSERVATIONS AND BIOGEOCHEMICAL MODELS</t>
  </si>
  <si>
    <t>EAST ANTARCTICA 80-150-DEGREES-E; NATURAL IRON FERTILIZATION; COMMUNITY STRUCTURE; ECOSYSTEM STRUCTURE; SHELF WATERS; CARBON; CHLOROPHYLL; LIGHT; VARIABILITY; BLOOMS</t>
  </si>
  <si>
    <t>This paper reviews Southern Ocean primary productivity within the framework of satellite remote sensing and the development of food-web models. The satellite ocean colour (chlorophyll) data record is described, from the Coastal Zone Colour Scanner (CZCS) in the late 1970s through to the Ocean Colour and Temperature Scanner (OCTS), the Sea-viewing, Wide Field of view Sensor (SeaWiFS), the Moderate Resolution Imaging Spectroradiometer (MODIS) and the Medium Resolution Imaging Spectrometer (MERIS). The characteristics of these data and limitations, such as cloud cover and high solar zenith angle, are discussed with regard to their use in the Southern Ocean. A brief history of algorithms linking ocean colour to primary productivity is presented, focusing on the vertically generalised production model (VGPM) and more recent regional approaches. Using monthly climatologies of SeaWiFS chlorophyll, a phenology of phytoplankton blooms is presented for the major provinces surrounding Antarctica. Some of the published information regarding phytoplankton species composition and succession is summarised. A review of ecosystem and biogeochemical models for the Southern Ocean is presented, with a focus on those models that have been validated using satellite ocean colour data.</t>
  </si>
  <si>
    <t>[Strutton, P. G.] Univ Tasmania, Inst Marine &amp; Antarctic Studies, Hobart, Tas 7001, Australia; [Lovenduski, N. S.] Univ Colorado, Dept Atmospher &amp; Ocean Sci, Boulder, CO 80309 USA; [Mongin, M.; Matear, R.] CSIRO Marine &amp; Atmospher Res, Hobart, Tas 7001, Australia</t>
  </si>
  <si>
    <t>University of Tasmania; University of Colorado System; University of Colorado Boulder; Commonwealth Scientific &amp; Industrial Research Organisation (CSIRO)</t>
  </si>
  <si>
    <t>Strutton, PG (corresponding author), Univ Tasmania, Inst Marine &amp; Antarctic Studies, Private Bag 129, Hobart, Tas 7001, Australia.</t>
  </si>
  <si>
    <t>peter.strutton@utas.edu.au</t>
  </si>
  <si>
    <t>Lovenduski, Nicole/V-4014-2019; mongin, mathieu/G-4169-2015; Strutton, Peter/C-4466-2011; matear, richard/C-5133-2011</t>
  </si>
  <si>
    <t>Lovenduski, Nicole/0000-0001-5893-1009; mongin, mathieu/0000-0001-9647-0530; Strutton, Peter/0000-0002-2395-9471; matear, richard/0000-0002-3225-0800</t>
  </si>
  <si>
    <t>Australian Research Council; Centre of Excellence for Climate System Science; NSF [OCE-1155240]; NOAA [NA08OAR4320893]; CSIRO Wealth from Ocean Flagship; Australian Commonwealth Cooperative Research Centres Program; Division Of Ocean Sciences; Directorate For Geosciences [1155240] Funding Source: National Science Foundation</t>
  </si>
  <si>
    <t>Australian Research Council(Australian Research Council); Centre of Excellence for Climate System Science; NSF(National Science Foundation (NSF)); NOAA(National Oceanic Atmospheric Admin (NOAA) - USA); CSIRO Wealth from Ocean Flagship; Australian Commonwealth Cooperative Research Centres Program(Australian GovernmentDepartment of Industry, Innovation and ScienceCooperative Research Centres (CRC) Programme); Division Of Ocean Sciences; Directorate For Geosciences(National Science Foundation (NSF)NSF - Directorate for Geosciences (GEO))</t>
  </si>
  <si>
    <t>P. Strutton acknowledges support from the Australian Research Council Future Fellowship program and the Centre of Excellence for Climate System Science. N. Lovenduski is grateful for support from NSF (OCE-1155240) and NOAA (NA08OAR4320893). M. Mongin and R. Matear were supported by the CSIRO Wealth from Ocean Flagship and the Australian Commonwealth Cooperative Research Centres Program.</t>
  </si>
  <si>
    <t>WOS:000318781400009</t>
  </si>
  <si>
    <t>Svábenická, L; Vodrázka, R; Nyvlt, D</t>
  </si>
  <si>
    <t>Svabenicka, Lilian; Vodrazka, Radek; Nyvlt, Daniel</t>
  </si>
  <si>
    <t>Calcareous nannofossils from the Upper Cretaceous of northern James Ross Island, Antarctica: a pilot study</t>
  </si>
  <si>
    <t>GEOLOGICAL QUARTERLY</t>
  </si>
  <si>
    <t>Antarctica; James Ross Island; Upper Cretaceous; calcareous nannofossils; biostratigraphy</t>
  </si>
  <si>
    <t>GUSTAV-GROUP; STRATIGRAPHY; BASIN; PALYNOLOGY; CONIACIAN; AREA</t>
  </si>
  <si>
    <t>The Czech scientific expedition to northern James Ross Island, Antarctica has tested the use of calcareous nannofossils as a possible tool for stratigraphic correlation of Cretaceous and Neogene strata. Only a few samples with poor nannofossil content gave useful information for biostratigraphy. The Lower Campanian Chiastozygus garrisonii Zone and Gephyrobiscutum diabolunz Subzone, respectively, was established in the lower part of the Santa Marta Formation, Lachman Crags Member, from the common occurrence of Gephyrobiscutum diabolum associated with Broinsonia parca parca and Acuturris scotus. Deposits of the Late Miocene Mendel Formation yielded exclusively reworked nannofossils from the older Upper Cretaceous deposits. Nannofossils indicate at least two distinct stratigraphic levels: Middle Coniacian and Santonian-basal Campanian, and these must have been sourced from the immediate area. The majority of the marine deposit samples studied were barren of nannofossils, probably due to late diagenetic secondary decalcification. Lilian svabenicka and Radek Vodrazka, Czech Geological Survey, Klarov 131/3, 118 21 Praha, Czech Republic, e-mails: lilian.svabenicka@geology.cz, radek.vodrazka@geology.cz; Daniel Nyvlt, Czech Geological Survey, Brno Branch, Leitnerova 22, 658 69 Brno, Czech Republic, e-mail: daniel.nyvlt@geology.cz (received: April 25, 2012; accepted: June 13, 2012; first published online: September 27, 2012).</t>
  </si>
  <si>
    <t>[Svabenicka, Lilian; Vodrazka, Radek] Czech Geol Survey, Prague 11821, Czech Republic; [Nyvlt, Daniel] Czech Geol Survey, Brno Branch, Brno 65869, Czech Republic</t>
  </si>
  <si>
    <t>Czech Geological Survey; Czech Geological Survey</t>
  </si>
  <si>
    <t>Svábenická, L (corresponding author), Czech Geol Survey, Klarov 131-3, Prague 11821, Czech Republic.</t>
  </si>
  <si>
    <t>lilian.svabenicka@geology.cz; radek.vodrazka@geology.cz; daniel.nyvlt@geology.cz</t>
  </si>
  <si>
    <t>Vodrazka, Radek/I-8801-2014; Nyvlt, Daniel/J-6504-2019</t>
  </si>
  <si>
    <t>Nyvlt, Daniel/0000-0002-6876-490X</t>
  </si>
  <si>
    <t>Ministry of Environment of the Czech Republic [SPII 1a9123/07]; project of the Czech Geological Survey [335400]; Research Programme of the Czech Geological Survey [MZP 0002579801]</t>
  </si>
  <si>
    <t>Ministry of Environment of the Czech Republic; project of the Czech Geological Survey; Research Programme of the Czech Geological Survey</t>
  </si>
  <si>
    <t>The work of D. Nyvlt and R. Vodrazka were supported by Research and Development Project of the Ministry of Environment of the Czech Republic No. SPII 1a9123/07 and by the project of the Czech Geological Survey No. 335400. Nannofossil study was supported by the Research Programme of the Czech Geological Survey No. MZP 0002579801. Thanks go also to scientific infrastructure of the Johann Gregor Mendel Czech Antarctic station. Suggestions and comments of M. Wagreich, University of Vienna, T. Peryt, Polish Geological Institute National Research Institute, Warszawa, and an anonymous referee helped to improve the manuscript.</t>
  </si>
  <si>
    <t>POLISH GEOLOGICAL INST</t>
  </si>
  <si>
    <t>RAKOWIECKA 4, BLDG A, ROOM 434, PL-00-975 WARSAW, POLAND</t>
  </si>
  <si>
    <t>1641-7291</t>
  </si>
  <si>
    <t>2082-5099</t>
  </si>
  <si>
    <t>GEOL Q</t>
  </si>
  <si>
    <t>Geol. Q.</t>
  </si>
  <si>
    <t>10.7306/gq.1053</t>
  </si>
  <si>
    <t>128UD</t>
  </si>
  <si>
    <t>WOS:000317794300012</t>
  </si>
  <si>
    <t>Hanson, K; Robson, C</t>
  </si>
  <si>
    <t>Hanson, Kael; Robson, Clyde</t>
  </si>
  <si>
    <t>Extending the IceCube DAQ System by Integration of the Generic High-Speed Sorter Module TESS</t>
  </si>
  <si>
    <t>2012 18TH IEEE-NPSS REAL TIME CONFERENCE (RT)</t>
  </si>
  <si>
    <t>18th IEEE-NPSS Real Time Conference (RT)</t>
  </si>
  <si>
    <t>JUN 09-15, 2012</t>
  </si>
  <si>
    <t>Univ Calif, U S Dept Energy, Lawrence Berkeley Natl Lab (Berkelly Lab), Berkeley, CA</t>
  </si>
  <si>
    <t>Univ Calif, U S Dept Energy, Lawrence Berkeley Natl Lab (Berkelly Lab)</t>
  </si>
  <si>
    <t>icecube; daq; data acquisition; tess; track engine; distributed systems; trigger; sorting; high speed processing; parallel architectures</t>
  </si>
  <si>
    <t>In the extreme environment of Antarctica at the South Pole, the IceCube experiment, the world's first kilometer-scale neutrino telescope, collects cosmic ray events. IceCube consists of over 5000 digital optical sensor modules (DOMs) deployed on 86 instrumentation lines each extending 2.5 km deep in the antarctic ice. The array of optical modules monitors the Cherenkov light emitted by passing radiation, which, when digitized and timestamped to nanosecond precision, is used as input to sophisticated reconstruction algorithms that determine the direction, energy, and type of the incident cosmic ray event. In order to achieve this goal, the IceCube data acquisition system merges the digital data streams from each photodetector into a single time-ordered list which is presented to online triggers that determine, in realtime, whether or not a given pattern of hits is noise or signal. At the present time, the data provided to the triggers is limited by the performance of sorting and merging algorithms: the 500 Hz raw data rate from each sensor (2.5 MHz array aggregate rate) is beyond the capability of the central sort and merge. The current solution adopted by the IceCube detector is to impose a hardware-based pre-trigger coincidence on hits emanating from the DOMs which reduces the rate by a factor of 20. While this pre-trigger coincidence has negligible impact on the detector sensitivity for the principal goal of high-energy neutrinos from galactic or extragalactic sources, other low-energy physics searches are affected. This presentation details work done to develop and implement a system, TESS, which is capable of merging the full raw data stream being produced by the IceCube DOMs. TESS is designed as a pipelined architecture with three major modules: server, selector and the client glued together by circular buffers. The three modules runs in only three threads and since the architecture is self synchronizing and uses no data copying maximum performance can be achieved for global sorting of payloads. The TESS sorting architecture was originally designed to provide a globally sorted data stream for triggers targeting low-energy events from annihilation of hypothesized dark-matter particles, however its utility is generalizable to any IceCube trigger which requires inspection of the full data stream. The IceCube online supernova detection system is a notable example. Moreover, the algorithm is generic to any system involving multiple, independently sorted data streams which must be merged into a single sorted data stream.</t>
  </si>
  <si>
    <t>[Hanson, Kael] Univ Libre Bruxelles, Serv Phys Particules Elementaires, Blvd Triomphe,CP 230, B-1050 Brussels, Belgium; [Robson, Clyde] Stockholm Univ Dept Phys, AlbaNova Univ Ctr, S-10691 Stockholm, Sweden</t>
  </si>
  <si>
    <t>Universite Libre de Bruxelles</t>
  </si>
  <si>
    <t>Hanson, K (corresponding author), Univ Libre Bruxelles, Serv Phys Particules Elementaires, Blvd Triomphe,CP 230, B-1050 Brussels, Belgium.</t>
  </si>
  <si>
    <t>khanson@ulb.ac.be; clyde@physto.se</t>
  </si>
  <si>
    <t>978-1-4673-1082-6; 978-1-4673-1083-3</t>
  </si>
  <si>
    <t>Computer Science, Hardware &amp; Architecture; Engineering, Electrical &amp; Electronic</t>
  </si>
  <si>
    <t>BEH30</t>
  </si>
  <si>
    <t>WOS:000316572100075</t>
  </si>
  <si>
    <t>Nishimura, K; Andrew, M; Cao, Z; Cooney, M; Gorham, P; Macchiarulo, L; Ritter, L; Romero-Wolf, A; Varner, G</t>
  </si>
  <si>
    <t>Nishimura, Kurtis; Andrew, Matthew; Cao, Zhe; Cooney, Michael; Gorham, Peter; Macchiarulo, Luca; Ritter, Lisa; Romero-Wolf, Andres; Varner, Gary</t>
  </si>
  <si>
    <t>A Low-resolution, Gigasample-per-second Streaming Digitizer for a Correlation-based Trigger System</t>
  </si>
  <si>
    <t>Searches for radio signatures of ultra-high energy neutrinos and cosmic rays could benefit from improved detection efficiency by using real-time beamforming or correlation triggering. For missions with power limitations, such as the ANITA-3 Antarctic balloon experiment, full speed high resolution digitization of incoming signals is not practical at the trigger level. To this end, the University of Hawaii has developed the Realtime Independent Three-bit Converter (RITC), a 3-channel, 3-bit, streaming analog-to-digital converter implemented in the IBM 0.13 mu m CMOS process. RITC is primarily designed to digitize broadband radio signals produced by the Askaryan effect, and thus targets an analog bandwidth of &gt; 1 GHz, with a sample-and-hold architecture capable of storing up to 2.6 gigasamples-per-second. An array of flash analog-to-digital converters perform 3-bit conversion of sets of stored samples while acquisition continues elsewhere in the sampling array. A serial interface is provided to access an array of on-chip digital-to-analog converters that control the digitization thresholds for each channel as well as the overall sampling rate. Demultiplexed conversion outputs are read out simultaneously for each channel via a set of 36 LVDS links, each running at 650 Mb/s. We briefly describe the design architecture of RITC, and report preliminary results of performance characterization, including prospects for the use of this architecture as the analog half of a novel triggering system for the ANITA-3 ultra-high energy neutrino experiment.</t>
  </si>
  <si>
    <t>[Nishimura, Kurtis; Andrew, Matthew; Cao, Zhe; Cooney, Michael; Gorham, Peter; Macchiarulo, Luca; Ritter, Lisa; Varner, Gary] Univ Hawaii Manoa, Honolulu, HI 96822 USA; [Romero-Wolf, Andres] Jet Prop Lab, Pasadena, CA 91109 USA</t>
  </si>
  <si>
    <t>University of Hawaii System; University of Hawaii Manoa; National Aeronautics &amp; Space Administration (NASA); NASA Jet Propulsion Laboratory (JPL)</t>
  </si>
  <si>
    <t>Nishimura, K (corresponding author), Univ Hawaii Manoa, Honolulu, HI 96822 USA.</t>
  </si>
  <si>
    <t>kur-tisn@phys.hawaii.edu</t>
  </si>
  <si>
    <t>Gorham, Peter/0000-0002-0923-9363; Nishimura, Kurtis/0000-0001-8818-8922; Macchiarulo, Luca/0009-0004-1141-0344</t>
  </si>
  <si>
    <t>WOS:000316572100071</t>
  </si>
  <si>
    <t>Glasberg, E</t>
  </si>
  <si>
    <t>Glasberg, Elena</t>
  </si>
  <si>
    <t>Antarctic Convergence: The Problem of Antarctic Mapping</t>
  </si>
  <si>
    <t>ANTARCTICA AS CULTURAL CRITIQUE: THE GENDERED POLITICS OF SCIENTIFIC EXPLORATION AND CLIMATE CHANGE</t>
  </si>
  <si>
    <t>Critical Studies in Gender Sexuality and Culture</t>
  </si>
  <si>
    <t>PALGRAVE</t>
  </si>
  <si>
    <t>BASINGSTOKE</t>
  </si>
  <si>
    <t>HOUNDMILLS, BASINGSTOKE RG21 6XS, ENGLAND</t>
  </si>
  <si>
    <t>978-1-137-01443-6; 978-0-230-11687-0</t>
  </si>
  <si>
    <t>CRIT STUD GENDER SEX</t>
  </si>
  <si>
    <t>10.1057/9781137014436</t>
  </si>
  <si>
    <t>Cultural Studies; Women's Studies</t>
  </si>
  <si>
    <t>Book Citation Index – Social Sciences &amp; Humanities (BKCI-SSH)</t>
  </si>
  <si>
    <t>BEJ17</t>
  </si>
  <si>
    <t>WOS:000316851300002</t>
  </si>
  <si>
    <t>Volchkov, A; Malyshev, V; Lutsko, L</t>
  </si>
  <si>
    <t>Matvienko, GG; Kurkin, VI; Romanovskii, OA</t>
  </si>
  <si>
    <t>Volchkov, A.; Malyshev, V.; Lutsko, L.</t>
  </si>
  <si>
    <t>Observations of solar radiation in atmosphere and ocean during 55th Russian Antarctic expedition on Academic Fyodorov research vessel</t>
  </si>
  <si>
    <t>EIGHTEENTH INTERNATIONAL SYMPOSIUM ON ATMOSPHERIC AND OCEAN OPTICS/ATMOSPHERIC PHYSICS</t>
  </si>
  <si>
    <t>Proceedings of SPIE</t>
  </si>
  <si>
    <t>18th International Symposium on Atmospheric and Ocean Optics/Atmospheric Physics</t>
  </si>
  <si>
    <t>JUL 02-06, 2012</t>
  </si>
  <si>
    <t>Irkutsk, RUSSIA</t>
  </si>
  <si>
    <t>actinometry; the 55th Russian Antarctic expedition; MF-19 solar radiometry station; solar radiation</t>
  </si>
  <si>
    <t>Observation results of various types of solar radiation by means of various types of solar sensors are reported. The observations were made during the whole route of the vessel, i.e., in the Atlantic and Indian Oceans, in Cape Town port and Progress-2 Russian Antarctic station. Radiation balance data were retrieved and processed by MF-19 solar radiometry station.</t>
  </si>
  <si>
    <t>[Volchkov, A.; Malyshev, V.] Res &amp; Prod Assoc Typhoon, Obninsk, Russia</t>
  </si>
  <si>
    <t>Volchkov, A (corresponding author), Res &amp; Prod Assoc Typhoon, 4 Pobedy Str, Obninsk, Russia.</t>
  </si>
  <si>
    <t>SPIE-INT SOC OPTICAL ENGINEERING</t>
  </si>
  <si>
    <t>BELLINGHAM</t>
  </si>
  <si>
    <t>1000 20TH ST, PO BOX 10, BELLINGHAM, WA 98227-0010 USA</t>
  </si>
  <si>
    <t>0277-786X</t>
  </si>
  <si>
    <t>1996-756X</t>
  </si>
  <si>
    <t>978-0-8194-9480-1</t>
  </si>
  <si>
    <t>PROC SPIE</t>
  </si>
  <si>
    <t>10.1117/12.2008441</t>
  </si>
  <si>
    <t>Meteorology &amp; Atmospheric Sciences; Optics</t>
  </si>
  <si>
    <t>BEI29</t>
  </si>
  <si>
    <t>WOS:000316691600002</t>
  </si>
  <si>
    <t>Sugita, T; Kasai, Y; Terao, Y; Hayashida, S; Manney, GL; Daffer, WH; Sagawa, H; Suzuki, M; Shiotani, M</t>
  </si>
  <si>
    <t>Hayasaka, T; Nakamura, K; Im, E</t>
  </si>
  <si>
    <t>Sugita, T.; Kasai, Y.; Terao, Y.; Hayashida, S.; Manney, G. L.; Daffer, W. H.; Sagawa, H.; Suzuki, M.; Shiotani, M.</t>
  </si>
  <si>
    <t>HCl/Cly ratios just before the breakup of the Antarctic vortex as observed by SMILES/MLS/ACE-FTS</t>
  </si>
  <si>
    <t>REMOTE SENSING OF THE ATMOSPHERE, CLOUDS, AND PRECIPITATION IV</t>
  </si>
  <si>
    <t>Conference on Remote Sensing of the Atmosphere, Clouds, and Precipitation IV</t>
  </si>
  <si>
    <t>OCT 29-31, 2012</t>
  </si>
  <si>
    <t>Kyoto, JAPAN</t>
  </si>
  <si>
    <t>SMILES; JEM; ISS; MLS; ACE-FTS; HCl; ClO; Cly; polar vortex</t>
  </si>
  <si>
    <t>POLAR VORTEX; CHLORINE; HCL; ALGORITHMS; TRANSPORT; MCMURDO</t>
  </si>
  <si>
    <t>The International Space Station/Japanese Exposure Module (ISS/JEM) borne instrument, the Superconducting Submillimeter-Wave Limb-Emission Sounder (SMILES), has successfully measured chemical species in the middle atmosphere between October 2009 and April 2010. We focus on inorganic chlorine species measured inside the late spring Antarctic vortex, when hydrogen chloride (HCl) was a main component of the total inorganic chlorine (Cly). Comparisons with other satellite instruments, the Aura Microwave Limb Sounder (MLS) and Atmospheric Chemistry Experiment Fourier transform spectrometer (ACE-FTS), are also presented to show the SMILES HCl and chlorine monoxide (ClO) data quality.</t>
  </si>
  <si>
    <t>[Sugita, T.; Terao, Y.] Natl Inst Environm Studies, 16-2 Onogawa, Tsukuba, Ibaraki 3058506, Japan; [Kasai, Y.; Sagawa, H.] Natl Inst Informat &amp; Commun Technol, Koganei, Tokyo 1848795, Japan; [Hayashida, S.] Nara Womens Univ, Nara 6308506, Japan; [Manney, G. L.] North West Res Assoc Inc, Socorro, NM USA; [Manney, G. L.] New Mexico Inst Min &amp; Technol, Socorro, NM USA; [Daffer, W. H.] CALTECH, Jet Propuls Lab, Pasadena, CA 91125 USA; [Suzuki, M.] Japan Aersp Explorat Agcy, Inst Space &amp; Astronaut Sci, Sagamihara, Kanagawa 2525210, Japan; [Shiotani, M.] Kyoto Univ, Res Inst Sustainable Humanosphere, Uji, Kyoto 611011, Japan</t>
  </si>
  <si>
    <t>National Institute for Environmental Studies - Japan; National Institute of Information &amp; Communications Technology (NICT) - Japan; Nara Womens University; New Mexico Institute of Mining Technology; National Aeronautics &amp; Space Administration (NASA); NASA Jet Propulsion Laboratory (JPL); California Institute of Technology; Japan Aerospace Exploration Agency (JAXA); Institute of Space &amp; Astronautical Science (ISAS); Kyoto University</t>
  </si>
  <si>
    <t>Sugita, T (corresponding author), Natl Inst Environm Studies, 16-2 Onogawa, Tsukuba, Ibaraki 3058506, Japan.</t>
  </si>
  <si>
    <t>tsugita@nies.go.jp</t>
  </si>
  <si>
    <t>Sugita, Takafumi/H-6669-2018; Shiotani, Masato/M-8498-2017; Daffer, William/AGV-1399-2022; KASAI, Yasuko/Q-3103-2018; Manney, Gloria/JED-7207-2023; Terao, Yukio/A-2099-2008</t>
  </si>
  <si>
    <t>Sugita, Takafumi/0000-0002-0508-7040; Terao, Yukio/0000-0003-2345-7073</t>
  </si>
  <si>
    <t>Japan Aerospace Exploration Agency ( JAXA); National Institute of Information and Communications Technology ( NICT); Canadian Space Agency ( CSA); Natural Sciences and Engineering Research Council ( NSERC) of Canada; NICT Science Cloud; JEM/ SMILES Research Announcement</t>
  </si>
  <si>
    <t>Japan Aerospace Exploration Agency ( JAXA); National Institute of Information and Communications Technology ( NICT); Canadian Space Agency ( CSA)(Canadian Space Agency); Natural Sciences and Engineering Research Council ( NSERC) of Canada(Natural Sciences and Engineering Research Council of Canada (NSERC)); NICT Science Cloud; JEM/ SMILES Research Announcement</t>
  </si>
  <si>
    <t>The JEM/ SMILES mission is a joint project of the Japan Aerospace Exploration Agency ( JAXA) and the National Institute of Information and Communications Technology ( NICT). We thank the JEM/ SMILES mission team and the related members before. Work at the Jet Propulsion Laboratory ( JPL), California Institute of Technology was done under contract with the National Aeronautics and Space Administration ( NASA). The Atmospheric Chemistry Experiment ( ACE), also known as SCISAT- 1 is a Canadian- led mission mainly supported by the Canadian Space Agency ( CSA) and the Natural Sciences and Engineering Research Council ( NSERC) of Canada. For version 3 data of ACE- FTS, we thank the ACE team ( Peter Bernath, Kaley A. Walker, Chris Boone and Sean D. McLeod) for providing them to us. This work was partly done by using resources of the OneSpaceNet in the NICT Science Cloud. This work was performed as one of approved themes under the JEM/ SMILES Research Announcement.</t>
  </si>
  <si>
    <t>978-0-8194-9262-3</t>
  </si>
  <si>
    <t>85231K</t>
  </si>
  <si>
    <t>10.1117/12.975667</t>
  </si>
  <si>
    <t>Meteorology &amp; Atmospheric Sciences; Remote Sensing; Optics</t>
  </si>
  <si>
    <t>BEI03</t>
  </si>
  <si>
    <t>WOS:000316661900028</t>
  </si>
  <si>
    <t>McGrath, D; Steffen, K; Scambos, T; Rajaram, H; Casassa, G; Lagos, JLR</t>
  </si>
  <si>
    <t>McGrath, Daniel; Steffen, Konrad; Scambos, Ted; Rajaram, Harihar; Casassa, Gino; Rodriguez Lagos, Jose Luis</t>
  </si>
  <si>
    <t>Basal crevasses and associated surface crevassing on the Larsen C ice shelf, Antarctica, and their role in ice-shelf instability</t>
  </si>
  <si>
    <t>ANNALS OF GLACIOLOGY</t>
  </si>
  <si>
    <t>FRACTURE-MECHANICS APPROACH; BOTTOM CREVASSES; WEDDELL SEA; MARINE ICE; BREAK-UP; PENINSULA; STABILITY; SHEET; PENETRATION; GLACIERS</t>
  </si>
  <si>
    <t>We identify a series of basal crevasses along a 31 km transect across the northern sector of the Larsen C ice shelf, Antarctica, using in situ ground-penetrating radar. The basal crevasses propagate from a region of multiple, shallow basal fractures to form widely spaced (0.5-2.0 km) but deeply incised (70-134 m) features. Surface troughs, observed in visible imagery, exist above the basal crevasses as the ice vertically shears to reach hydrostatic equilibrium, while widespread surface crevassing occurs along the crests and on the flanks of the undulations, primarily aligned with the topography. We suggest, based on the location of the surface crevasses and the along-flow evolution of the basal crevasses, that the former are induced by a bending stress created by gradients in hydrostatic forces. Using a linear elastic fracture mechanics model, we investigate the sensitivity of basal crevasse propagation to observed trends of ice-shelf thinning and acceleration. Basal crevasses are large-scale structural weaknesses that can both control meltwater ponding and induce surface crevassing. Together, these features may represent an important mechanism in both past and future ice-shelf disintegration events on the Antarctic Peninsula.</t>
  </si>
  <si>
    <t>[McGrath, Daniel; Steffen, Konrad] Univ Colorado, CIRES, Boulder, CO 80309 USA; [Scambos, Ted] Univ Colorado, CIRES, NSIDC, Boulder, CO 80309 USA; [Rajaram, Harihar] Univ Colorado, Dept Civil Engn, Boulder, CO 80309 USA; [Casassa, Gino; Rodriguez Lagos, Jose Luis] Ctr Estudios Cient, Valdivia, Chile</t>
  </si>
  <si>
    <t>University of Colorado System; University of Colorado Boulder; University of Colorado System; University of Colorado Boulder; University of Colorado System; University of Colorado Boulder</t>
  </si>
  <si>
    <t>McGrath, D (corresponding author), Univ Colorado, CIRES, Boulder, CO 80309 USA.</t>
  </si>
  <si>
    <t>daniel.mcgrath@colorado.edu</t>
  </si>
  <si>
    <t>Steffen, Konrad/C-6027-2013; Scambos, Ted A/B-1856-2009; Casassa, Gino/AAX-6142-2020</t>
  </si>
  <si>
    <t>SCAMBOS, Ted A./0000-0003-4268-6322; MCGRATH, DANIEL/0000-0002-9462-6842</t>
  </si>
  <si>
    <t>US National Science Foundation (NSF) Office of Polar Programs (OPP) [0732946]; Polar Geospatial Center under NSF OPP [ANT-1043681]; Directorate For Geosciences; Division Of Polar Programs [0732946] Funding Source: National Science Foundation</t>
  </si>
  <si>
    <t>US National Science Foundation (NSF) Office of Polar Programs (OPP)(National Science Foundation (NSF)); Polar Geospatial Center under NSF OPP; Directorate For Geosciences; Division Of Polar Programs(National Science Foundation (NSF)NSF - Directorate for Geosciences (GEO))</t>
  </si>
  <si>
    <t>This work is funded by US National Science Foundation (NSF) Office of Polar Programs (OPP) research grant 0732946. The British Antarctic Survey provided exceptional field support, without which this work would not have been possible. M. van den Broeke provided the firn correction and E. Rignot provided InSAR-derived surface velocities. Geospatial support for this work was supported by the Polar Geospatial Center under NSF OPP agreement ANT-1043681. We thank three anonymous reviewers and the scientific editor, Adrian Jenkins, who provided constructive feedback that substantially improved the paper.</t>
  </si>
  <si>
    <t>INT GLACIOL SOC</t>
  </si>
  <si>
    <t>LENSFIELD RD, CAMBRIDGE CB2 1ER, ENGLAND</t>
  </si>
  <si>
    <t>0260-3055</t>
  </si>
  <si>
    <t>ANN GLACIOL</t>
  </si>
  <si>
    <t>Ann. Glaciol.</t>
  </si>
  <si>
    <t>10.3189/2012AoG60A005</t>
  </si>
  <si>
    <t>095BU</t>
  </si>
  <si>
    <t>WOS:000315310300003</t>
  </si>
  <si>
    <t>Determann, J; Thoma, M; Grosfeld, K; Massmann, S</t>
  </si>
  <si>
    <t>Determann, Juergen; Thoma, Malte; Grosfeld, Klaus; Massmann, Sylvia</t>
  </si>
  <si>
    <t>Impact of ice-shelf basal melting on inland ice-sheet thickness: a model study</t>
  </si>
  <si>
    <t>PINE ISLAND GLACIER; SUBGLACIAL LAKES; WEDDELL SEA; OCEAN; CIRCULATION; ANTARCTICA; WATER; FLOW</t>
  </si>
  <si>
    <t>Ice flow from the ice sheets to the ocean contains the maximum potential contributing to future eustatic sea-level rise. In Antarctica most mass fluxes occur via the extended ice-shelf regions covering more than half the Antarctic coastline. The most extended ice shelves are the Filchner-Ronne and Ross Ice Shelves, which contribute similar to 30% to the total mass loss caused by basal melting. Basal melt rates here show small to moderate average amplitudes of &lt;0.5 m a(-1). By comparison, the smaller but most vulnerable ice shelves in the Amundsen and Bellinghausen Seas show much higher melt rates (up to 30 m a(-1)), but overall basal mass loss is comparably small due to the small size of the ice shelves. The pivotal question for both characteristic ice-shelf regions, however, is the impact of ocean melting, and, coevally, change in ice-shelf thickness, on the flow dynamics of the hinterland ice masses. In theory, ice-shelf back-pressure acts to stabilize the ice sheet, and thus the ice volume stored above sea level. We use the three-dimensional (3-D) thermomechanical ice-flow model RIMBAY to investigate the ice flow in a regularly shaped model domain, including ice-sheet, ice-shelf and open-ocean regions. By using melting scenarios for perturbation studies, we find a hysteresis-like behaviour. The experiments show that the system regains its initial state when perturbations are switched off. Average basal melt rates of up to 2 m a-1 as well as spatially variable melting calculated by our 3-D ocean model ROMBAX act as basal boundary conditions in time-dependent model studies. Changes in ice volume and grounding-line position are monitored after 1000 years of modelling and reveal mass losses of up to 40 Gt a(-1).</t>
  </si>
  <si>
    <t>[Determann, Juergen; Thoma, Malte; Grosfeld, Klaus] Alfred Wegener Inst Polar &amp; Marine Res, Bremerhaven, Germany; [Thoma, Malte] Bavarian Acad Sci, Commiss Glaciol, Munich, Germany; [Massmann, Sylvia] Fed Maritime &amp; Hydrog Agcy, Hamburg, Germany</t>
  </si>
  <si>
    <t>Determann, J (corresponding author), Alfred Wegener Inst Polar &amp; Marine Res, Bremerhaven, Germany.</t>
  </si>
  <si>
    <t>Juergen.Determann@awi.de</t>
  </si>
  <si>
    <t>Grosfeld, Klaus/0000-0001-5936-179X; Thoma, Malte/0000-0002-4033-3905</t>
  </si>
  <si>
    <t>ice2sea programme; European Union [226375]</t>
  </si>
  <si>
    <t>ice2sea programme; European Union(European Union (EU))</t>
  </si>
  <si>
    <t>This work was supported by the ice2sea programme, funded through the European Union 7th Framework Programme, grant No. 226375. This is ice2sea contribution No. 044. We gratefully acknowledge the two anonymous reviewers.</t>
  </si>
  <si>
    <t>1727-5644</t>
  </si>
  <si>
    <t>10.3189/2012AoG60A170</t>
  </si>
  <si>
    <t>WOS:000315310300018</t>
  </si>
  <si>
    <t>Moholdt, G; Heid, T; Benham, T; Dowdeswell, JA</t>
  </si>
  <si>
    <t>Moholdt, Geir; Heid, Torborg; Benham, Toby; Dowdeswell, Julian A.</t>
  </si>
  <si>
    <t>Dynamic instability of marine-terminating glacier basins of Academy of Sciences Ice Cap, Russian High Arctic</t>
  </si>
  <si>
    <t>SURGE-TYPE GLACIERS; INCREASED MASS-LOSS; SEVERNAYA-ZEMLYA; WEST ANTARCTICA; SATELLITE IMAGERY; ELEVATION CHANGES; SVALBARD; BALANCE; GREENLAND; SHEET</t>
  </si>
  <si>
    <t>Ice sheets and smaller ice caps appear to behave in dynamically similar ways; both contain slow-moving ice that is probably frozen to the bed, interspersed with fast-flowing ice streams and outlet glaciers that terminate into the ocean. Academy of Sciences Ice Cap (Akademii Nauk ice cap; 5570 km(2)), Severnaya Zemlya, Russian High Arctic, provides a clear example of this varied flow regime. We have combined satellite measurements of elevation change and surface velocity to show that variable ice-stream dynamics dominate the mass balance of the ice cap. Since 1988, the ice cap has lost 58 +/- 16 Gt of ice, corresponding to similar to 3% of its mass or 0.16 mm of sea-level rise. The climatic mass balance is estimated to be close to zero, and terminus positions have remained stable to within a few kilometers, implying that almost all mass loss has occurred through iceberg calving. The ice-cap calving rate increased from similar to 0.6 Gt a(-1) in 1995 to similar to 3.0 Gt a(-1) in 2000-02, but has recently decreased to similar to 1.4 Gt a(-1) due to a likely slowdown of the largest ice stream. Such highly variable calving rates have not been reported before from High Arctic ice caps, suggesting that these ice masses may be less stable than previously thought.</t>
  </si>
  <si>
    <t>[Moholdt, Geir; Heid, Torborg] Univ Oslo, Dept Geosci, Oslo, Norway; [Moholdt, Geir] Univ Calif San Diego, Scripps Inst Oceanog, Inst Geophys &amp; Planetary Phys, La Jolla, CA 92093 USA; [Benham, Toby; Dowdeswell, Julian A.] Univ Cambridge, Scott Polar Res Inst, Cambridge CB2 1ER, England</t>
  </si>
  <si>
    <t>University of Oslo; University of California System; University of California San Diego; Scripps Institution of Oceanography; University of Cambridge</t>
  </si>
  <si>
    <t>Moholdt, G (corresponding author), Univ Oslo, Dept Geosci, Oslo, Norway.</t>
  </si>
  <si>
    <t>gmoholdt@ucsd.edu</t>
  </si>
  <si>
    <t>Benham, Toby/0000-0003-2723-1880; Dowdeswell, Julian/0000-0003-1369-9482</t>
  </si>
  <si>
    <t>GLACIODYN project of the International Polar Year (IPY); ice2sea program from the European Union 7th Framework Programme [226375]; NASA Award [NNX09AE52G]; UK Natural Environment Research Council (NERC) [GR3/8508]; NASA [NNX09AE52G, 119939] Funding Source: Federal RePORTER</t>
  </si>
  <si>
    <t>GLACIODYN project of the International Polar Year (IPY); ice2sea program from the European Union 7th Framework Programme(European Union (EU)); NASA Award; UK Natural Environment Research Council (NERC)(UK Research &amp; Innovation (UKRI)Natural Environment Research Council (NERC)); NASA(National Aeronautics &amp; Space Administration (NASA))</t>
  </si>
  <si>
    <t>This study was supported by funding to the GLACIODYN project of the International Polar Year (IPY) and the ice2sea program from the European Union 7th Framework Programme, grant No. 226375, ice2sea contribution No. 019. G. Moholdt was also funded through NASA Award No. NNX09AE52G, 'ICESat-2 Science Definition Team: ICESat repeat-track analysis over regions of large, variable elevation change on the Antarctic and Greenland ice sheets'. RES work on the Russian Arctic islands was funded by UK Natural Environment Research Council (NERC) grant GR3/8508 to J. Dowdeswell in collaboration with A. Glazovsky and Y. Macheret (Institute of Geography, Russian Academy of Sciences, Moscow). R. Bassford worked on the initial RES data reduction. The US National Snow and Ice Data Center and the US Geological Survey are acknowledged for free access to ICESat and Landsat data. We also thank two anonymous reviewers for comments and suggestions that helped to improve the paper.</t>
  </si>
  <si>
    <t>10.3189/2012AoG60A117</t>
  </si>
  <si>
    <t>095BV</t>
  </si>
  <si>
    <t>WOS:000315310400008</t>
  </si>
  <si>
    <t>Sato, T; Greve, R</t>
  </si>
  <si>
    <t>Sato, Tatsuru; Greve, Ralf</t>
  </si>
  <si>
    <t>Sensitivity experiments for the Antarctic ice sheet with varied sub-ice-shelf melting rates</t>
  </si>
  <si>
    <t>PINE ISLAND GLACIER; DOME FUJI; MODEL; FLOW; CLIMATE; FLUX; GREENLAND; COLLAPSE</t>
  </si>
  <si>
    <t>Ice-sheet modelling is an important tool for predicting the possible response of ice sheets to climate change in the past and future. An established ice-sheet model is SICOPOLIS (Simulation COde for POLythermal Ice Sheets), and for this study the previously grounded-ice-only model was complemented by an ice-shelf module. The new version of SICOPOLIS is applied to the Antarctic ice sheet, driven by standard forcings defined by the SeaRISE (Sea-level Response to Ice Sheet Evolution) community effort. A crucial point for simulations into the future is to obtain reasonable initial conditions by a palaeoclimatic spin-up, which we carry out over 125 000 years from the Eemian until today. We then carry out a set of experiments for 500 years into the future, in which the surface temperature and precipitation are kept at their present-day distributions, while sub-ice-shelf melting rates between 0 and 200 m a(-1) are applied. These simulations show a significant, but not catastrophic, sensitivity of the ice sheet. Grounded-ice volumes decrease with increasing melting rates, and the spread of the results from the zero to the maximum melting case is similar to 0.65 m s.l.e. (metres sea-level equivalent) after 100 years and similar to 2.25 m s.l.e. after 500 years.</t>
  </si>
  <si>
    <t>[Sato, Tatsuru] Hokkaido Univ, Grad Sch Environm Sci, Sapporo, Hokkaido, Japan; [Sato, Tatsuru; Greve, Ralf] Hokkaido Univ, Inst Low Temp Sci, Sapporo, Hokkaido 060, Japan</t>
  </si>
  <si>
    <t>Hokkaido University; Hokkaido University</t>
  </si>
  <si>
    <t>Sato, T (corresponding author), Hokkaido Univ, Grad Sch Environm Sci, Sapporo, Hokkaido, Japan.</t>
  </si>
  <si>
    <t>tsato@lowtem.hokudai.ac.jp</t>
  </si>
  <si>
    <t>Greve, Ralf/G-2336-2010</t>
  </si>
  <si>
    <t>Greve, Ralf/0000-0002-1341-4777</t>
  </si>
  <si>
    <t>Japan Society for the Promotion of Science (JSPS) [22244058]; Grants-in-Aid for Scientific Research [22244058] Funding Source: KAKEN</t>
  </si>
  <si>
    <t>Japan Society for the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</si>
  <si>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R.A. Bindschadler, S. Nowicki and others for their efforts in the management of the SeaRISE project, J.V. Johnson and others for compiling and maintaining the SeaRISE datasets, A. Quiquet for information about the parameterization of sub-ice-shelf melting in the GRISLI model and D. Pollard for discussions about the grounding-line treatment. The comments of two anonymous reviewers and the scientific editor, D.M. Holland, helped considerably to improve the manuscript. This study was supported by a Grant-in-Aid for Scientific Research A (No. 22244058) from the Japan Society for the Promotion of Science (JSPS).</t>
  </si>
  <si>
    <t>10.3189/2012AoG60A042</t>
  </si>
  <si>
    <t>WOS:000315310400011</t>
  </si>
  <si>
    <t>Carter, SP; Fricker, HA</t>
  </si>
  <si>
    <t>Carter, S. P.; Fricker, H. A.</t>
  </si>
  <si>
    <t>The supply of subglacial meltwater to the grounding line of the Sip le Coast, West Antarctica</t>
  </si>
  <si>
    <t>ROSS ICE SHELF; STREAM-B; LASER ALTIMETRY; LAKE ACTIVITY; BENEATH; SHEET; MODEL; GLACIER; PENINSULA; RADAR</t>
  </si>
  <si>
    <t>Recent satellite studies have shown that active subglacial lakes exist under the Antarctic ice streams and persist almost to their grounding lines. When the lowest-lying lakes flood, the water crosses the grounding line and enters the sub-ice-shelf cavity. Modeling results suggest that this additional freshwater influx may significantly enhance melting at the ice-shelf base. We examine the spatial and temporal variability in subglacial water supply to the grounding lines of the Sip le Coast ice streams, by combining estimates for lake volume change derived from Ice, Cloud and land Elevation Satellite (ICESat) data with a model for subglacial water transport. Our results suggest that subglacial outflow tends to concentrate towards six embayments in the Sip le Coast grounding line. Although mean grounding line outflow is similar to 60 m(3) s(-1) for the entire Sip le Coast, maximum local grounding line outflow may temporarily exceed 300 m(3) s(-1) during the synchronized flooding of multiple lakes in a hydrologic basin. Variability in subglacial outflow due to subglacial lake drainage may account for a substantial portion of the observed variability in freshwater flux out of the Ross Ice Shelf cavity. The temporal variability in grounding line outflow results in a net reduction in long-term average melt rate, but temporary peak melting rates may exceed the long-term average by a factor of three.</t>
  </si>
  <si>
    <t>[Carter, S. P.; Fricker, H. A.] Univ Calif San Diego, Scripps Inst Oceanog, La Jolla, CA 92093 USA</t>
  </si>
  <si>
    <t>Carter, SP (corresponding author), Univ Calif San Diego, Scripps Inst Oceanog, La Jolla, CA 92093 USA.</t>
  </si>
  <si>
    <t>sasha.ase.carter@gmail.com</t>
  </si>
  <si>
    <t>Fricker, Helen Amanda/0000-0002-0921-1432</t>
  </si>
  <si>
    <t>Scripps Institution of Oceanography Postdoctoral Program; Institute of Geophysics and Planetary Physics of Los Alamos National Laboratory LLC [73593-001-09]</t>
  </si>
  <si>
    <t>Scripps Institution of Oceanography Postdoctoral Program; Institute of Geophysics and Planetary Physics of Los Alamos National Laboratory LLC</t>
  </si>
  <si>
    <t>Funding during the analysis and writing was provided by the Scripps Institution of Oceanography Postdoctoral Program and by the Institute of Geophysics and Planetary Physics of Los Alamos National Laboratory LLC under subcontract No. 73593-001-09. The manuscript was greatly improved by feedback from the editor, Adrian Jenkins, and two anonymous reviewers. Laurie Padman provided additional assistance with the Introduction.</t>
  </si>
  <si>
    <t>10.3189/2012AoG60A119</t>
  </si>
  <si>
    <t>WOS:000315310400017</t>
  </si>
  <si>
    <t>Di Rico, G; Dolci, M; Valentini, G; Cantiello, M</t>
  </si>
  <si>
    <t>McLean, IS; Ramsay, SK; Takami, H</t>
  </si>
  <si>
    <t>Di Rico, G.; Dolci, M.; Valentini, G.; Cantiello, M.</t>
  </si>
  <si>
    <t>Simulations and Performances of AMICA at Dome C</t>
  </si>
  <si>
    <t>GROUND-BASED AND AIRBORNE INSTRUMENTATION FOR ASTRONOMY IV</t>
  </si>
  <si>
    <t>Conference on Ground-Based and Airborne Telescopes IV</t>
  </si>
  <si>
    <t>telescopes; infrared; imaging; software; numerical simulations; Antarctica</t>
  </si>
  <si>
    <t>TELESCOPE</t>
  </si>
  <si>
    <t>Simulations of the expected performances of AMICA (Antarctic Multiband Infrared Camera) mounted on ITM (Infrared Telescope Maffei, formerly IRAIT) at Dome C, Antarctica, are here presented. The computation has been carried out through the analysis of images obtained by a focal plane simulator, here described, taking into account the telescope and the imaging system characteristics (optics, read-out electronics and detectors) and the site properties. The evaluation of the expected S/N ratio in various near-and mid-infrared pass-bands are fundamental to properly define the observational plans and the scheduling of the robotic observatory.</t>
  </si>
  <si>
    <t>[Di Rico, G.; Dolci, M.; Valentini, G.; Cantiello, M.] INAF Osservatorio Astron Teramo, I-64100 Teramo, Italy</t>
  </si>
  <si>
    <t>Istituto Nazionale Astrofisica (INAF)</t>
  </si>
  <si>
    <t>Di Rico, G (corresponding author), INAF Osservatorio Astron Teramo, Via M Maggini Snc, I-64100 Teramo, Italy.</t>
  </si>
  <si>
    <t>gianluca.dirico@inaf.it</t>
  </si>
  <si>
    <t>Cantiello, Michele/J-4088-2012</t>
  </si>
  <si>
    <t>Cantiello, Michele/0000-0003-2072-384X; Di Rico, Gianluca/0000-0002-5213-8269; Dolci, Mauro/0000-0001-8000-5642</t>
  </si>
  <si>
    <t>978-0-8194-9147-3</t>
  </si>
  <si>
    <t>10.1117/12.925996</t>
  </si>
  <si>
    <t>Engineering, Aerospace; Instruments &amp; Instrumentation; Optics</t>
  </si>
  <si>
    <t>Engineering; Instruments &amp; Instrumentation; Optics</t>
  </si>
  <si>
    <t>BDL69</t>
  </si>
  <si>
    <t>WOS:000313675900125</t>
  </si>
  <si>
    <t>Ma, B; Shang, ZH; Wang, LF; Boggs, K; Hu, Y; Liu, Q; Song, Q; Xue, SJ</t>
  </si>
  <si>
    <t>Ma, Bin; Shang, Zhaohui; Wang, Lifan; Boggs, Kasey; Hu, Yi; Liu, Qiang; Song, Qian; Xue, Suijian</t>
  </si>
  <si>
    <t>The test of the 10k x 10k CCD for Antarctic Survey Telescopes (AST3)</t>
  </si>
  <si>
    <t>Antarctica Astronomy; CCD; AST3</t>
  </si>
  <si>
    <t>DOME</t>
  </si>
  <si>
    <t>A 10k x 10k single-chip CCD camera was installed on the first Antarctic Survey Telescope (AST3-1) at Dome A, Antarctica in January 2012. The pixel size is 9 mu m, corresponding to 1 arcsec on the focal plane. The CCD runs without shutter but in frame transfer mode, and is cooled by thermoelectric cooler (TEC) to take advantage of the low air temperature at Dome A. We tested the performance of the camera in detail, including the gain, linearity, readout noise, dark current, charge transfer efficiency, etc. As this camera is designed to work at Dome A, where the lowest air temperature could go down to -80 degrees C in winter, we tested to cool not only the CCD chip but also the controller which usually is operated at normal temperatures for ground-based telescopes. We found that the performance of the camera changes a little when the controller is cooled.</t>
  </si>
  <si>
    <t>[Ma, Bin; Shang, Zhaohui; Hu, Yi; Liu, Qiang; Song, Qian; Xue, Suijian] Chinese Acad Sci, Natl Astron Observ, Beijing, Peoples R China; [Shang, Zhaohui] Tianjin Normal Univ, Tianjin, Peoples R China; [Wang, Lifan] Chinese Acad Sci, Purple Mt Observ, Nanjing, Peoples R China; [Wang, Lifan] Texas A&amp;M Univ, College Stn, TX USA; [Boggs, Kasey] Semicond Technol Associates, San Juan, PR USA</t>
  </si>
  <si>
    <t>Chinese Academy of Sciences; National Astronomical Observatory, CAS; Tianjin Normal University; Purple Mountain Observatory, CAS; Chinese Academy of Sciences; Nanjing Institute of Astronomical Optics &amp; Technology, NAOC, CAS; Texas A&amp;M University System; Texas A&amp;M University College Station</t>
  </si>
  <si>
    <t>Ma, B (corresponding author), Chinese Acad Sci, Natl Astron Observ, Beijing, Peoples R China.</t>
  </si>
  <si>
    <t>mabin22@gmail.com</t>
  </si>
  <si>
    <t>song, qian/HDL-9868-2022</t>
  </si>
  <si>
    <t>hu, yi/0000-0003-3317-4771</t>
  </si>
  <si>
    <t>National Natural Science Foundation of China [11003027]; Chinese Polar Environment Comprehensive Investigation &amp; Assessment Programmes [CHINARE2012- 02- 03]; National Astronomical Observatories, Chinese Academy of Sciences.</t>
  </si>
  <si>
    <t>National Natural Science Foundation of China(National Natural Science Foundation of China (NSFC)); Chinese Polar Environment Comprehensive Investigation &amp; Assessment Programmes; National Astronomical Observatories, Chinese Academy of Sciences.(Chinese Academy of Sciences)</t>
  </si>
  <si>
    <t>The authors thank Space and Technology Laboratory of NAOC for helping with the low temperature tests. This work is supported by the National Natural Science Foundation of China under grant No. 11003027, Chinese Polar Environment Comprehensive Investigation &amp; Assessment Programmes under grand No. CHINARE2012- 02- 03, and the Young Researcher Grant of National Astronomical Observatories, Chinese Academy of Sciences.</t>
  </si>
  <si>
    <t>84466R</t>
  </si>
  <si>
    <t>10.1117/12.927098</t>
  </si>
  <si>
    <t>WOS:000313675900208</t>
  </si>
  <si>
    <t>Sivanandam, S; Graham, JR; Abraham, R; Tekatch, A; Steinbring, E; Ngan, W; Welch, DL; Law, NM</t>
  </si>
  <si>
    <t>Sivanandam, Suresh; Graham, James R.; Abraham, Roberto; Tekatch, Anthony; Steinbring, Eric; Ngan, Wayne; Welch, Doug L.; Law, Nicholas M.</t>
  </si>
  <si>
    <t>n Characterizing Near-Infrared Sky Brightness in the Canadian High Arctic</t>
  </si>
  <si>
    <t>Near-Infrared; Sky Brightness; Site Testing; Canadian High Arctic; Photometer</t>
  </si>
  <si>
    <t>NIGHT-SKY; EMISSION; AIRGLOW</t>
  </si>
  <si>
    <t>We present the first measurements of the near-infrared (NIR), specifically the J-band, sky background in the Canadian High Arctic. There has been considerable recent interest in the development of an astronomical observatory in Ellesmere Island; initial site testing has shown promise for a world-class site. Encouragement for our study came from sky background measurements on the high Antarctic glacial plateau in winter that showed markedly lower NIR emission when compared to good mid-latitude astronomical sites due to reduced emission from the Meinel bands, i.e. hydroxyl radical (OH) airglow lines. This is possibly a Polar effect and may also be present in the High Arctic. To test this hypothesis, we carried out an experiment which measured the the J-band sky brightness in the High Arctic during winter. We constructed a zenith-pointing, J-band photometer, and installed it at the Polar Environment Atmospheric Research Laboratory (PEARL) near Eureka, Nunavut (latitude: 80 degrees N). We present the design of our ruggedized photometer and our results from our short PEARL observing campaign in February 2012. Taken over a period of four days, our measurements indicate that the J-band sky brightness varies between 15.5 - 15.9 mag arcsec(2); with a measurement uncertainty of 0.15 mag. The uncertainty is entirely dominated by systematic errors present in our radiometric calibration. On our best night, we measured a fairly consistent sky brightness of 15.8 +/- 0.15 mag arcsec(2) : This is not corrected for atmospheric extinction, which is typically &lt; 0.1 mag in the J-band on a good night. The measured sky brightness is comparable to an excellent mid-latitude site, but is not as dark as claimed by the Antarctic measurements. We discuss possible explanations of why we do not see as dark skies as in the Antarctic. Future winter-long sky brightness measurements are anticipated to obtain the necessary statistics to make a proper comparison with the Antarctic measurements.</t>
  </si>
  <si>
    <t>[Sivanandam, Suresh; Graham, James R.; Law, Nicholas M.] Univ Toronto, Dunlap Inst, 50 St George St, Toronto, ON, Canada; [Abraham, Roberto; Ngan, Wayne] Univ Toronto, Dept Astron, Toronto, ON, Canada; [Tekatch, Anthony; Welch, Doug L.] Unihedron Inc, Grimsby, ON, Canada; [Steinbring, Eric] Natl Res Council Canada, Victoria, BC, Canada; [Welch, Doug L.] McMaster Univ, Dept Phys &amp; Astron, Hamilton, ON L8S 4L8, Canada</t>
  </si>
  <si>
    <t>University of Toronto; University of Toronto; National Research Council Canada; McMaster University</t>
  </si>
  <si>
    <t>Sivanandam, S (corresponding author), Univ Toronto, Dunlap Inst, 50 St George St, Toronto, ON, Canada.</t>
  </si>
  <si>
    <t>sivanandam@di.utoronto.ca</t>
  </si>
  <si>
    <t>Law, Nicholas/HZK-7073-2023; Steinbring, Eric/AFQ-5529-2022; Welch, Doug/JRX-4425-2023</t>
  </si>
  <si>
    <t>Steinbring, Eric/0000-0003-1259-0813; Welch, Doug/0000-0002-2350-0898</t>
  </si>
  <si>
    <t>Dunlap Institute through the Dunlap fellowship program</t>
  </si>
  <si>
    <t>S. S. was supported by the Dunlap Institute through the Dunlap fellowship program. S. S. would like to thank Bill Reeve and Mark Anderson of Lockheed Martin Corporation for our long discussions about making precise pico amp level current measurements and the intricacies of op amps. S. S. would also like to thank Adam Palmentieri of Hamamatsu Corporation for his assistance in troubleshooting spurious dark current in the readout circuit. We are grateful to the Canadian Network for the Detection of Atmospheric Change, particularly Pierre Fogal and James Drummond for their assistance in deploying the photometer on the PEARL roof. The Eureka weather station is operated by Environment Canada, and E. S. and W. N. greatly appreciate the warm hospitality of their staff during our observing run. This research uses data from Space Weather Canada solar flux database.</t>
  </si>
  <si>
    <t>10.1117/12.926251</t>
  </si>
  <si>
    <t>WOS:000313675900126</t>
  </si>
  <si>
    <t>Macphail, M; Jordan, G; Hopf, F; Colhoun, E</t>
  </si>
  <si>
    <t>Haberle, SG; David, B</t>
  </si>
  <si>
    <t>Macphail, Mike; Jordan, Greg; Hopf, Feli; Colhoun, Eric</t>
  </si>
  <si>
    <t>When did the mistletoe family Loranthaceae become extinct in Tasmania? Review and conjecture</t>
  </si>
  <si>
    <t>PEOPLED LANDSCAPES: ARCHAEOLOGICAL AND BIOGEOGRAPHIC APPROACHES TO LANDSCAPES</t>
  </si>
  <si>
    <t>Terra Australis</t>
  </si>
  <si>
    <t>FOSSIL POLLEN RECORDS; WESTERN TASMANIA; NORTHWEST TASMANIA; ANTARCTIC REGION; GLACIAL CLIMATES; LATE PALEOGENE; KEY PERIODS; VEGETATION; FLORA; EVOLUTION</t>
  </si>
  <si>
    <t>[Macphail, Mike] Australian Natl Univ, Dept Archaeol &amp; Nat Hist, Coll Asia &amp; Pacific, Canberra, ACT, Australia; [Jordan, Greg] Univ Tasmania, Hobart, Tas, Australia; [Hopf, Feli] Australian Natl Univ, Canberra, ACT, Australia; [Colhoun, Eric] Univ Newcastle, Newcastle, NSW 2300, Australia</t>
  </si>
  <si>
    <t>Australian National University; University of Tasmania; Australian National University; University of Newcastle</t>
  </si>
  <si>
    <t>Macphail, M (corresponding author), Australian Natl Univ, Dept Archaeol &amp; Nat Hist, Coll Asia &amp; Pacific, Canberra, ACT, Australia.</t>
  </si>
  <si>
    <t>mike.macphail@anu.edu.au</t>
  </si>
  <si>
    <t>AUSTRALIAN NATL UNIV</t>
  </si>
  <si>
    <t>CANBERRA ACT</t>
  </si>
  <si>
    <t>P O BOX 4, 2600 CANBERRA ACT, AUSTRALIA</t>
  </si>
  <si>
    <t>0725-9018</t>
  </si>
  <si>
    <t>978-1-921862-72-4; 978-1-921862-71-7</t>
  </si>
  <si>
    <t>TERRA AUSTRALIS</t>
  </si>
  <si>
    <t>Archaeology; Ecology; Environmental Studies; Paleontology</t>
  </si>
  <si>
    <t>Archaeology; Environmental Sciences &amp; Ecology; Paleontology</t>
  </si>
  <si>
    <t>BDL29</t>
  </si>
  <si>
    <t>WOS:000313641900012</t>
  </si>
  <si>
    <t>Blonski, S; Cao, CY; Uprety, S; Shao, X</t>
  </si>
  <si>
    <t>Blonski, Slawomir; Cao, Changyong; Uprety, Sirish; Shao, Xi</t>
  </si>
  <si>
    <t>USING ANTARCTIC DOME C SITE AND SIMULTANEOUS NADIR OVERPASS OBSERVATIONS FOR MONITORING RADIOMETRIC PERFORMANCE OF NPP VIIRS INSTRUMENT</t>
  </si>
  <si>
    <t>2012 IEEE INTERNATIONAL GEOSCIENCE AND REMOTE SENSING SYMPOSIUM (IGARSS)</t>
  </si>
  <si>
    <t>IEEE International Symposium on Geoscience and Remote Sensing IGARSS</t>
  </si>
  <si>
    <t>IEEE International Geoscience and Remote Sensing Symposium (IGARSS)</t>
  </si>
  <si>
    <t>JUL 22-27, 2012</t>
  </si>
  <si>
    <t>Munich, GERMANY</t>
  </si>
  <si>
    <t>Remote sensing; Spectroradiometers; Radiometry; Calibration; Testing</t>
  </si>
  <si>
    <t>In this study, two methods were used to evaluate radiometric calibration of the VIIRS sensor data records: (1) imaging of radiometrically stable Earth's surfaces and (2) SNO (Simultaneous Nadir Overpass) observations by VIIRS and other satellite instruments. Measurements acquired by VIIRS at the stable Dome C calibration site in Antarctica confirm that a faster-than-expected degradation of the radiometric response occurs for selected spectral bands in the visible and near-infrared region, with other bands remaining stable. SNO comparisons with MODIS show that the implemented regular updates of the radiometric calibration coefficients have stabilized the calibration and that the VIIRS and MODIS measurements are in agreement.</t>
  </si>
  <si>
    <t>[Blonski, Slawomir] Univ Maryland, College Pk, MD 20742 USA</t>
  </si>
  <si>
    <t>University System of Maryland; University of Maryland College Park</t>
  </si>
  <si>
    <t>Blonski, S (corresponding author), Univ Maryland, College Pk, MD 20742 USA.</t>
  </si>
  <si>
    <t>Cao, Changyong/AAP-7605-2021; Shao, Xi/H-9452-2016</t>
  </si>
  <si>
    <t>Cao, Changyong/0000-0003-3572-6525;</t>
  </si>
  <si>
    <t>2153-6996</t>
  </si>
  <si>
    <t>978-1-4673-1159-5</t>
  </si>
  <si>
    <t>INT GEOSCI REMOTE SE</t>
  </si>
  <si>
    <t>10.1109/IGARSS.2012.6351367</t>
  </si>
  <si>
    <t>Engineering, Electrical &amp; Electronic; Geosciences, Multidisciplinary; Remote Sensing</t>
  </si>
  <si>
    <t>Engineering; Geology; Remote Sensing</t>
  </si>
  <si>
    <t>BDG99</t>
  </si>
  <si>
    <t>WOS:000313189401069</t>
  </si>
  <si>
    <t>Brogioni, M; Macelloni, G; Rahmoune, R</t>
  </si>
  <si>
    <t>Brogioni, Marco; Macelloni, Giovanni; Rahmoune, Rachid</t>
  </si>
  <si>
    <t>CHARACTERIZATION OF THE SPATIAL AND TEMPORAL STABILITY OF THE EAST-ANTARCTIC PLATEAU IN THE LOW-MICROWAVE BANDS</t>
  </si>
  <si>
    <t>SMOS; AMSR-E; calibration; Antarctica</t>
  </si>
  <si>
    <t>With the development of new low frequency satellite radiometers the characterization of the emission of the East Antarctic plateau become important for cal/val purposes. Also, the availability of further data open new horizons in the understanding of the climate processes of the continent. In this work we analyze the spatial homogeneity and the temporal stability of the east Antarctic plateau at C-and L-band by using a the modified absolute distance metric. Finally we were able to detect some promise areas in the Ridge and Dome C region which seems to be spatially homogeneous and temporally stable.</t>
  </si>
  <si>
    <t>[Brogioni, Marco; Macelloni, Giovanni] IFAC CNR, Florence, Italy</t>
  </si>
  <si>
    <t>Consiglio Nazionale delle Ricerche (CNR); Istituto di Fisica Applicata Nello Carrara (IFAC-CNR)</t>
  </si>
  <si>
    <t>Brogioni, M (corresponding author), IFAC CNR, Florence, Italy.</t>
  </si>
  <si>
    <t>Macelloni, Giovanni/B-7518-2015; Brogioni, Marco/B-7522-2015; Brogioni, Marco/Q-6583-2019</t>
  </si>
  <si>
    <t>Brogioni, Marco/0000-0001-6232-6020; Brogioni, Marco/0000-0001-6232-6020; MACELLONI, GIOVANNI/0000-0002-9738-7939</t>
  </si>
  <si>
    <t>10.1109/IGARSS.2012.6350803</t>
  </si>
  <si>
    <t>WOS:000313189403028</t>
  </si>
  <si>
    <t>Williams, RM; Ray, LE; Lever, J</t>
  </si>
  <si>
    <t>Williams, Rebecca M.; Ray, Laura E.; Lever, James</t>
  </si>
  <si>
    <t>An Autonomous Robotic Platform for Ground Penetrating Radar Surveys</t>
  </si>
  <si>
    <t>Detection of hidden surface crevasses on glaciers is a vital process involved in over-snow traverses for science and resupply missions in Polar regions. There are several areas warranting improvement in the current protocol for crevasse detection, which employs a human-operated ground penetrating radar (GPR) on a mid-weight tracked vehicle. In this fashion, a GPR scout team must plan an appropriate crevasse-free route by investigating paths across the glacier. This paper presents methods supporting a completely autonomous robotic system employing GPR probing of the glacier surface. We tested and evaluated three machine learning algorithms on post-processed Antarctic GPR data, collected by our robot and a Pisten Bully in 2009 and 2010 at McMurdo Station. We achieved 82% classification rate for a linear SVM, compared to 82% using logistic regression and 80% using a Bayes network for contrast. We also discuss independent versus sequential classification of GPR scans, and suggest improvements to or combinations of the most successful training models. Our experiment demonstrates the promise and reliability of real-time object detection with GPR.</t>
  </si>
  <si>
    <t>[Williams, Rebecca M.; Ray, Laura E.] Dartmouth Coll, Thayer Sch Engn, Hanover, NH 03755 USA</t>
  </si>
  <si>
    <t>Dartmouth College</t>
  </si>
  <si>
    <t>Williams, RM (corresponding author), Dartmouth Coll, Thayer Sch Engn, Hanover, NH 03755 USA.</t>
  </si>
  <si>
    <t>rebecca.m.williams.th@dartmouth.edu; laura.e.ray@dartmouth.edu; james.lever@us.army.mil</t>
  </si>
  <si>
    <t>10.1109/IGARSS.2012.6350750</t>
  </si>
  <si>
    <t>WOS:000313189403079</t>
  </si>
  <si>
    <t>Gallaher, D; Campbell, GG; Meirer, W</t>
  </si>
  <si>
    <t>Gallaher, D.; Campbell, G. G.; Meirer, W.</t>
  </si>
  <si>
    <t>THE RESCUE AND REUSE OF 1960'S NIMBUS SATELLITE DATA: PRELIMINARY SEA ICE EXTENT RESULTS FOR 1964, 1966, AND 1969</t>
  </si>
  <si>
    <t>Sea Ice; NIMBUS; Historic Data</t>
  </si>
  <si>
    <t>It is of critical importance in the study of Earth Sciences and climate to reliably extend our data sets farther back in time. It may be possible to build a 50-year sea ice extent record. The current satellite sea ice record starts in 1978, however polar observing satellites recorded sea ice data as early as 1962[1]. Accessing this data is difficult as many of the original data sets have been lost. The time to recover this information is running out as the data, hardware and expertise are rapidly dying out. This project has recovered much of this 1960's data and used it to determine monthly sea ice extent for both the Arctic and Antarctic.</t>
  </si>
  <si>
    <t>[Gallaher, D.; Campbell, G. G.; Meirer, W.] Univ Colorado, Natl Snow &amp; Ice Data Ctr, Boulder, CO 80303 USA</t>
  </si>
  <si>
    <t>Gallaher, D (corresponding author), Univ Colorado, Natl Snow &amp; Ice Data Ctr, Boulder, CO 80303 USA.</t>
  </si>
  <si>
    <t>10.1109/IGARSS.2012.6350730</t>
  </si>
  <si>
    <t>WOS:000313189403098</t>
  </si>
  <si>
    <t>Beitsch, A; Kern, S; Kaleschke, L</t>
  </si>
  <si>
    <t>Beitsch, Alexander; Kern, Stefan; Kaleschke, Lars</t>
  </si>
  <si>
    <t>COMPARISON OF AMSR-E SEA ICE CONCENTRATIONS WITH ASPECT SHIP OBSERVATIONS AROUND ANTARCTICA</t>
  </si>
  <si>
    <t>Antarctic; sea ice concentration; passive microwave; ASPeCt; AMSR-E</t>
  </si>
  <si>
    <t>SATELLITE; EXTENT</t>
  </si>
  <si>
    <t>We compare passive microwave-derived sea ice concentrations with ship-based observations of sea ice concentration (OBS). We focus on different retrieval algorithms that are based on Advanced Microwave Scanning Radiometer-Earth Observing System (AMSR-E) measurements. OBS are collected according to the Antarctic Sea Ice Processes and Climate (ASPeCt) program. We assess the quality of the satellite data by calculating correlation coefficient, root-mean-square-deviation (RMSD) and bias with respect to ASPeCt observations of sea ice concentration. All retrieval algorithms compared in this study, Comiso Bootstrap (BST), NASA-Team 2 (NT2) and Artist Sea Ice (ASI), show correlation coefficients above 0.8 for all dates considered (N = 313). BST and ASI do not have a significant bias, but NT2 has a bias of 8 %. RMSD values are different for different seasons, but generally, Comiso BST has the lowest RMSD (&lt; 13 %).</t>
  </si>
  <si>
    <t>[Beitsch, Alexander; Kern, Stefan; Kaleschke, Lars] Univ Hamburg, Inst Oceanog, Hamburg, Germany</t>
  </si>
  <si>
    <t>University of Hamburg</t>
  </si>
  <si>
    <t>Beitsch, A (corresponding author), Univ Hamburg, Inst Oceanog, KlimaCampus, Hamburg, Germany.</t>
  </si>
  <si>
    <t>alexander.beitsch@zmaw.de</t>
  </si>
  <si>
    <t>10.1109/IGARSS.2012.6350609</t>
  </si>
  <si>
    <t>WOS:000313189403099</t>
  </si>
  <si>
    <t>Zhang, L; Guo, HD; Ji, P; Chen, J</t>
  </si>
  <si>
    <t>Zhang, Lu; Guo, Huadong; Ji, Peng; Chen, Jie</t>
  </si>
  <si>
    <t>A RESEARCH OF GLACIER CHANGE IN WEST KUNLUN THROUGH REMOTE SENSING</t>
  </si>
  <si>
    <t>Remote sensing; glacier; lake; West Kunlun</t>
  </si>
  <si>
    <t>INVENTORY</t>
  </si>
  <si>
    <t>Glacier, due to the sensitivity to the climate change, has become an important indicator for global change research, especially the glaciers in the Arctic, Antarctic, and the third pole (Qinghai-Tibet plateau). Remote sensing, which has a capability to acquire the regional information of glaciers quickly, has become an effective tool to monitor and study the change of glaciers. In this paper, combining the NECP/NCAR reanalysis climatic data, the long time-series and continental area change of the glaciers and their melted lakes in West Kunlun with different watersheds were comparative analyzed by using LandSat TM/ETM+ images from 1991 to 2009, which is located in the northern margin of the Qinghai-Tibet plateau. The results show: 1) The total area of the glaciers in eastern West Kunlun reduced firstly then increased. Meanwhile the total area of the glaciers in western West Kunlun sustained decreased in recent 20 years. 2) There is a significant negative correlation between the area change of glaciers and the corresponding welted lakes in West Kunlun. 3) The area change difference of the glaciers in the eastern and western regions in West Kunlun is mainly induced by temperature.</t>
  </si>
  <si>
    <t>[Zhang, Lu; Guo, Huadong; Ji, Peng] Chinese Acad Sci, Ctr Earth Observat &amp; Digital Earth, Key Lab Digital Earth, Beijing 100094, Peoples R China</t>
  </si>
  <si>
    <t>Chinese Academy of Sciences</t>
  </si>
  <si>
    <t>Zhang, L (corresponding author), Chinese Acad Sci, Ctr Earth Observat &amp; Digital Earth, Key Lab Digital Earth, Beijing 100094, Peoples R China.</t>
  </si>
  <si>
    <t>luzhang@ceode.ac.cn</t>
  </si>
  <si>
    <t>Lei, Ming/JAD-1050-2023; zhang, lu/GRO-2969-2022</t>
  </si>
  <si>
    <t>10.1109/IGARSS.2012.6350489</t>
  </si>
  <si>
    <t>WOS:000313189404123</t>
  </si>
  <si>
    <t>Ye, YF; Cheng, X; Li, XW; Liang, L; Heygster, G</t>
  </si>
  <si>
    <t>Ye, Yufang; Cheng, Xiao; Li, Xinwu; Liang, Lei; Heygster, Georg</t>
  </si>
  <si>
    <t>MONITORING ANTARCTIC ICE SHEET MELTING PERIODS WITH SSM/I 19H GHZ DATA AND TIME SERIES ANALYSIS</t>
  </si>
  <si>
    <t>ice sheet; melting; TIMESAT; passive microwave; generalized Gaussian model</t>
  </si>
  <si>
    <t>DURATION; REGIONS; EXTENT</t>
  </si>
  <si>
    <t>We developed a new method to monitor the ice sheet melting periods with passive microwave measurements. Our method combined the original brightness temperature time series with those simulated by time series simulation software package TIMESAT in order to obtain a time series with similar behaviour, but less noise. A generalized Gaussian model was used to classify the pixels to wet and dry snow. Based on the steep rise and drop of the new time series, we detected the onset and end of the Antarctic ice sheet melting form 1988 to 2008. The results indicated that the whole Antarctic experienced a decreasing melting during the 20 years. The Antarctic Peninsula region exhibited a long and stable melt occurrence, in comparison with which the Ross Ice Shelf has the nearly shortest melt duration and the largest variability in melt extent.</t>
  </si>
  <si>
    <t>[Ye, Yufang; Heygster, Georg] Univ Bremen, Inst Environm Phys, Bremen, Germany</t>
  </si>
  <si>
    <t>University of Bremen</t>
  </si>
  <si>
    <t>Ye, YF (corresponding author), Univ Bremen, Inst Environm Phys, Bremen, Germany.</t>
  </si>
  <si>
    <t>Ye, Yufang/AAN-9304-2021; Liang, Lei/JPL-1832-2023; Heygster, Georg C./B-4928-2014</t>
  </si>
  <si>
    <t>Ye, Yufang/0000-0001-6520-3851; Liang, Lei/0000-0002-0752-4507;</t>
  </si>
  <si>
    <t>10.1109/IGARSS.2012.6350484</t>
  </si>
  <si>
    <t>WOS:000313189404128</t>
  </si>
  <si>
    <t>Merck, M; Chirkin, D; Vélez, JCD; Skarlupka, H</t>
  </si>
  <si>
    <t>IOP</t>
  </si>
  <si>
    <t>Merck, Martin; Chirkin, Dmitry; Velez, Juan Carlos Diaz; Skarlupka, Heath</t>
  </si>
  <si>
    <t>IceCubes GPGPU's cluster for extensive MC production</t>
  </si>
  <si>
    <t>INTERNATIONAL CONFERENCE ON COMPUTING IN HIGH ENERGY AND NUCLEAR PHYSICS 2012 (CHEP2012), PTS 1-6</t>
  </si>
  <si>
    <t>Journal of Physics Conference Series</t>
  </si>
  <si>
    <t>International Conference on Computing in High Energy and Nuclear Physics (CHEP)</t>
  </si>
  <si>
    <t>MAY 21-25, 2012</t>
  </si>
  <si>
    <t>New York Univ, New York, NY</t>
  </si>
  <si>
    <t>New York Univ</t>
  </si>
  <si>
    <t>GPGPU computing offers extraordinary increases in pure processing power for parallelizable applications. In IceCube we use GPUs for ray-tracing of cherenkov photons in the Antarctic ice as part of detector simulation. We report on how we implemented the mixed simulation production chain to include the processing on the GPGPU cluster for the IceCube Monte-Carlo production. We also present ideas to include GPGPU accelerated reconstructions into the IceCube data processing.</t>
  </si>
  <si>
    <t>[Merck, Martin; Chirkin, Dmitry; Velez, Juan Carlos Diaz; Skarlupka, Heath] Univ Wisconsin, Madison, WI 53703 USA</t>
  </si>
  <si>
    <t>University of Wisconsin System; University of Wisconsin Madison</t>
  </si>
  <si>
    <t>Merck, M (corresponding author), Univ Wisconsin, Madison, WI 53703 USA.</t>
  </si>
  <si>
    <t>dima@icecube.wisc.edu; juancarlos.diazvelez@icecube.wisc.edu; heath.skarlupka@icecube.wisc.edu</t>
  </si>
  <si>
    <t>Diaz Velez, Juan Carlos/T-2788-2018</t>
  </si>
  <si>
    <t>Diaz Velez, Juan Carlos/0000-0002-0087-0693</t>
  </si>
  <si>
    <t>IOP PUBLISHING LTD</t>
  </si>
  <si>
    <t>BRISTOL</t>
  </si>
  <si>
    <t>DIRAC HOUSE, TEMPLE BACK, BRISTOL BS1 6BE, ENGLAND</t>
  </si>
  <si>
    <t>1742-6588</t>
  </si>
  <si>
    <t>J PHYS CONF SER</t>
  </si>
  <si>
    <t>10.1088/1742-6596/396/2/022046</t>
  </si>
  <si>
    <t>Physics, Multidisciplinary; Physics, Nuclear; Physics, Particles &amp; Fields</t>
  </si>
  <si>
    <t>BDT23</t>
  </si>
  <si>
    <t>WOS:000314749800099</t>
  </si>
  <si>
    <t>Shah, RM; Hashim, R; Abu Hanifah, N</t>
  </si>
  <si>
    <t>Dan, Y</t>
  </si>
  <si>
    <t>Shah, Rohani Mohd; Hashim, Rugayah; Abu Hanifah, Norha</t>
  </si>
  <si>
    <t>Antarctic Treaty System and Madrid Protocol 1991: Transformation of Legislation</t>
  </si>
  <si>
    <t>INTERNATIONAL CONFERENCE ON ENVIRONMENTAL SCIENCE AND DEVELOPMENT (ICESD 2012)</t>
  </si>
  <si>
    <t>APCBEE Procedia</t>
  </si>
  <si>
    <t>3rd International Conference on Environmental Science and Development (ICESD)</t>
  </si>
  <si>
    <t>JAN 05-07, 2012</t>
  </si>
  <si>
    <t>Hong Kong, PEOPLES R CHINA</t>
  </si>
  <si>
    <t>Antarctica Treaty System; Madrid Protocol 1991; Climate Change; Polluters Pay Principle</t>
  </si>
  <si>
    <t>Much has been achieved from the work of scientists in Antarctica since the launching of International Polar Year. Still, with all those scientific reports and progress it is necessary for the policy makers to review and understand the physical and chemical climate system of the Antarctic region. The policy makers in most States had taken seriously of this information and had formulated new legislation on the basis of preserving, preventing and guarding the future environment of Antarctica as dictates by the Antarctic Treaty System and the Madrid Protocol 1991. However, the present local legislations must also undergo similar transformation in order to condone the impact of global climate change. Prior to the amendment, the local legislation must first take into consideration the common law duty to the greenhouse gas impacts arising from major new development projects in reducing their new emissions. This is consistent with 'The Polluter Pays Principle' which the spirit must be part of the transformation of the local legislations. The study is significant for Malaysia as the findings will allow present legislations to be transformed in line with the desire to preserve not just Antarctica environment but also to diminish global warming for the good of mankind as a whole. (C) 2012 The Authors. Published by Elsevier B.V. Selection and/or peer review under responsibility of Asia-Pacific Chemical, Biological &amp; Environmental Engineering Society</t>
  </si>
  <si>
    <t>[Shah, Rohani Mohd; Hashim, Rugayah; Abu Hanifah, Norha] Univ Teknol MARA, Fac Law, Shah Alam 40450, Malaysia</t>
  </si>
  <si>
    <t>Shah, RM (corresponding author), Univ Teknol MARA, Fac Law, Shah Alam 40450, Malaysia.</t>
  </si>
  <si>
    <t>rohanimohdshah@yahoo.com</t>
  </si>
  <si>
    <t>Hashim, Rugayah Gy/C-9708-2010</t>
  </si>
  <si>
    <t>Hashim, Rugayah Gy/0000-0002-4807-9024</t>
  </si>
  <si>
    <t>2212-6708</t>
  </si>
  <si>
    <t>APCBEE PROC</t>
  </si>
  <si>
    <t>10.1016/j.apcbee.2012.03.013</t>
  </si>
  <si>
    <t>BDQ59</t>
  </si>
  <si>
    <t>WOS:000314466700012</t>
  </si>
  <si>
    <t>Leith, P; Coffey, B; Haward, M; O'Toole, K; Allen, S</t>
  </si>
  <si>
    <t>Kenchington, R; Stocker, L; Wood, D</t>
  </si>
  <si>
    <t>Leith, Peat; Coffey, Brian; Haward, Marcus; O'Toole, Kevin; Allen, Simon</t>
  </si>
  <si>
    <t>Improving science uptake in coastal zone management: principles for science engagement and their application in south-eastern Tasmania</t>
  </si>
  <si>
    <t>SUSTAINABLE COASTAL MANAGEMENT AND CLIMATE ADAPTATION: GLOBAL LESSONS FROM REGIONAL APPROACHES IN AUSTRALIA</t>
  </si>
  <si>
    <t>STAKEHOLDER ANALYSIS; COGNITIVE ILLUSIONS; KNOWLEDGE SYSTEMS; POLICY; SUSTAINABILITY; AUSTRALIA</t>
  </si>
  <si>
    <t>[Leith, Peat] Univ Tasmania, Inst Marine &amp; Antarctic Studies, Hobart, Tas 7001, Australia; [Leith, Peat] Univ Tasmania, Tasmanian Inst Agr, Hobart, Tas 7001, Australia; [Coffey, Brian] Deakin Univ, Alfred Deakin Res Inst, Warrnambool, Vic, Australia; [Haward, Marcus] Univ Tasmania, Inst Marine &amp; Antarctic Studies, Hobart, Tas 7001, Australia; [O'Toole, Kevin] Deakin Univ, Sch Humanities &amp; Social Sci, Geelong, Vic 3217, Australia; [Allen, Simon] CSIRO Wealth Oceans Flagship, Our Resilient Coastal Australia, Wembley, WA, Australia</t>
  </si>
  <si>
    <t>University of Tasmania; University of Tasmania; Deakin University; University of Tasmania; Deakin University; Commonwealth Scientific &amp; Industrial Research Organisation (CSIRO)</t>
  </si>
  <si>
    <t>Leith, P (corresponding author), Univ Tasmania, Inst Marine &amp; Antarctic Studies, Hobart, Tas 7001, Australia.</t>
  </si>
  <si>
    <t>Leith, Peat/ABB-2829-2021; Haward, Marcus/G-3369-2014</t>
  </si>
  <si>
    <t>Haward, Marcus/0000-0003-4775-0864</t>
  </si>
  <si>
    <t>978-0-643-10403-7; 978-0-643-10027-5</t>
  </si>
  <si>
    <t>Environmental Sciences; Environmental Studies</t>
  </si>
  <si>
    <t>BDL11</t>
  </si>
  <si>
    <t>WOS:000313630700006</t>
  </si>
  <si>
    <t>Cañete, JI; Häussermann, V</t>
  </si>
  <si>
    <t>Canete, Juan I.; Haeussermann, Verena</t>
  </si>
  <si>
    <t>Colonial life under the Humboldt Current System: deep-sea corals from O'Higgins I seamount</t>
  </si>
  <si>
    <t>LATIN AMERICAN JOURNAL OF AQUATIC RESEARCH</t>
  </si>
  <si>
    <t>benthic megafauna; deep-sea benthos; deep-sea corals; Chile</t>
  </si>
  <si>
    <t>COMMUNITY STRUCTURE; OXYGEN; CHILE; ABUNDANCE; MEGAFAUNA; PATTERNS; CNIDARIA; PACIFIC; IMPACTS; ECOLOGY</t>
  </si>
  <si>
    <t>A benthic community constituted by an assemblage of at least four species of deep-sea corals collected in only one trawl carried-out on the summit of the O'Higgins I seamount, central Chile. The corals were collected in only one trawl carried-out during a Chilean-Japanese cruise onboard the R/V Koyo Maru in December 29, 2004. Presence of oxygenated and cold Antarctic Intermediate Water (&gt;400 m depth) on the plateau was recorded under of the Equatorial Subsurface Water associated to the oxygen-minimum zone (OMZ, &lt;1 mL O-2 L-1). The biogeographic origin of the fauna evidenced a mix of Subantarctic and central Chile continental margin species. The assemblage is represented by two species of anthipatarians (Leiopathes sp. and Chrysopathes sp.), one unidentified species of Paragorgiidae and one species of Isididae (Acanella chilensis). The study demonstrated that deep-water corals of the O'Higgins seamount provide crucial habitat for commercially important crustacean exploited along continental margin off central Chile such as nylon shrimp (Heterocarpus reedi). This resource as well as some fishes such as alfonsino (Beryx splendens) and orange roughy (Hoplostethus atlanticus) could drawing the commercial fishing industry to these fragile areas poorly known Chilean marine benthic communities. Due to a strong economic pressure, fast actions for marine conservation of seamounts are required in Chile.</t>
  </si>
  <si>
    <t>[Canete, Juan I.] Univ Magallanes, Fac Ciencias, Punta Arenas, Chile; [Haeussermann, Verena] Pontificia Univ Catolica Valparaiso, Escuela Ciencias Mar, Valparaiso, Chile; [Haeussermann, Verena] Fdn San Ignacio de Huinay, Puerto Montt, Chile</t>
  </si>
  <si>
    <t>Universidad de Magallanes; Pontificia Universidad Catolica de Valparaiso</t>
  </si>
  <si>
    <t>Cañete, JI (corresponding author), Univ Magallanes, Fac Ciencias, POB 113-D, Punta Arenas, Chile.</t>
  </si>
  <si>
    <t>ivan.canete@umag.cl</t>
  </si>
  <si>
    <t>Canete, Juan/GRS-4620-2022</t>
  </si>
  <si>
    <t>Haussermann, Verena Susanne/0000-0001-9630-7477</t>
  </si>
  <si>
    <t>Dean of Faculty of Sciences; University of Magallanes</t>
  </si>
  <si>
    <t>We thank the taxonomic specialists for identification: Dennis Opresko (National Museum of Natural History, Smithsonian Institution) and Juan Sanchez (Universidad de los Andes, Colombia). Thanks to Prof. Patricio Arana (Pontificia Universidad Catolica de Valparaiso, Chile), for a copy of the paper of Andrade (1986). Special thanks to Prof. Alejandro Zuleta (CEPES, Universidad Austral de Chile) for the facilities to participate in the international cruise onboard of Koyo Maru and the Dean of Faculty of Sciences and the University of Magallanes, providing funds to participate in this cruise.</t>
  </si>
  <si>
    <t>UNIV CATOLICA DE VALPARAISO</t>
  </si>
  <si>
    <t>VALPARAISO</t>
  </si>
  <si>
    <t>AV BRASIL 2950, PO BOX 4059, VALPARAISO, CHILE</t>
  </si>
  <si>
    <t>0718-560X</t>
  </si>
  <si>
    <t>0717-7178</t>
  </si>
  <si>
    <t>LAT AM J AQUAT RES</t>
  </si>
  <si>
    <t>Lat. Am. J. Aquat. Res.</t>
  </si>
  <si>
    <t>10.3856/vol40-issue2-fulltext-23</t>
  </si>
  <si>
    <t>084CJ</t>
  </si>
  <si>
    <t>Green Published, Green Submitted, gold</t>
  </si>
  <si>
    <t>WOS:000314513500023</t>
  </si>
  <si>
    <t>Cañete, JI; Gallardo, CS; Céspedes, T; Cárdenas, CA; Santana, M</t>
  </si>
  <si>
    <t>Canete, Juan I.; Gallardo, Carlos S.; Cespedes, Tamara; Cardenas, Cesar A.; Santana, Mario</t>
  </si>
  <si>
    <t>Encapsulated development, spawning and early veliger of the ranellid snail Fusitriton magellanicus (Roding, 1798) in the cold waters of the Magellan Strait, Chile</t>
  </si>
  <si>
    <t>mollusc; gastropod; sub Antarctic benthos; seasonal reproduction; Ranellidae; Magellan Strait</t>
  </si>
  <si>
    <t>ODONTASTER-VALIDUS KOEHLER; BAY ROSS SEA; REPRODUCTIVE STRATEGIES; SEASONAL-VARIATION; PELAGIC LARVAE; MARINE; DISPERSAL; OCEAN; INVERTEBRATES; GASTROPODS</t>
  </si>
  <si>
    <t>Field and laboratory observations of egg masses, encapsulated development stages and early-hatched veliger larvae of the sub-Antarctic Fusitriton magellanicus (Roding, 1798) are described from samples collected in the Magellan Strait (Santa Ana Point: 53 degrees 38'15 '' S, 70 degrees 54'38 '' W), Chile, between 2005 and 2006. We aimed to determined if: i) if these gastropods show a reproductive pattern development similar to low-latitude ranellids, and with respect to other sub-Antarctic locations within the Gondwanian distributional range (Australia, New Zealand, South America); ii) if F. magellanicus exhibit similar patterns as other Chilean ranellids; and iii) if F. magellanicus exhibit developmental attributes that define as long-distance broadcasters from cold water. F. magellanicus laid around 125 capsules/egg mass. Each contained an average of 2,789 +/- 481 embryos, grouped in one circular arrangement. Mean eggs size was 180 mu m. Encapsulated period lasted between 55 and 67 days at 10 degrees C, and hatched larvae of 245 to 349 mu m in shell length. Spawning occur during spring (October to November; 8 degrees C) associated to an increment of freshwater discharge of San Juan River. A comparison of eggs/embryos/larvae abundance between temperate and tropical Ranellidae allow us to predict that Fusitriton magellanicus shows developmental attributes that indicate higher fecundity in relation to Chilean ranellids and that define it as a long-distance broadcaster.</t>
  </si>
  <si>
    <t>[Canete, Juan I.; Cespedes, Tamara; Cardenas, Cesar A.; Santana, Mario] Univ Magallanes, Fac Ciencias, Punta Arenas, Chile; [Gallardo, Carlos S.] Univ Austral Chile, Fac Ciencias, Valdivia, Chile; [Cardenas, Cesar A.] Victoria Univ Wellington, Sch Biol Sci, Wellington 6140, New Zealand</t>
  </si>
  <si>
    <t>Universidad de Magallanes; Universidad Austral de Chile; Victoria University Wellington</t>
  </si>
  <si>
    <t>Canete, Juan/GRS-4620-2022; Cardenas, Cesar/ABF-1664-2020</t>
  </si>
  <si>
    <t>Cardenas, Cesar/0000-0001-6662-6899</t>
  </si>
  <si>
    <t>Direccion de Investigacion y Postgrado, Universidad de Magallanes [PR-F2-03-RN-05, PR-F2-01CNR-10]; Direccion de Investigacion y Desarrollo, Universidad Austral de Chile [DID-UACh 2007-57]</t>
  </si>
  <si>
    <t>Direccion de Investigacion y Postgrado, Universidad de Magallanes; Direccion de Investigacion y Desarrollo, Universidad Austral de Chile</t>
  </si>
  <si>
    <t>J.I. Canete was financed by Direccion de Investigacion y Postgrado, Universidad de Magallanes (PR-F2-03-RN-05 and PR-F2-01CNR-10). We are also grateful for the use of the facilities at the Marine Biology Lab of University of Magallanes, to finish the thesis work of one of the authors (Tamara Cespedes). This research was also partially supported by Direccion de Investigacion y Desarrollo, Universidad Austral de Chile (Grant DID-UACh 2007-57 to C.S. Gallardo). We thank Mauricio Palacios for his assistance with the GIS map. Satellite image kindly provided by Carlos Olave and Fundacion CEQUA (Center of Quaternary Studies, Chile).</t>
  </si>
  <si>
    <t>10.3856/vol40-issue4-fulltext-8</t>
  </si>
  <si>
    <t>084DG</t>
  </si>
  <si>
    <t>Green Submitted, gold, Green Published</t>
  </si>
  <si>
    <t>WOS:000314516300008</t>
  </si>
  <si>
    <t>Riesselman, CR</t>
  </si>
  <si>
    <t>Riesselman, Christina R.</t>
  </si>
  <si>
    <t>Fragilariopsis tigris sp nov., a new late Pliocene Antarctic continental shelf diatom with biostratigraphic promise</t>
  </si>
  <si>
    <t>MICROPALEONTOLOGY</t>
  </si>
  <si>
    <t>Pliocene; Antarctica; diatom biostratigraphy; Fragilariopsis; ANDRILL</t>
  </si>
  <si>
    <t>Anew species within the genus Fragilariopsis,F. tigris, is described and illustrated using light microscopy and scanning electron microscopy. This species is restricted to a single 8-meter-thick diatom unit within the 585-meter-long section of alternating diatomites and diamictites recovered in the upper portion of the ANtarctic geological DRILLing (ANDRILL) McMurdo Ice Shelf Project (MIS) AND-1B marine sediment core. This new taxon from a diverse, well-preserved diatom assemblage is inferred to be the youngest member of the well-documented, biostratigraphically useful F. praeinterfrigidaria - F. intelfrigidaria - F. weaveri lineage and may represent a near-shore corollary to the open-ocean species F. weaved Based on available chronostratigraphic data from AND-1B, F. tigris appears to be restricted to the earliest late Pliocene (first occurrence datum similar to 3.2 Ma) and is extinct before 3.0 Ma.</t>
  </si>
  <si>
    <t>US Geol Survey, Eastern Geol &amp; Paleoclimate Sci Ctr, Reston, VA 20192 USA</t>
  </si>
  <si>
    <t>United States Department of the Interior; United States Geological Survey</t>
  </si>
  <si>
    <t>Riesselman, CR (corresponding author), US Geol Survey, Eastern Geol &amp; Paleoclimate Sci Ctr, Reston, VA 20192 USA.</t>
  </si>
  <si>
    <t>criesselman@gmail.com</t>
  </si>
  <si>
    <t>Riesselman, Christina R/H-5037-2012</t>
  </si>
  <si>
    <t>Riesselman, Christina/0000-0002-2436-4306</t>
  </si>
  <si>
    <t>ANDRILL Program for the award of an ANDRILL Graduate Fellowship; National Science Foundation [0342484]</t>
  </si>
  <si>
    <t>ANDRILL Program for the award of an ANDRILL Graduate Fellowship; National Science Foundation(National Science Foundation (NSF))</t>
  </si>
  <si>
    <t>The author gratefully acknowledges the ANDRILL Program for the award of an ANDRILL Graduate Fellowship, and the AND-1B on-ice diatomists D. Winter, C. Sjunneskog, and R. Scherer for their initial core characterization efforts; both were instrumental in allowing her to pursue this work. S. Starratt generously provided access to an exceptional light microscope and camera system, which was used for all LM images and morphometric characterization presented herein. The guidance of B. Jones was instrumental in acquiring SEM images. Recommendations from J. Barron, J. Self-Trail, and M. Jones significantly improved this manuscript.; This work was completed at Stanford University with support from the National Science Foundation under Cooperative Agreement No. 0342484 through subawards administered by the ANDRILL Science Management Office at the University of Nebraska-Lincoln, and issued through Northern Illinois University (for the MIS Project) as part of the ANDRILL U.S. Science Support Program. Any opinions, findings, and conclusions or recommendations expressed in this material are those of the authors and do not necessarily reflect the views of the National Science Foundation. Any use of trade, product, or firm names is for descriptive purposes only and does not imply endorsement by the U.S. Government. Recommendations from J. Barron, J. Self-Trail, and M. Jones significantly improved this manuscript.</t>
  </si>
  <si>
    <t>MICRO PRESS</t>
  </si>
  <si>
    <t>FLUSHING</t>
  </si>
  <si>
    <t>6530 KISSENA BLVD, FLUSHING, NY 11367 USA</t>
  </si>
  <si>
    <t>0026-2803</t>
  </si>
  <si>
    <t>1937-2795</t>
  </si>
  <si>
    <t>Micropaleontology</t>
  </si>
  <si>
    <t>071MQ</t>
  </si>
  <si>
    <t>WOS:000313597900004</t>
  </si>
  <si>
    <t>Shah, RM; Rahman, HA</t>
  </si>
  <si>
    <t>Abbas, MY; Bajunid, AFI; Azhari, NFN</t>
  </si>
  <si>
    <t>Shah, Rohani Mohd; Rahman, Hamisah Abd.</t>
  </si>
  <si>
    <t>Guarding Antarctic from Global Warming is the Key to Pristine Urban Communities</t>
  </si>
  <si>
    <t>AICE-BS 2011 FAMAGUSTA (ASIA PACIFIC INTERNATIONAL CONFERENCE ON ENVIRONMENT-BEHAVIOUR STUDIES)</t>
  </si>
  <si>
    <t>Asia Pacific International Conference on Environment-Behaviour Studies (AicE-Bs)</t>
  </si>
  <si>
    <t>DEC 07-09, 2011</t>
  </si>
  <si>
    <t>Eastern Mediterranean Univ (EMU), Urban Res &amp; Dev Ctr (URDC), Famagusta, CYPRUS</t>
  </si>
  <si>
    <t>Eastern Mediterranean Univ (EMU), Urban Res &amp; Dev Ctr (URDC)</t>
  </si>
  <si>
    <t>Antarctic Treaty System; global warming; quality of life; environmental law</t>
  </si>
  <si>
    <t>Although Antarctica being an isolated continent far away from urban societies, ironically, the global warming and urbanization threaten its environment. The discovery of the ozone hole in Antarctica by scientist alerted the world to the potentially dangerous changes in the environment which later led to the first global environmental measures. In Antarctica scientists can study the effects of global warming on the quality of life. This article identify the key challenges encounter by the Antarctic Treaty System in guarding Antarctic against urban intrusion and global warming in order to secure better concept of quality of life. (C) 2011 Published by Elsevier Ltd. Selection and peer-review under responsibility of Centre for Environment-Behaviour Studies (cE-Bs), Faculty of Architecture, Planning &amp; Surveying, Universiti Teknologi MARA, Malaysia</t>
  </si>
  <si>
    <t>[Shah, Rohani Mohd] Univ Teknol MARA, Fac Law, Shah Alam 40450, Malaysia; [Rahman, Hamisah Abd.] Univ Teknol MARA, Fac Business, Shah Alam 40450, Malaysia</t>
  </si>
  <si>
    <t>Universiti Teknologi MARA; Universiti Teknologi MARA</t>
  </si>
  <si>
    <t>[LRGS/MARP/Grant (1) 600RMI/ SSP/LRGS5/3. Fsp (2011-2014)]</t>
  </si>
  <si>
    <t>The author would like to acknowledge that the research is sponsored by LRGS/MARP/Grant (1) 600RMI/ SSP/LRGS5/3. Fsp (2011-2014).</t>
  </si>
  <si>
    <t>10.1016/j.sbspro.2012.02.101</t>
  </si>
  <si>
    <t>Environmental Studies; Public, Environmental &amp; Occupational Health</t>
  </si>
  <si>
    <t>BDO05</t>
  </si>
  <si>
    <t>WOS:000314129700044</t>
  </si>
  <si>
    <t>Shah, RM; Hashim, R</t>
  </si>
  <si>
    <t>Shah, Rohani Mohd; Hashim, Rugayah</t>
  </si>
  <si>
    <t>Scientists Paradise: Environmental Sustainability and Policy Governance</t>
  </si>
  <si>
    <t>Antarctic Treaty System; Madrid Protocol 1991; global warming; environmental sustainability; policy governance</t>
  </si>
  <si>
    <t>There is a scientific consensus that global warming is due to human-induced activities and this effected the pristine environment of Antarctica. The past 40 years have seen a tremendous increase in scientists' activities across the Antarctic continent and without proper supervisory policy the impact of urbanization will soon follows. Even when the Antarctic Treaty and the Madrid Protocol 1991 dictates scientists conducts still it does not guarantees perfect preservation of the environment. The study is significant to assist the formulation of national legislation in adapting to the procedure for protecting Antarctica environment at the same time protecting the freedom of scientific activities. (C) 2011 Published by Elsevier Ltd. Selection and peer-review under responsibility of Centre for Environment-Behaviour Studies (cE-Bs), Faculty of Architecture, Planning &amp; Surveying, Universiti Teknologi MARA, Malaysia</t>
  </si>
  <si>
    <t>[Shah, Rohani Mohd; Hashim, Rugayah] Univ Teknol MARA, Shah Alam 40450, Selangor, Malaysia</t>
  </si>
  <si>
    <t>10.1016/j.sbspro.2012.02.102</t>
  </si>
  <si>
    <t>WOS:000314129700045</t>
  </si>
  <si>
    <t>Abu Hanifah, N; Hashim, R</t>
  </si>
  <si>
    <t>Abu Hanifah, Norha; Hashim, Rugayah</t>
  </si>
  <si>
    <t>The Madrid Protocol 1991 and its Environmental Impacts towards the Quality of Life</t>
  </si>
  <si>
    <t>Environmental impact; Antarctic Treaty; Madrid Protocol; quality of life; sustainable measures</t>
  </si>
  <si>
    <t>In 1991, the Madrid Protocol on environmental protection in Antarctica was added to the Antarctic Treaty. Antarctica has a central role in determining the Earth's climate and oceanic circulation patterns. The environmental principles in the Protocol include requirements for prior assessment for all activities. The environmental impacts of all activities is necessary to assess predicted impacts towards the quality of life in Antarctica and elsewhere. Antarctica faces a number of challenges, which have significant environmental implications. This paper explores the conceptual relationship between the quality of life and the Protocol and the wider implication of the concept. (C) 2011 Published by Elsevier Ltd. Selection and peer-review under the responsibility of Centre for Environment-Behaviour Studies (cE-Bs), Faculty of Architecture, Planning &amp; Surveying, Universiti Teknologi MARA, Malaysia.</t>
  </si>
  <si>
    <t>[Abu Hanifah, Norha] Univ Teknol MARA, Fac Law, Shah Alam 40450, Malaysia; [Hashim, Rugayah] Univ Teknol MARA, Res Management Inst, Shah Alam 40450, Malaysia</t>
  </si>
  <si>
    <t>Abu Hanifah, N (corresponding author), Univ Teknol MARA, Fac Law, Shah Alam 40450, Malaysia.</t>
  </si>
  <si>
    <t>norha99@yahoo.com</t>
  </si>
  <si>
    <t>Malaysian Antarctica Research Program (MARP) [LRGS1/2011]</t>
  </si>
  <si>
    <t>Malaysian Antarctica Research Program (MARP)</t>
  </si>
  <si>
    <t>This is part of a study Madrid Protocol 1991 : Implications for Malaysia' under the sponsorship of Malaysian Antarctica Research Program (MARP), LRGS1/2011.</t>
  </si>
  <si>
    <t>10.1016/j.sbspro.2012.02.104</t>
  </si>
  <si>
    <t>WOS:000314129700047</t>
  </si>
  <si>
    <t>Drankier, P; Elferink, AGO; Visser, B; Takács, T</t>
  </si>
  <si>
    <t>Drankier, Petra; Elferink, Alex G. Oude; Visser, Bert; Takacs, Tamara</t>
  </si>
  <si>
    <t>Marine Genetic Resources in Areas beyond National Jurisdiction: Access and Benefit-Sharing</t>
  </si>
  <si>
    <t>INTERNATIONAL JOURNAL OF MARINE AND COASTAL LAW</t>
  </si>
  <si>
    <t>areas beyond national jurisdiction (ABNJ); access and benefit-sharing; marine genetic resources</t>
  </si>
  <si>
    <t>This report examines whether it is possible for the research and use of marine genetic resources in areas beyond national jurisdiction (ABNJ) to follow an approach based on the system that is being used with plant genetic resources in areas within national jurisdiction, as developed by the Food and Agriculture Organization. Part IV of the International Treaty on Plant Genetic Resources for Food and Agriculture contains the multilateral system of access and benefit-sharing. In addition, the report considers the implications of relevant provisions as contained in the Law of the Sea Convention, the Convention on Biological Diversity, the Antarctic Treaty System, as well as instruments on intellectual property rights. The report concludes with an assessment of the options within existing legal frameworks for accommodating an access and benefit-sharing system for marine genetic resources originating from ABNJ, and provides suggestions to move the international debate forward.</t>
  </si>
  <si>
    <t>[Drankier, Petra; Elferink, Alex G. Oude] Univ Utrecht, Sch Law, Netherlands Inst Law Sea NILOS, Utrecht, Netherlands; [Visser, Bert] Univ Wageningen &amp; Res Ctr, Wageningen, Netherlands; [Takacs, Tamara] Univ Utrecht, Sch Law, Europa Inst, Utrecht, Netherlands</t>
  </si>
  <si>
    <t>Utrecht University; Wageningen University &amp; Research; Utrecht University</t>
  </si>
  <si>
    <t>Drankier, P (corresponding author), Univ Utrecht, Sch Law, Netherlands Inst Law Sea NILOS, Utrecht, Netherlands.</t>
  </si>
  <si>
    <t>MARTINUS NIJHOFF PUBL</t>
  </si>
  <si>
    <t>PO BOX 9000, LEIDEN, 2300 PA, NETHERLANDS</t>
  </si>
  <si>
    <t>0927-3522</t>
  </si>
  <si>
    <t>1571-8085</t>
  </si>
  <si>
    <t>INT J MAR COAST LAW</t>
  </si>
  <si>
    <t>Int. J. Mar. Coast. Law</t>
  </si>
  <si>
    <t>10.1163/157180812X637984</t>
  </si>
  <si>
    <t>Law</t>
  </si>
  <si>
    <t>074PE</t>
  </si>
  <si>
    <t>WOS:000313823900007</t>
  </si>
  <si>
    <t>Leary, D</t>
  </si>
  <si>
    <t>Leary, David</t>
  </si>
  <si>
    <t>Moving the Marine Genetic Resources Debate Forward: Some Reflections</t>
  </si>
  <si>
    <t>International Treaty on Plant Genetic Resources for Food and Agriculture; marine genetic resources; common heritage of mankind; Antarctic Treaty; areas beyond national jurisdiction (ABNJ); bioprospecting</t>
  </si>
  <si>
    <t>SCIENTIFIC-RESEARCH; LAW</t>
  </si>
  <si>
    <t>This paper offers some brief reflections on issues surrounding the ongoing debate in relation to the legal status of marine genetic resources in areas beyond national jurisdiction. It considers one possible solution to the ideological divide over the relevance of the common heritage of mankind to marine genetic resources, modelled on Article IV of the Antarctic Treaty. The suitability of the International Treaty on Plant Genetic Resources for Food and Agriculture as a possible model is also considered. The fact that this later model is now being canvassed by some States marks a major step forward in international discussions on the issue. Other possible models that have been canvassed in the academic literature are also considered. The fact that these alternatives have not been canvassed at length in diplomatic discussions to date highlights the fact that a detailed examination of the wide range of possible options is urgently needed.</t>
  </si>
  <si>
    <t>Univ Technol Sydney, Fac Law, Sydney, NSW 2007, Australia</t>
  </si>
  <si>
    <t>University of Technology Sydney</t>
  </si>
  <si>
    <t>Leary, D (corresponding author), Univ Technol Sydney, Fac Law, Sydney, NSW 2007, Australia.</t>
  </si>
  <si>
    <t>David.Leary@uts.edu.au</t>
  </si>
  <si>
    <t>Leary, David/0000-0003-3852-4769</t>
  </si>
  <si>
    <t>10.1163/157180812X633645</t>
  </si>
  <si>
    <t>WOS:000313823900008</t>
  </si>
  <si>
    <t>Ohno, G; Watanabe, K; Okada, Y; Higuchi, K</t>
  </si>
  <si>
    <t>Ohno, Giichiro; Watanabe, Kentaro; Okada, Yutaka; Higuchi, Kazuo</t>
  </si>
  <si>
    <t>Practical experience of telehealth between an Antarctic station and Japan</t>
  </si>
  <si>
    <t>JOURNAL OF TELEMEDICINE AND TELECARE</t>
  </si>
  <si>
    <t>2nd International Conference on Global Telehealth</t>
  </si>
  <si>
    <t>NOV 26-28, 2012</t>
  </si>
  <si>
    <t>Sydney, AUSTRALIA</t>
  </si>
  <si>
    <t>The Japanese Antarctic Research Expedition (JARE) has had a presence in Antarctica since 1956. The Syowa station is 15,000 km from Japan and evacuation of patients is impossible during the winter months. From 1956 to 2003, a total of 4932 telemedical consultations were undertaken, i.e. every member of the station needed an average of 4 medical consultations each winter. Forty five percent of the consultations were surgical or orthopaedic cases, 23% were for internal medicine and 12% were for dental problems. In the early 1980s, satellite radio-telephony was found to be useful for consultations, but did not have the ability to transmit medical pictures. Email was transmitted by the International Mobile Satellite Organization (INMARSAT) but the connection was only available every 2 hours and the maximum message size was 100 kByte. In 2004, the International Telecommunications Satellite (INTELSAT) system made a connection constantly available, and increased the maximum message size to 10 MByte. Transmission of still and moving pictures became possible. Scheduled consultations are performed monthly. A doctor in Japan can ask the patient questions and perform a proxy examination with the assistance of the Antarctic doctor. Real-time telemedicine is very effective in orthopaedic and surgical cases, skin, eye and dental troubles. Still pictures are more effective for understanding in detail skin and eye problems. Emergency consultations are effective if adequate consulting staff are available.</t>
  </si>
  <si>
    <t>[Ohno, Giichiro] Tokatsu Hosp, Dept Surg, Chiba 2700020, Japan; [Ohno, Giichiro; Watanabe, Kentaro; Higuchi, Kazuo] Natl Inst Polar Res, Tokyo, Japan; [Okada, Yutaka] Tsubasa Clin, Kurashiki, Okayama, Japan</t>
  </si>
  <si>
    <t>Research Organization of Information &amp; Systems (ROIS); National Institute of Polar Research (NIPR) - Japan</t>
  </si>
  <si>
    <t>Ohno, G (corresponding author), Tokatsu Hosp, Dept Surg, 409 Shimohanawa, Chiba 2700020, Japan.</t>
  </si>
  <si>
    <t>geka-oonog@tokyo-kinikai.com</t>
  </si>
  <si>
    <t>Watanabe, Kentaro/0000-0002-5177-0086</t>
  </si>
  <si>
    <t>ROYAL SOC MEDICINE PRESS LTD</t>
  </si>
  <si>
    <t>1 WIMPOLE STREET, LONDON W1G 0AE, ENGLAND</t>
  </si>
  <si>
    <t>1357-633X</t>
  </si>
  <si>
    <t>J TELEMED TELECARE</t>
  </si>
  <si>
    <t>J. Telemed. Telecare</t>
  </si>
  <si>
    <t>10.1258/jtt.2012.GTH111</t>
  </si>
  <si>
    <t>Health Care Sciences &amp; Services</t>
  </si>
  <si>
    <t>078ZK</t>
  </si>
  <si>
    <t>WOS:000314139400011</t>
  </si>
  <si>
    <t>Yury-Yáñez, RE; Otero, RA; Soto-Acuña, S; Suárez, ME; Rubilar-Rogers, D; Sallaberry, M</t>
  </si>
  <si>
    <t>Yury-Yanez, Roberto E.; Otero, Rodrigo A.; Soto-Acuna, Sergio; Suarez, Mario E.; Rubilar-Rogers, David; Sallaberry, Michel</t>
  </si>
  <si>
    <t>First bird remains from the Eocene of Algarrobo, central Chile</t>
  </si>
  <si>
    <t>ANDEAN GEOLOGY</t>
  </si>
  <si>
    <t>Birds; Eocene; Biogeography; Algarrobo; Chile</t>
  </si>
  <si>
    <t>PENGUINS; EVOLUTION; REVISION; MIOCENE; SPHENISCIDAE; OSTEOLOGY; PLIOCENE; AVES</t>
  </si>
  <si>
    <t>Paleogene records of birds in the Eastern margin of the Pacific Ocean have increased in recent years, being almost exclusively restricted to fossil Sphenisciformes (penguins). New avian remains (Ornithurae, Neornithes) from Middle-to-Late Eocene levels of the Estratos de Algarrobo unit, in Algarrobo, central Chile, are disclosed in the present work. These new finds are significant in representing the first non-spheniscid bird remains of Middle to Late Eocene age, recovered in mid-latitudes of the eastern Pacific and probably belonging to a procelarid. It complements the regional record of Eocene birds, previously known only at high-latitudes such as Seymour Island (Antarctica) and Magallanes (Chile), and low-latitude locations in Peru.</t>
  </si>
  <si>
    <t>[Yury-Yanez, Roberto E.; Sallaberry, Michel] Univ Chile, Fac Ciencias, Dept Ciencias Ecol, Lab Zool Vertebrados, Santiago, Chile; [Otero, Rodrigo A.; Rubilar-Rogers, David] Museo Nacl Hist Nat, Area Paleontol, Santiago, Chile; [Soto-Acuna, Sergio] Univ Chile, Fac Ciencias, Dept Biol, Lab Ontogenia &amp; Filogenia, Santiago, Chile; [Suarez, Mario E.] Museo Paleontol Caldera, Caldera, Atacama, Chile</t>
  </si>
  <si>
    <t>Universidad de Chile; Universidad de Chile</t>
  </si>
  <si>
    <t>Sallaberry, M (corresponding author), Univ Chile, Fac Ciencias, Dept Ciencias Ecol, Lab Zool Vertebrados, Las Palmeras 3425, Santiago, Chile.</t>
  </si>
  <si>
    <t>robyury@ug.uchile.cl; paracrioceras@gmail.com; arcosaurio@gmail.com; museopaleontocaldera@gmail.com; drubilar@mnhn.cl; msallabe@uchile.cl</t>
  </si>
  <si>
    <t>Otero, Rodrigo/0000-0002-3046-2973; Rubilar-Rogers, David/0000-0001-8240-4188; Soto Acuna, Sergio/0000-0002-9311-9355</t>
  </si>
  <si>
    <t>Antarctic Ring Bicentenary Project (Proyecto Bicentenario de Ciencia y Tecnologia Anillo Antartico, Conicyt, Chile) [PBCT-ARTG-04]; Conicyt-Chile [ACT-105]</t>
  </si>
  <si>
    <t>Antarctic Ring Bicentenary Project (Proyecto Bicentenario de Ciencia y Tecnologia Anillo Antartico, Conicyt, Chile)(Comision Nacional de Investigacion Cientifica y Tecnologica (CONICYT)CONICYT PIA/ANILLOS); Conicyt-Chile(Comision Nacional de Investigacion Cientifica y Tecnologica (CONICYT))</t>
  </si>
  <si>
    <t>R.E. Yury-Yanez, R.A. Otero and D. Rubilar-Rogers are supported by the Antarctic Ring Bicentenary Project (Proyecto Bicentenario de Ciencia y Tecnologia Anillo Antartico, PBCT-ARTG-04, Conicyt, Chile), and the current project ACT-105 Conicyt-Chile, both directed by Dr. T. Torres. All extant birds were reviewed from the Osteological Collection of the Vertebrate Zoology Laboratory from the Facultad de Ciencias-Universidad de Chile. M.E. Suarez and R.A. Otero are authorized by the Consejo de Monumentos Nacionales (National Council of Monuments) on March 2006, point 172, for collecting samples from the studied locality. Also R.E. Yury-Yanez is granted with a Conicyt scolarship for Master's studies in Chile (Programa de Formacion de Capital Humano Avanzado).</t>
  </si>
  <si>
    <t>SERVICIO NACIONAL GEOLOGIA MINERVA</t>
  </si>
  <si>
    <t>SANTIAGO</t>
  </si>
  <si>
    <t>AVDA SANTA MARIO 0104, CASILLA 10465, SANTIAGO, CHILE</t>
  </si>
  <si>
    <t>0718-7106</t>
  </si>
  <si>
    <t>ANDEAN GEOL</t>
  </si>
  <si>
    <t>Andean Geol.</t>
  </si>
  <si>
    <t>10.5027/andgeoV39n3-a10</t>
  </si>
  <si>
    <t>069ER</t>
  </si>
  <si>
    <t>WOS:000313418600010</t>
  </si>
  <si>
    <t>Damé, L; Abe, L; Faurobert, M; Fineschi, S; Kuzin, S; Lamy, P; Meftah, M; Vives, S</t>
  </si>
  <si>
    <t>Faurobert, M; Fang, C; Corbard, T</t>
  </si>
  <si>
    <t>Dame, L.; Abe, L.; Faurobert, M.; Fineschi, S.; Kuzin, S.; Lamy, P.; Meftah, M.; Vives, S.</t>
  </si>
  <si>
    <t>ESCAPE: A FIRST STEP TO HIGH RESOLUTION SOLAR CORONAGRAPHY IN ANTARCTICA</t>
  </si>
  <si>
    <t>UNDERSTANDING SOLAR ACTIVITY: ADVANCES AND CHALLENGES</t>
  </si>
  <si>
    <t>EAS Publications Series</t>
  </si>
  <si>
    <t>4th French-Chinese Meeting on Solar Physics</t>
  </si>
  <si>
    <t>NOV 15-18, 2011</t>
  </si>
  <si>
    <t>Nice, FRANCE</t>
  </si>
  <si>
    <t>The Dome C high plateau is unique for coronagraphic observations: sky brightness is reduced, water vapour is low, seeing is excellent and continuity of observations on several weeks is possible. ESCAPE (the Extreme Solar Coronagraphy Antarctic Program Experiment) will perform 2-dimensional spectroscopy of the forbidden line of FeXIV at 530.285 nm: precise line profile analysis will allow the diagnostic of the nature of waves by simultaneous measurements of velocities and intensities in the corona. ESCAPE is proposed to Institut Paul-Emile Victor (IPEV) for a campaign in 2012-2013 at Dome C/Concordia since all subsystems are available in particular thanks to an ESA STARTIGER 2010 R&amp;D Toward a New Generation of Formation Flying Coronagraph. Using state-of-the-art technologies developed for Space missions (a Three Mirrors Anastigmat telescope, the TMA, a 4 stages Liquid Crystal Tunable-filter Polarimeter, the LCTP) allows us to propose an automated Coronal Green Line fullfield Polarimeter for unique observations (waves nature and intensity to address coronal heating) with the best possible performances on Earth and for preparing and testing the technologies for the next steps in Space. No other site would allow such coronagraphic performances (the sky brightness is a factor 2 to 4 better than in Hawai) and with high spatial resolution (better than an arcsec is possible).</t>
  </si>
  <si>
    <t>[Dame, L.; Meftah, M.] UVSQ, LATMOS, IPSL, CNRS, 11 Bd Alembert, F-78280 Guyancourt, France; [Abe, L.; Faurobert, M.] Univ Nice, CNRS, Lab Lagrange, F-06108 Nice, France; [Fineschi, S.] INAF, Osservatorio Astronom Torino, I-10025 Turin, Italy; [Kuzin, S.] Lebedev Phys Inst, Lab Solar X ray Astron, Moscow 119991, Russia; [Lamy, P.; Vives, S.] CNRS, Lab Astrophys Marseille, F-13388 Marseille 13, France</t>
  </si>
  <si>
    <t>Universite Paris Cite; Centre National de la Recherche Scientifique (CNRS); Sorbonne Universite; Universite Paris Saclay; Universite Cote d'Azur; Observatoire de la Cote d'Azur; Centre National de la Recherche Scientifique (CNRS); Istituto Nazionale Astrofisica (INAF); Russian Academy of Sciences; Russian Academy of Science Lebedev Physical Institute; Aix-Marseille Universite; Centre National de la Recherche Scientifique (CNRS)</t>
  </si>
  <si>
    <t>Damé, L (corresponding author), UVSQ, LATMOS, IPSL, CNRS, 11 Bd Alembert, F-78280 Guyancourt, France.</t>
  </si>
  <si>
    <t>luc.dame@latmos.ipsl.fr; marianne.faurobert@oca.eu</t>
  </si>
  <si>
    <t>Kuzin, Sergey/M-3435-2015</t>
  </si>
  <si>
    <t>E D P SCIENCES</t>
  </si>
  <si>
    <t>CEDEX A</t>
  </si>
  <si>
    <t>17 AVE DU HOGGAR PARC D ACTIVITES COUTABOEUF BP 112, F-91944 CEDEX A, FRANCE</t>
  </si>
  <si>
    <t>1633-4760</t>
  </si>
  <si>
    <t>978-2-7598-0752-9</t>
  </si>
  <si>
    <t>EAS PUBLICATIONS</t>
  </si>
  <si>
    <t>10.1051/eas/1255050</t>
  </si>
  <si>
    <t>BDE82</t>
  </si>
  <si>
    <t>WOS:000312967500050</t>
  </si>
  <si>
    <t>Zhuang, KL; Giardino, JR</t>
  </si>
  <si>
    <t>Zhuang, Kelin; Giardino, John R.</t>
  </si>
  <si>
    <t>Ocean Cooling Pattern at the Last Glacial Maximum</t>
  </si>
  <si>
    <t>ADVANCES IN METEOROLOGY</t>
  </si>
  <si>
    <t>CLIMATE</t>
  </si>
  <si>
    <t>Ocean temperature and ocean heat content change are analyzed based on four PMIP3 model results at the Last Glacial Maximum relative to the prehistorical run. Ocean cooling mostly occurs in the upper 1000 m depth and varies spatially in the tropical and temperate zones. The Atlantic Ocean experiences greater cooling than the rest of the ocean basins. Ocean cooling is closely related to the weakening of meridional overturning circulation and enhanced intrusion of Antarctic Bottom Water into the North Atlantic.</t>
  </si>
  <si>
    <t>[Zhuang, Kelin] Univ Arizona, Tucson, AZ 85721 USA; [Giardino, John R.] Texas A&amp;M Univ, College Stn, TX 77843 USA</t>
  </si>
  <si>
    <t>University of Arizona; Texas A&amp;M University System; Texas A&amp;M University College Station</t>
  </si>
  <si>
    <t>Zhuang, KL (corresponding author), Univ Arizona, Tucson, AZ 85721 USA.</t>
  </si>
  <si>
    <t>klzhuang@hotmail.com</t>
  </si>
  <si>
    <t>HINDAWI LTD</t>
  </si>
  <si>
    <t>ADAM HOUSE, 3RD FLR, 1 FITZROY SQ, LONDON, W1T 5HF, ENGLAND</t>
  </si>
  <si>
    <t>1687-9309</t>
  </si>
  <si>
    <t>1687-9317</t>
  </si>
  <si>
    <t>ADV METEOROL</t>
  </si>
  <si>
    <t>Adv. Meteorol.</t>
  </si>
  <si>
    <t>10.1155/2012/213743</t>
  </si>
  <si>
    <t>061AA</t>
  </si>
  <si>
    <t>WOS:000312818300001</t>
  </si>
  <si>
    <t>de Souza, GF; Reynolds, BC; Johnson, GC; Bullister, JL; Bourdon, B</t>
  </si>
  <si>
    <t>de Souza, G. F.; Reynolds, B. C.; Johnson, G. C.; Bullister, J. L.; Bourdon, B.</t>
  </si>
  <si>
    <t>Silicon stable isotope distribution traces Southern Ocean export of Si to the eastern South Pacific thermocline</t>
  </si>
  <si>
    <t>BIOGEOSCIENCES</t>
  </si>
  <si>
    <t>TOTAL GEOSTROPHIC CIRCULATION; HYDROGRAPHIC SECTION; FLOW PATTERNS; WATER; FRACTIONATION; MODE; VENTILATION; NUTRIENTS; DYNAMICS; ATLANTIC</t>
  </si>
  <si>
    <t>The cycling and transport of dissolved silicon (Si) in the ocean may be traced by its stable isotope composition, delta Si-30. We present a dataset of delta Si-30 values along 103 degrees W in the eastern South Pacific Ocean, ranging from the Antarctic Zone of the Southern Ocean (62 degrees S) to the equatorial Pacific (12 degrees S). At high southern latitudes, the uptake and associated isotope fractionation of Si by diatoms results in highly elevated delta Si-30 values (up to +3.2 parts per thousand) in the summer mixed layer. High delta Si-30 values (+2 parts per thousand) are also preserved in the high-latitude fossil winter mixed layer, documenting the efficient export of diatom opal beyond the maximum depth of winter convection. This elevated winter mixed layer delta Si-30 signature is introduced into the ocean interior by the subduction of Subantarctic Mode Water (SAMW) and Antarctic Intermediate Water (AAIW), whose northward spreading results in a strong isopycnal control on lower-thermocline and intermediate delta Si-30 values in the well-ventilated eastern South Pacific. Values of delta Si-30 are strongly conserved along SAMW and AAIW density levels as far north as 26 degrees S, documenting the importance of the export of preformed Si from the surface Southern Ocean to lower latitudes. In contrast, in the equatorial Pacific, depressed delta Si-30 values in the mesopelagic ocean are observed, most likely documenting the combined influence of a North Pacific Si source as well as the accumulation of remineralized Si within the eastern equatorial Pacific shadow zone. At depth, delta Si-30 values in the South Pacific remain indistinguishable from deep Southern Ocean values of +1.25 parts per thousand, even within Si-rich and oxygen-poor deep waters returning from the North Pacific. This homogeneity implies that the dissolution of opal plays a negligible role in altering the delta Si-30 value of deep waters as they traverse the deep Pacific Ocean.</t>
  </si>
  <si>
    <t>[de Souza, G. F.; Reynolds, B. C.; Bourdon, B.] ETH, Inst Geochem &amp; Petrol, Zurich, Switzerland; [Johnson, G. C.; Bullister, J. L.] Natl Ocean &amp; Atmospher Adm, Pacific Marine Environm Lab, Seattle, WA USA</t>
  </si>
  <si>
    <t>Swiss Federal Institutes of Technology Domain; ETH Zurich; National Oceanic Atmospheric Admin (NOAA) - USA</t>
  </si>
  <si>
    <t>de Souza, GF (corresponding author), Princeton Univ, Atmospher &amp; Ocean Sci Program, Princeton, NJ 08544 USA.</t>
  </si>
  <si>
    <t>gfds@princeton.edu</t>
  </si>
  <si>
    <t>Johnson, Gregory C/I-6559-2012</t>
  </si>
  <si>
    <t>Johnson, Gregory C/0000-0002-8023-4020; de Souza, Gregory/0000-0002-0232-2690</t>
  </si>
  <si>
    <t>NSF/NOAA; Swiss National Science Foundation [200021-116473, 200020-130361]; Swiss National Science Foundation (SNF) [200020_130361] Funding Source: Swiss National Science Foundation (SNF)</t>
  </si>
  <si>
    <t>NSF/NOAA(National Oceanic Atmospheric Admin (NOAA) - USA); Swiss National Science Foundation(Swiss National Science Foundation (SNSF)); Swiss National Science Foundation (SNF)(Swiss National Science Foundation (SNSF))</t>
  </si>
  <si>
    <t>William Landing is gratefully acknowledged for collecting samples for delta30Si analysis from the CLIVAR I06S re-occupation. Cruises 33RO20071215 and 33RR20080204 were undertaken as part of the US Repeat Hydrography Program funded by NSF/NOAA; the authors wish to thank the captains and crews of R/V Ronald H. Brown and Roger Revelle as well as K. Speer as Chief Scientist on cruise 33RR20080204. Bottle data were accessed from data files p18_33RO20071215_hy1.csv (dated 20111215) and i06s_33RR20080204_hy1.csv (dated 20110904), CLIVAR and Carbon Hydrographic Data Office, La Jolla, CA, USA; the contributions of Molly Baringer, Calvin Mordy, Jia-Zhong Zhang, Chris Langdon, and Mark Warner toward producing these data are acknowledged. The authors thank Damien Cardinal and an anonymous reviewer for their constructive reviews, and Christine Klaas for editorial handling. This study was supported by Swiss National Science Foundation grants 200021-116473 and 200020-130361.</t>
  </si>
  <si>
    <t>COPERNICUS GESELLSCHAFT MBH</t>
  </si>
  <si>
    <t>GOTTINGEN</t>
  </si>
  <si>
    <t>BAHNHOFSALLEE 1E, GOTTINGEN, 37081, GERMANY</t>
  </si>
  <si>
    <t>1726-4170</t>
  </si>
  <si>
    <t>1726-4189</t>
  </si>
  <si>
    <t>Biogeosciences</t>
  </si>
  <si>
    <t>10.5194/bg-9-4199-2012</t>
  </si>
  <si>
    <t>Ecology; Geosciences, Multidisciplinary</t>
  </si>
  <si>
    <t>058XC</t>
  </si>
  <si>
    <t>WOS:000312667300001</t>
  </si>
  <si>
    <t>Bown, J; Boye, M; Laan, P; Bowie, AR; Park, YH; Jeandel, C; Nelson, DM</t>
  </si>
  <si>
    <t>Bown, J.; Boye, M.; Laan, P.; Bowie, A. R.; Park, Y. -H.; Jeandel, C.; Nelson, D. M.</t>
  </si>
  <si>
    <t>Imprint of a dissolved cobalt basaltic source on the Kerguelen Plateau</t>
  </si>
  <si>
    <t>NATURAL IRON-FERTILIZATION; SOUTHERN-OCEAN; TRACE-METALS; BIOGEOCHEMICAL CYCLE; ORGANIC COMPLEXATION; RADIUM ISOTOPES; ATLANTIC-OCEAN; MANTLE PLUME; PHYTOPLANKTON; SPECIATION</t>
  </si>
  <si>
    <t>Processes of cobalt (Co) entrainment from shelf sediments over the Kerguelen Plateau were studied during the KEOPS (Kerguelen Ocean Plateau compared Study) in order to explain the exceptionally high dissolved cobalt concentrations that have been measured in the surface waters above the Kerguelen Plateau, and in intermediate and deep waters above its eastern slope. Lateral advection and dissolution of Co contained in basalt sediments around Heard Island, a main source of lithogenic Co in the study area, were shown to imprint the process of surface enrichment over the plateau. Dissolved Co enrichment was strongest at the intercept of the eastern slope with intermediate and deep waters, probably due to more efficient mobilisation of the sediments in the slope current, in addition to advection of Co-enriched and low-oxygenated ocean water masses. In surface waters, the strong sedimentary Co inputs were estimated to be much higher than biological Co uptake in phytoplankton blooms, underlining the potential use of dissolved cobalt as tracer of the natural iron fertilization above the Kerguelen Plateau. Based on a simple steady-state balance equation of the external input of dissolved iron over the plateau, the fertilization of iron inferred by using dissolved Co as a tracer of basalt sources is estimated to be 28 x 10(2) +/- 21 x 10(2) t yr(-1) in surface waters of the Kerguelen Plateau. This estimate is consistent with preceding ones (Zhang et al., 2008; Chever et al., 2010), and the calculated iron supply matches with the phytoplankton demand (Sarthou et al., 2008).</t>
  </si>
  <si>
    <t>[Bown, J.; Boye, M.; Nelson, D. M.] Inst Univ Europeen Mer, UMS3113, CNRS Lab Sci Environm MARin, F-29280 Plouzane, France; [Laan, P.] Royal Netherlands Inst Sea Res NIOZ, Dept Marine Chem &amp; Geol, Texel, Netherlands; [Bowie, A. R.] Univ Tasmania, ACE CRC, Hobart, Tas 7001, Australia; [Bowie, A. R.] Univ Tasmania, IMAS, Hobart, Tas 7001, Australia; [Park, Y. -H.] Museum Hist Nat, LOCEAN USM 402, Dept Milieux &amp; Peuplements Aquat, F-75231 Paris 05, France; [Jeandel, C.] Univ Toulouse, LEGOS, UMR5566, Observ Midi Pyrenees,CNRS CNES IRD, F-31400 Toulouse, France</t>
  </si>
  <si>
    <t>Universite de Bretagne Occidentale; Institut Universitaire Europeen de la Mer (IUEM); Centre National de la Recherche Scientifique (CNRS); CNRS - National Institute for Earth Sciences &amp; Astronomy (INSU); Ifremer; Institut de Recherche pour le Developpement (IRD); Utrecht University; Royal Netherlands Institute for Sea Research (NIOZ); Antarctic Climate &amp; Ecosystems Cooperative Research Centre (ACE CRC); University of Tasmania; University of Tasmania; Museum National d'Histoire Naturelle (MNHN); Universite de Toulouse; Universite Toulouse III - Paul Sabatier; Centre National de la Recherche Scientifique (CNRS); Institut de Recherche pour le Developpement (IRD); Laboratoire d'Etudes en Geophysique et oceanographie spatiales; CNRS - National Institute for Earth Sciences &amp; Astronomy (INSU)</t>
  </si>
  <si>
    <t>Bown, J (corresponding author), Inst Univ Europeen Mer, UMS3113, CNRS Lab Sci Environm MARin, Technopole Brest Iroise, F-29280 Plouzane, France.</t>
  </si>
  <si>
    <t>johann.bown@univ-brest.fr</t>
  </si>
  <si>
    <t>Jeandel, Catherine/P-3789-2014; Bowie, Andrew/C-8677-2013</t>
  </si>
  <si>
    <t>Jeandel, Catherine/0000-0002-4915-4719; Bowie, Andrew/0000-0002-5144-7799</t>
  </si>
  <si>
    <t>Institut National des Sciences de l'Univers (INSU); French Polar Institute (Institut Polaire Paul Emile Victor, IPEV); Antarctic Climate and Ecosystems Cooperative Research Centre; Region Bretagne; CNRS-INSU</t>
  </si>
  <si>
    <t>Institut National des Sciences de l'Univers (INSU); French Polar Institute (Institut Polaire Paul Emile Victor, IPEV); Antarctic Climate and Ecosystems Cooperative Research Centre(Australian GovernmentDepartment of Industry, Innovation and ScienceCooperative Research Centres (CRC) Programme); Region Bretagne(Region Bretagne); CNRS-INSU(Centre National de la Recherche Scientifique (CNRS))</t>
  </si>
  <si>
    <t>We are grateful to the Project Coordinator Stephane Blain, to Bernard Queguiner, the Chief Scientist, and to the captain and crew of R/V Marion Dufresne II for their support on board. We also would like to thank T. Wagener for his help during sampling operations. We warmly thank Mak Saito and an anonymous referee for their constructive review. This work was supported by the Institut National des Sciences de l'Univers (INSU), the French Polar Institute (Institut Polaire Paul Emile Victor, IPEV) and the Antarctic Climate and Ecosystems Cooperative Research Centre. The Region Bretagne was supporting the PhD fellowship of J.B.; The publication of this article is financed by CNRS-INSU.</t>
  </si>
  <si>
    <t>10.5194/bg-9-5279-2012</t>
  </si>
  <si>
    <t>058XJ</t>
  </si>
  <si>
    <t>WOS:000312668100025</t>
  </si>
  <si>
    <t>Vallelonga, P; Bertagna, G; Blunier, T; Kjær, HA; Popp, TJ; Rasmussen, SO; Steffensen, JP; Stowasser, C; Svensson, AS; Warming, E; Winstrup, M; Bigler, M; Kipfstuhl, S</t>
  </si>
  <si>
    <t>Vallelonga, P.; Bertagna, G.; Blunier, T.; Kjaer, H. A.; Popp, T. J.; Rasmussen, S. O.; Steffensen, J. P.; Stowasser, C.; Svensson, A. S.; Warming, E.; Winstrup, M.; Bigler, M.; Kipfstuhl, S.</t>
  </si>
  <si>
    <t>Duration of Greenland Stadial 22 and ice-gas Δage from counting of annual layers in Greenland NGRIP ice core</t>
  </si>
  <si>
    <t>CLIMATE OF THE PAST</t>
  </si>
  <si>
    <t>LAST GLACIAL PERIOD; CONTINUOUS-FLOW ANALYSIS; ABRUPT CLIMATE-CHANGE; MILLENNIAL-SCALE; POLAR ICE; NORTHGRIP; ANTARCTICA; RECORD; SYNCHRONIZATION; VARIABILITY</t>
  </si>
  <si>
    <t>High-resolution measurements of chemical impurities and methane concentrations in Greenland ice core samples from the early glacial period allow the extension of annual-layer counted chronologies and the improvement of gas age-ice age difference (Delta age) essential to the synchronization of ice core records. We report high-resolution measurements of a 50m section of the NorthGRIP ice core and corresponding annual layer thicknesses in order to constrain the duration of the Greenland Stadial 22 (GS-22) between Greenland Interstadials (GIs) 21 and 22, for which inconsistent durations and ages have been reported from Greenland and Antarctic ice core records as well as European speleothems. Depending on the chronology used, GS-22 occurred between approximately 89 (end of GI-22) and 83 kyr b2k (onset of GI-21). From annual layer counting, we find that GS-22 lasted between 2696 and 3092 years and was followed by a GI-21 pre-cursor event lasting between 331 and 369 yr. Our layer-based counting agrees with the duration of stadial 22 as determined from the NALPS speleothem record (3250 +/- 526 yr) but not with that of the GICC05modelext chronology (2620 yr) or an alternative chronology based on gas-marker synchronization to EPICA Dronning Maud Land ice core. These results show that GICC05modelext overestimates accumulation and/or underestimates thinning in this early part of the last glacial period. We also revise the possible ranges of NorthGRIP Delta depth (5.49 to 5.85 m) and Delta age (498 to 601 yr) at the warming onset of GI-21 as well as the Delta age range at the onset of the GI-21 precursor warming (523 to 654 yr), observing that temperature (represented by the delta N-15 proxy) increases before CH4 concentration by no more than a few decades.</t>
  </si>
  <si>
    <t>[Vallelonga, P.; Bertagna, G.; Blunier, T.; Kjaer, H. A.; Popp, T. J.; Rasmussen, S. O.; Steffensen, J. P.; Stowasser, C.; Svensson, A. S.; Warming, E.; Winstrup, M.] Univ Copenhagen, Niels Bohr Inst, Ctr Ice &amp; Climate, DK-2100 Copenhagen O, Denmark; [Bigler, M.] Univ Bern, Inst Phys, CH-3012 Bern, Switzerland; [Bigler, M.] Univ Bern, Oeschger Ctr Climate Change Res, CH-3012 Bern, Switzerland; [Kipfstuhl, S.] Alfred Wegener Inst, D-27568 Bremerhaven, Germany</t>
  </si>
  <si>
    <t>University of Copenhagen; Niels Bohr Institute; University of Bern; University of Bern; Helmholtz Association; Alfred Wegener Institute, Helmholtz Centre for Polar &amp; Marine Research</t>
  </si>
  <si>
    <t>Vallelonga, P (corresponding author), Univ Copenhagen, Niels Bohr Inst, Ctr Ice &amp; Climate, Juliane Maries Vej 30, DK-2100 Copenhagen O, Denmark.</t>
  </si>
  <si>
    <t>ptravis@nbi.ku.dk</t>
  </si>
  <si>
    <t>Kjær, Helle Astrid/HGC-7941-2022; Steffensen, Jorgen Peder/JFS-7831-2023; Rasmussen, Sune Olander/AAA-3190-2021; Svensson, Anders/A-2643-2010; Rasmussen, Sune/B-5560-2008; Bigler, Matthias/HTT-3872-2023; Blunier, Thomas/M-4609-2014; Vallelonga, Paul/I-9650-2016; Winstrup, Mai/M-5844-2014</t>
  </si>
  <si>
    <t>Kjær, Helle Astrid/0000-0002-3781-9509; Steffensen, Jorgen Peder/0000-0002-5516-1093; Rasmussen, Sune Olander/0000-0002-4177-3611; Svensson, Anders/0000-0002-4364-6085; Bigler, Matthias/0000-0003-0184-4013; Blunier, Thomas/0000-0002-6065-7747; Vallelonga, Paul/0000-0003-1055-7235; Winstrup, Mai/0000-0002-4794-4004</t>
  </si>
  <si>
    <t>Denmark (SNF/FNU); Belgium (FNRS-CFB); France (IFRTP); France (INSU/CNRS); Germany (AWI); Iceland (RannIs); Japan (MEXT); Sweden (SPRS); Switzerland (SNF); United States of America (NSF)</t>
  </si>
  <si>
    <t>Denmark (SNF/FNU); Belgium (FNRS-CFB)(Fonds de la Recherche Scientifique - FNRS); France (IFRTP); France (INSU/CNRS)(Centre National de la Recherche Scientifique (CNRS)); Germany (AWI); Iceland (RannIs); Japan (MEXT)(Ministry of Education, Culture, Sports, Science and Technology, Japan (MEXT)); Sweden (SPRS); Switzerland (SNF); United States of America (NSF)</t>
  </si>
  <si>
    <t>We thank Bo Vinther, Emelie Capron, Amaelle Landais and Myriam Guillevic for helpful discussions. This work is a contribution to the NorthGRIP ice core project, which is directed and organized by the Centre for Ice and Climate at the Niels Bohr Institute, University of Copenhagen. It is being supported by funding agencies in Denmark (SNF/FNU), Belgium (FNRS-CFB), France (IFRTP and INSU/CNRS), Germany (AWI), Iceland (RannIs), Japan (MEXT), Sweden (SPRS), Switzerland (SNF) and the United States of America (NSF).</t>
  </si>
  <si>
    <t>1814-9324</t>
  </si>
  <si>
    <t>CLIM PAST</t>
  </si>
  <si>
    <t>Clim. Past.</t>
  </si>
  <si>
    <t>10.5194/cp-8-1839-2012</t>
  </si>
  <si>
    <t>Geosciences, Multidisciplinary; Meteorology &amp; Atmospheric Sciences</t>
  </si>
  <si>
    <t>Geology; Meteorology &amp; Atmospheric Sciences</t>
  </si>
  <si>
    <t>058XP</t>
  </si>
  <si>
    <t>WOS:000312668700004</t>
  </si>
  <si>
    <t>Schwamborn, G; Fedorov, G; Ostanin, N; Schirrmeister, L; Andreev, A</t>
  </si>
  <si>
    <t>Schwamborn, G.; Fedorov, G.; Ostanin, N.; Schirrmeister, L.; Andreev, A.</t>
  </si>
  <si>
    <t>El'gygytgyn Sci Party</t>
  </si>
  <si>
    <t>Depositional dynamics in the El'gygytgyn Crater margin: implications for the 3.6Ma old sediment archive</t>
  </si>
  <si>
    <t>LAKE ELGYGYTGYN; ALLUVIAL FANS; IMPACT CRATER; CENTRAL CHUKOTKA; CLIMATE; RECORD; VEGETATION; ATLANTIC; SIBERIA</t>
  </si>
  <si>
    <t>The combination of permafrost history and dynamics, lake level changes and the tectonical framework is considered to play a crucial role for sediment delivery to El'gygytgyn Crater Lake, NE Russian Arctic. The purpose of this study is to propose a depositional framework based on analyses of the core strata from the lake margin and historical reconstructions from various studies at the site. A sedimentological program has been conducted using frozen core samples from the 141.5m long El'gygytgyn 5011-3 permafrost well. The drill site is located in sedimentary permafrost west of the lake that partly fills the El'gygytgyn Crater. The total core sequence is interpreted as strata building up a progradational alluvial fan delta. Four macroscopically distinct sedimentary units are identified. Unit 1 (141.5-117.0 m) is comprised of ice-cemented, matrix-supported sandy gravel and intercalated sandy layers. Sandy layers represent sediments which rained out as particles in the deeper part of the water column under highly energetic conditions. Unit 2 (117.0-24.25 m) is dominated by ice-cemented, matrix-supported sandy gravel with individual gravel layers. Most of the Unit 2 diamicton is understood to result from alluvial wash and subsequent gravitational sliding of coarse-grained (sandy gravel) material on the basin slope. Unit 3 (24.25-8.5 m) has ice-cemented, matrix-supported sandy gravel that is interrupted by sand beds. These sandy beds are associated with flooding events and represent near-shore sandy shoals. Unit 4 (8.5-0.0 m) is ice-cemented, matrix-supported sandy gravel with varying ice content, mostly higher than below. It consists of slope material and creek fill deposits. The uppermost metre is the active layer (i.e. the top layer of soil with seasonal freeze and thaw) into which modern soil organic matter has been incorporated. The nature of the progradational sediment transport taking place from the western and northern crater margins may be related to the complementary occurrence of frequent turbiditic layers in the central lake basin, as is known from the lake sediment record. Slope processes such as gravitational sliding and sheet flooding occur especially during spring melt and promote mass wasting into the basin. Tectonics are inferred to have initiated the fan accumulation in the first place and possibly the off-centre displacement of the crater lake.</t>
  </si>
  <si>
    <t>[Schwamborn, G.; Schirrmeister, L.] Alfred Wegener Inst Polar &amp; Marine Res, D-14473 Potsdam, Germany; [Fedorov, G.] Arctic &amp; Antarctic Res Inst, St Petersburg 199397, Russia; [Ostanin, N.] St Petersburg State Univ, Fac Geog &amp; Geoecol, St Petersburg 199178, Russia; [Andreev, A.] Univ Cologne, Inst Geol &amp; Mineral, D-50674 Cologne, Germany</t>
  </si>
  <si>
    <t>Helmholtz Association; Alfred Wegener Institute, Helmholtz Centre for Polar &amp; Marine Research; Arctic &amp; Antarctic Research Institute; Saint Petersburg State University; University of Cologne</t>
  </si>
  <si>
    <t>Schwamborn, G (corresponding author), Alfred Wegener Inst Polar &amp; Marine Res, D-14473 Potsdam, Germany.</t>
  </si>
  <si>
    <t>georg.schwamborn@awi.de</t>
  </si>
  <si>
    <t>Schirrmeister, Lutz/AGW-0545-2022; Schirrmeister, Lutz/O-5584-2015; Fedorov, Grigory/N-3444-2013; Fedorov, Grigory/N-5788-2019; Andreev, Andrei A/J-2701-2015; Schwamborn, Georg Johannes/ABC-9636-2020</t>
  </si>
  <si>
    <t>Schirrmeister, Lutz/0000-0001-9455-0596; Schirrmeister, Lutz/0000-0001-9455-0596; Fedorov, Grigory/0000-0003-2269-4501; Fedorov, Grigory/0000-0003-2269-4501; Andreev, Andrei A/0000-0002-8745-9636; Schwamborn, Georg Johannes/0000-0001-9635-0539</t>
  </si>
  <si>
    <t>ICDP; US National Science Foundation (NSF); German Federal Ministry of Education and Research (BMBF); Alfred Wegener Institute for Polar and Marine Research (AWI); GeoForschungsZentrum Potsdam (GFZ); Russian Academy of Sciences Far East Branch (RAS FEB); Russian Foundation for Basic Research (RFBR); Austrian Federal Ministry of Science and Research (BMWF)</t>
  </si>
  <si>
    <t>ICDP; US National Science Foundation (NSF)(National Science Foundation (NSF)); German Federal Ministry of Education and Research (BMBF)(Federal Ministry of Education &amp; Research (BMBF)); Alfred Wegener Institute for Polar and Marine Research (AWI); GeoForschungsZentrum Potsdam (GFZ); Russian Academy of Sciences Far East Branch (RAS FEB); Russian Foundation for Basic Research (RFBR)(Russian Foundation for Basic Research (RFBR)); Austrian Federal Ministry of Science and Research (BMWF)</t>
  </si>
  <si>
    <t>Funding for this research was provided by the ICDP, the US National Science Foundation (NSF), the German Federal Ministry of Education and Research (BMBF), the Alfred Wegener Institute for Polar and Marine Research (AWI) and GeoForschungsZentrum Potsdam (GFZ), the Russian Academy of Sciences Far East Branch (RAS FEB), the Russian Foundation for Basic Research (RFBR), and the Austrian Federal Ministry of Science and Research (BMWF). A Russian mining rig (SIF-650M) was employed by Sergey Gutov and his crew from a local drilling company (Chaun Mining Corp., Pevek). The lab support by Antje Eulenburg and Ute Bastian is highly appreciated. The authors would like to thank the two reviewers J. Tunnicliffe and anonymous as their valuable and constructive remarks greatly improved the early version of the manuscript.</t>
  </si>
  <si>
    <t>1814-9332</t>
  </si>
  <si>
    <t>10.5194/cp-8-1897-2012</t>
  </si>
  <si>
    <t>WOS:000312668700008</t>
  </si>
  <si>
    <t>Plummer, CT; Curran, MAJ; van Ommen, TD; Rasmussen, SO; Moy, AD; Vance, TR; Clausen, HB; Vinther, BM; Mayewski, PA</t>
  </si>
  <si>
    <t>Plummer, C. T.; Curran, M. A. J.; van Ommen, T. D.; Rasmussen, S. O.; Moy, A. D.; Vance, T. R.; Clausen, H. B.; Vinther, B. M.; Mayewski, P. A.</t>
  </si>
  <si>
    <t>An independently dated 2000-yr volcanic record from Law Dome, East Antarctica, including a new perspective on the dating of the 1450s CE eruption of Kuwae, Vanuatu</t>
  </si>
  <si>
    <t>GREENLAND ICE CORE; EXPLOSIVE VOLCANISM; CLIMATE; AD; VARIABILITY; EVENTS; RINGS</t>
  </si>
  <si>
    <t>Volcanic eruptions are an important cause of natural climate variability. In order to improve the accuracy of climate models, precise dating and magnitude of the climatic effects of past volcanism are necessary. Here we present a 2000-yr record of Southern Hemisphere volcanism recorded in ice cores from the high accumulation Law Dome site, East Antarctica. The ice cores were analysed for a suite of chemistry signals and are independently dated via annual layer counting, with 11 ambiguous years at 23 BCE, which has presently the lowest error of all published long Antarctic ice cores. Independently dated records are important to avoid circular dating where volcanic signatures are assigned a date from some external information rather than using the date it is found in the ice core. Forty-five volcanic events have been identified using the sulphate chemistry of the Law Dome record. The low dating error and comparison with the NGRIP (North Greenland Ice Core Project) volcanic records (on the GICC05 timescale) suggest Law Dome is the most accurately dated Antarctic volcanic dataset, which will improve the dating of individual volcanic events and potentially allow better correlation between ice core records, leading to improvements in global volcanic forcing datasets. One of the most important volcanic events of the last two millennia is the large 1450s CE event, usually assigned to the eruption of Kuwae, Vanuatu. In this study, we review the evidence surrounding the presently accepted date for this event, and make the case that two separate eruptions have caused confusion in the assignment of this event. Volcanic sulphate deposition estimates are important for modelling the climatic response to eruptions. The largest volcanic sulphate events in our record are dated at 1458 CE (Kuwae?, Vanuatu), 1257 and 422 CE ( unidentified).</t>
  </si>
  <si>
    <t>[Plummer, C. T.; Curran, M. A. J.; van Ommen, T. D.; Moy, A. D.; Vance, T. R.] Univ Tasmania, Antarctic Climate &amp; Ecosyst Cooperat Res Ctr, Hobart, Tas, Australia; [Plummer, C. T.] Univ Tasmania, Inst Marine &amp; Antarctic Studies, Hobart, Tas, Australia; [Curran, M. A. J.; van Ommen, T. D.; Moy, A. D.] Australian Antarctic Div, Kingston, Tas, Australia; [Rasmussen, S. O.; Clausen, H. B.; Vinther, B. M.] Univ Copenhagen, Ctr Ice &amp; Climate, Copenhagen, Denmark; [Mayewski, P. A.] Univ Maine, Climate Change Inst, Orono, ME USA</t>
  </si>
  <si>
    <t>University of Tasmania; Antarctic Climate &amp; Ecosystems Cooperative Research Centre (ACE CRC); University of Tasmania; Australian Antarctic Division; University of Copenhagen; University of Maine System; University of Maine Orono</t>
  </si>
  <si>
    <t>Curran, MAJ (corresponding author), Univ Tasmania, Antarctic Climate &amp; Ecosyst Cooperat Res Ctr, Hobart, Tas, Australia.</t>
  </si>
  <si>
    <t>mark.curran@aad.gov.au</t>
  </si>
  <si>
    <t>Mayewski, Paul Andrew/HRD-6969-2023; Clausen, Helene/AAU-8786-2020; Rasmussen, Sune/B-5560-2008; Rasmussen, Sune Olander/AAA-3190-2021; van Ommen, Tas/B-5020-2012</t>
  </si>
  <si>
    <t>Rasmussen, Sune Olander/0000-0002-4177-3611; Vinther, Bo/0000-0002-6078-771X; Vance, Tessa/0000-0001-6970-8646; Moy, Andrew/0000-0002-7664-9960; Plummer, Christopher/0000-0002-9765-5753; van Ommen, Tas/0000-0002-2463-1718</t>
  </si>
  <si>
    <t>10.5194/cp-8-1929-2012</t>
  </si>
  <si>
    <t>WOS:000312668700010</t>
  </si>
  <si>
    <t>Dawber, CF; Tripati, AK</t>
  </si>
  <si>
    <t>Dawber, C. F.; Tripati, A. K.</t>
  </si>
  <si>
    <t>Exploring the controls on element ratios in middle Eocene samples of the benthic foraminifera Oridorsalis umbonatus</t>
  </si>
  <si>
    <t>WATER CARBONATE SATURATION; DEEP-SEA; MG/CA-PALEOTHERMOMETRY; ANTARCTIC GLACIATION; CALCITE COMPENSATION; BIPOLAR GLACIATION; SEAWATER; TEMPERATURE; RECORD; SR/CA</t>
  </si>
  <si>
    <t>Culturing studies and empirically based core top calibrations have been used to infer that elemental ratios in benthic foraminifera can be used as proxies to reconstruct past variations in bottom water temperature and saturation state (Delta[CO32-]). However the mechanisms linking elemental ratios to these parameters are poorly constrained. Here, we explore the environmental parameters influencing the incorporation of B, Li, Sr and Mg in Oridorsalis umbonatus in early Cenozoic sediments from Ocean Drilling Program Site 1209. We investigate the influence of middle Eocene variations in intermediate water Delta[CO32-] using relationships developed from core top samples. The fidelity of bottom water Delta[CO32-] reconstructions based on single element ratios is assessed by comparing the X/Ca-based reconstructions to each other and to carbon cycle proxy records (benthic foraminifera delta C-13, organic carbon content, foraminifera dissolution indices), and a seawater delta O-18 reconstruction for Site 1209. Discrepancies in the reconstructed Delta[CO32-] values based on these different metal ratios suggest that there are still gaps in our understanding of the parameters influencing X/Ca and demonstrate that caution is required when interpreting palaeo-reconstructions that are derived from a single elemental ratio. The downcore record of O. umbonatus Mg/Ca does not exhibit any similarities with the Li/Ca, B/Ca and Sr/Ca records, suggesting that the environmental parameters influencing Mg/Ca may be different for this species, consistent with temperature as the strongest control on this elemental ratio. This hypothesis is supported by the coefficients of multiple linear regression models on published Mg/Ca data. An incomplete understanding of the controls on elemental incorporation into benthic foraminifera hinders our ability to confidently quantify changes in saturation state using single X/Ca reconstructions over a range of timescales.</t>
  </si>
  <si>
    <t>[Dawber, C. F.] Univ Cambridge, Dept Earth Sci, Cambridge CB1 2EQ, England; [Tripati, A. K.] Univ Calif Los Angeles, Dept Earth &amp; Space Sci, Los Angeles, CA 90024 USA; [Tripati, A. K.] Univ Calif Los Angeles, Dept Atmospher &amp; Ocean Sci, Los Angeles, CA USA; [Tripati, A. K.] Univ Calif Los Angeles, Inst Environm &amp; Sustainabil, Los Angeles, CA USA</t>
  </si>
  <si>
    <t>University of Cambridge; University of California System; University of California Los Angeles; University of California System; University of California Los Angeles; University of California System; University of California Los Angeles</t>
  </si>
  <si>
    <t>Dawber, CF (corresponding author), Univ Cambridge, Dept Earth Sci, Downing St, Cambridge CB1 2EQ, England.</t>
  </si>
  <si>
    <t>dawber.caroline@gmail.com; ripple@zephyr.ess.ucla.edu</t>
  </si>
  <si>
    <t>Tripati, Aradhna/C-9419-2011</t>
  </si>
  <si>
    <t>Tripati, Aradhna/0000-0002-1695-1754</t>
  </si>
  <si>
    <t>NERC; UCLA by a Hellman Fellowship; UCLA FRG grant; Magdalene College at the University of Cambridge</t>
  </si>
  <si>
    <t>NERC(UK Research &amp; Innovation (UKRI)Natural Environment Research Council (NERC)); UCLA by a Hellman Fellowship; UCLA FRG grant; Magdalene College at the University of Cambridge</t>
  </si>
  <si>
    <t>The authors gratefully acknowledge L. Booth, M. Greaves, and J. Day for providing technical assistance, members of the Department of Earth Sciences at Cambridge for discussions of this work, and thoughtful comments from the reviewers and editor on earlier versions of this manuscript. C. F. D. was funded by a NERC studentship. A. K. T. was supported at UCLA by a Hellman Fellowship and a UCLA FRG grant, as well as a NERC Postdoctoral Fellowship and a Junior Research Fellowship from Magdalene College at the University of Cambridge. This research used samples and data provided by the Ocean Drilling Program (ODP).</t>
  </si>
  <si>
    <t>10.5194/cp-8-1957-2012</t>
  </si>
  <si>
    <t>WOS:000312668700012</t>
  </si>
  <si>
    <t>Verfaillie, D; Fily, M; Le Meur, E; Magand, O; Jourdain, B; Arnaud, L; Favier, V</t>
  </si>
  <si>
    <t>Verfaillie, D.; Fily, M.; Le Meur, E.; Magand, O.; Jourdain, B.; Arnaud, L.; Favier, V.</t>
  </si>
  <si>
    <t>Snow accumulation variability derived from radar and firn core data along a 600 km transect in Adelie Land, East Antarctic plateau</t>
  </si>
  <si>
    <t>CRYOSPHERE</t>
  </si>
  <si>
    <t>DRONNING MAUD LAND; DOME-C; SPATIAL VARIABILITY; TERRE ADELIE; ICE; CLIMATE; PRECIPITATION; ABLATION; PROFILE; MODEL</t>
  </si>
  <si>
    <t>The mass balance of ice sheets is an intensively studied topic in the context of global change and sea-level rise. However - particularly in Antarctica - obtaining mass balance estimates remains difficult due to various logistical problems. In the framework of the TASTE-IDEA (Trans-Antarctic Scientific Traverses Expeditions - Ice Divide of East Antarctica) program, an International Polar Year project, continuous ground penetrating radar (GPR) measurements were carried out during a traverse in Adelie Land (East Antarctica) during the 2008-2009 austral summer between the Italian-French Dome C (DC) polar plateau site and French Dumont D'Urville (DdU) coastal station. The aim of this study was to process and interpret GPR data in terms of snow accumulation, to analyse its spatial and temporal variability and compare it with historical data and modelling. The focus was on the last 300 yr, from the pre-industrial period to recent times. Beta-radioactivity counting and gamma spectrometry were applied to cores at the LGGE laboratory, providing a depth-age calibration for radar measurements. Over the 600 km of usable GPR data, depth and snow accumulation were determined with the help of three distinct layers visible on the radargrams (approximate to 1730, 1799 and 1941 AD). Preliminary results reveal a gradual increase in accumulation towards the coast (from approximate to 3 cm w.e. a(-1) at Dome C to approximate to 17 cm w.e. a(-1) at the end of the transect) and previously undocumented undulating structures between 300 and 600 km from DC. Results agree fairly well with data from previous studies and modelling. Drawing final conclusions on temporal variations is difficult because of the margin of error introduced by density estimation. This study should have various applications, including model validation.</t>
  </si>
  <si>
    <t>[Verfaillie, D.; Fily, M.; Le Meur, E.; Magand, O.; Jourdain, B.; Arnaud, L.; Favier, V.] Lab Glaciol &amp; Geophys Environm, UMR5183, F-38402 St Martin Dheres, France</t>
  </si>
  <si>
    <t>Verfaillie, D (corresponding author), Lab Glaciol &amp; Geophys Environm, UMR5183, F-38402 St Martin Dheres, France.</t>
  </si>
  <si>
    <t>dverfaillie@lgge.obs.ujf-grenoble.fr</t>
  </si>
  <si>
    <t>Favier, Vincent/T-1936-2017</t>
  </si>
  <si>
    <t>Favier, Vincent/0000-0001-6024-9498; arnaud, laurent/0000-0002-4432-4205; Verfaillie, Deborah/0000-0003-0603-0780</t>
  </si>
  <si>
    <t>IPEV; ANR [ANR-07-VULN-013, ANR-07-BLAN-0125]; CNRS-INSU; Agence Nationale de la Recherche (ANR) [ANR-07-BLAN-0125] Funding Source: Agence Nationale de la Recherche (ANR)</t>
  </si>
  <si>
    <t>IPEV; ANR(Agence Nationale de la Recherche (ANR)); CNRS-INSU(Centre National de la Recherche Scientifique (CNRS)); Agence Nationale de la Recherche (ANR)(Agence Nationale de la Recherche (ANR))</t>
  </si>
  <si>
    <t>We would like to thank M. Frezzotti, and S. Urbini for the advice they gave at the start of this study. We also thank Cecile Agosta for her help with model accumulation results, the GLACIOCLIM-SAMBA observatory for providing stake data at DC, and Paul Duval and Hubert Gallee for the advice they gave on specific topics related to this study. This study was made possible thanks to IPEV and ANR funding (VANISH project no. ANR-07-VULN-013 and Dome A project no. ANR-07-BLAN-0125).; The publication of this article is financed by CNRS-INSU.</t>
  </si>
  <si>
    <t>1994-0416</t>
  </si>
  <si>
    <t>1994-0424</t>
  </si>
  <si>
    <t>Cryosphere</t>
  </si>
  <si>
    <t>10.5194/tc-6-1345-2012</t>
  </si>
  <si>
    <t>059IV</t>
  </si>
  <si>
    <t>WOS:000312698800009</t>
  </si>
  <si>
    <t>Ashley, MCB; Augarten, Y; Bonner, CS; Burton, MG; Bycroft, L; Lawrence, JS; Luong-Van, DM; McDaid, S; McLaren, C; Sims, G; Storey, JWV</t>
  </si>
  <si>
    <t>Stepp, LM; Gilmozzi, R; Hall, HJ</t>
  </si>
  <si>
    <t>Ashley, Michael C. B.; Augarten, Yael; Bonner, Colin S.; Burton, Michael G.; Bycroft, Luke; Lawrence, Jon S.; Luong-Van, Daniel M.; McDaid, Scott; McLaren, Campbell; Sims, Geoff; Storey, John W. V.</t>
  </si>
  <si>
    <t>PLATO-R: a new concept for Antarctic science</t>
  </si>
  <si>
    <t>GROUND-BASED AND AIRBORNE TELESCOPES IV</t>
  </si>
  <si>
    <t>PLATO; PLATO-R; Ridge A; Antarctic astronomy; robotic observatory</t>
  </si>
  <si>
    <t>PLATO-R is an autonomous, robotic observatory that can be deployed anywhere on the Antarctic plateau by Twin Otter aircraft. It provides heat, data acquisition, communications, and up to 1 kW of electric power to support astronomical and other experiments throughout the year. PLATO-R was deployed in 2012 January to Ridge A, believed to be the site with the lowest precipitable water vapour (and hence the best atmospheric transmission at terahertz frequencies) on earth.(1-4) PLATO-R improves upon previous PLATO designs that were built into ten-foot shipping containers by being much smaller and lighter, allowing it to be field-deployable within 2-3 days by a crew of four.</t>
  </si>
  <si>
    <t>[Ashley, Michael C. B.; Augarten, Yael; Bonner, Colin S.; Burton, Michael G.; Bycroft, Luke; Luong-Van, Daniel M.; McDaid, Scott; McLaren, Campbell; Sims, Geoff; Storey, John W. V.] Univ New South Wales, Sch Phys, Sydney, NSW, Australia; [Lawrence, Jon S.] Australian Astron Observ, Sydney, NSW 1710, Australia</t>
  </si>
  <si>
    <t>University of New South Wales Sydney</t>
  </si>
  <si>
    <t>Ashley, MCB (corresponding author), Univ New South Wales, Sch Phys, Sydney, NSW, Australia.</t>
  </si>
  <si>
    <t>m.ashley@unsw.edu.au</t>
  </si>
  <si>
    <t>Lawrence, Jon/0000-0002-6998-6993; Ashley, Michael/0000-0003-1412-2028; Burton, Michael/0000-0001-7289-1998</t>
  </si>
  <si>
    <t>Australian Education Investment Fund; US National Science Foundation; United State Antarctic Program</t>
  </si>
  <si>
    <t>Australian Education Investment Fund; US National Science Foundation(National Science Foundation (NSF)); United State Antarctic Program</t>
  </si>
  <si>
    <t>This research is supported financially by the Australian Education Investment Fund,the US National Science Foundation, and the United State Antarctic Program.</t>
  </si>
  <si>
    <t>978-0-8194-9145-9</t>
  </si>
  <si>
    <t>84441R</t>
  </si>
  <si>
    <t>10.1117/12.925514</t>
  </si>
  <si>
    <t>Astronomy &amp; Astrophysics; Optics</t>
  </si>
  <si>
    <t>BDA16</t>
  </si>
  <si>
    <t>WOS:000312276100058</t>
  </si>
  <si>
    <t>Li, ZY; Yuan, XY; Cui, XQ; Wang, DX; Gong, XF; Du, FJ; Zhang, Y; Hu, Y; Wen, HK; Li, XY; Xu, LZ; Shang, ZH; Wang, LF</t>
  </si>
  <si>
    <t>Li, Zhengyang; Yuan, Xiangyan; Cui, Xiangqun; Wang, Daxing; Gong, Xuefei; Du, Fujia; Zhang, Yi; Hu, Yi; Wen, Haikun; Li, Xiaoyan; Xu, Lingzhe; Shang, Zhaohui; Wang, Lifan</t>
  </si>
  <si>
    <t>Status of the first Antarctic Survey Telescopes for Dome A</t>
  </si>
  <si>
    <t>Astronomical site; Dome A; Antarctica Survey Telescope; Automatic observations</t>
  </si>
  <si>
    <t>TRANSPARENCY; LAYER</t>
  </si>
  <si>
    <t>The preliminary site testing carried out since the beginning of 2008 shows the Antarctic Dome A is very likely to be the best astronomical site on earth even better than Dome C and suitable for observations ranging from optical wavelength to infrared and sub-millimeter. After the Chinese Small Telescope Array (CSTAR) which is composed of four small fixed telescopes with diameter of 145mm and mounted on Dome A in 2008 for site testing and variable star monitor, three Antarctic Survey Telescopes (AST3) were proposed for observations of supernovas and extrasolar planets searching. AST3 is composed of 3 large field of view catadioptric telescopes with 500mm entrance diameter and G, R, I filter for each. The telescopes can point and track autonomously along with a light and foldable dome to keep the snow and icing build up. A precise auto-focusing mechanism is designed to make the telescope work at the right focus under large temperature difference. The control and tracking components and assembly were successfully tested at from normal temperature down to -80 Celsius degree. Testing observations of the first AST3 showed it can deliver good and uniform images over the field of 8 square degrees. The first telescope was successfully mounted on Dome A in Jan. 2012 and the automatic observations were started from Mar. 2012.</t>
  </si>
  <si>
    <t>[Li, Zhengyang; Yuan, Xiangyan; Cui, Xiangqun; Wang, Daxing; Gong, Xuefei; Du, Fujia; Zhang, Yi; Wen, Haikun; Li, Xiaoyan; Xu, Lingzhe] Chinese Acad Sci, Nanjing Inst Astron Opt &amp; Technol, Natl Astron Observ, 188 Bancang St, Nanjing 210042, Jiangsu, Peoples R China; [Li, Zhengyang; Yuan, Xiangyan; Cui, Xiangqun; Wang, Daxing; Gong, Xuefei; Du, Fujia; Zhang, Yi; Wen, Haikun; Li, Xiaoyan; Xu, Lingzhe] Chinese Acad Sci, Nanjing Inst Astron Opt Technol, Key Lab Astron Opt Technol, Nanjing, Peoples R China; [Li, Zhengyang] Grad Univ Chinese Acad Sci, Beijing 100049, Peoples R China; [Hu, Yi; Shang, Zhaohui] Chinese Acad Sci, Natl Astron Observ, Beijing 100012, Peoples R China; [Yuan, Xiangyan; Cui, Xiangqun; Gong, Xuefei; Shang, Zhaohui; Wang, Lifan] Chinese Acad Sci, Purple Mt Observ, Nanjing 210008, Peoples R China; [Wang, Lifan] Chinese Ctr Antarct Astron, Beijing, Peoples R China</t>
  </si>
  <si>
    <t>Chinese Academy of Sciences; Nanjing Institute of Astronomical Optics &amp; Technology, NAOC, CAS; National Astronomical Observatory, CAS; Chinese Academy of Sciences; Nanjing Institute of Astronomical Optics &amp; Technology, NAOC, CAS; Chinese Academy of Sciences; University of Chinese Academy of Sciences, CAS; Chinese Academy of Sciences; National Astronomical Observatory, CAS; Purple Mountain Observatory, CAS; Chinese Academy of Sciences; Nanjing Institute of Astronomical Optics &amp; Technology, NAOC, CAS</t>
  </si>
  <si>
    <t>Li, ZY (corresponding author), Chinese Acad Sci, Nanjing Inst Astron Opt &amp; Technol, Natl Astron Observ, 188 Bancang St, Nanjing 210042, Jiangsu, Peoples R China.</t>
  </si>
  <si>
    <t>xyyuan@niaot.ac.cn</t>
  </si>
  <si>
    <t>ZHANG, YIFEI/GRO-0728-2022</t>
  </si>
  <si>
    <t>84441O</t>
  </si>
  <si>
    <t>10.1117/12.925867</t>
  </si>
  <si>
    <t>WOS:000312276100055</t>
  </si>
  <si>
    <t>Moore, AM; Ahmed, S; Ashley, MCB; Croner, E; Delacroix, A; Ebihara, Y; Fucik, J; Martin, DC; Velur, V; Weatherwax, A</t>
  </si>
  <si>
    <t>Moore, Anna M.; Ahmed, Sara; Ashley, Michael C. B.; Croner, Ernest; Delacroix, Alex; Ebihara, Yusuke; Fucik, Jason; Martin, D. Christopher; Velur, Viswa; Weatherwax, Allan</t>
  </si>
  <si>
    <t>The Gattini South Pole UV Experiment</t>
  </si>
  <si>
    <t>Gattini; South Pole; Antarctic wide field surveys; cosmic web; site testing; cloud cover; aurora; night sky brightness; UV astronomy</t>
  </si>
  <si>
    <t>The Gattini South Pole UV experiment (Gattini SPUV) was deployed to the South Pole dark sector in February 2010 and has recently completed a highly successful first season of winter time observations. The experiment has, for the first time ever, measured and categorized the optical night sky brightness at the very blue wavelengths. The experiment consists of a remotely operated 6 '' aperture custom designed telescope. The telescope feeds a blue sensitive imager with 4 degree field of view that contains a bank of 3 filters: SDSS g', Bessel U and a custom super U filter specifically designed to probe the sky emission at wavelengths approaching the atmospheric cut-off. The filters are continually cycled with exposure times ranging from 30 to 300 seconds throughout the winter period. The telescope, in addition, feeds a 2 degree long slit VPH grating spectrograph with R similar to 1000. The bandwidth is 350-450nm. The spectra are recorded simultaneously with the imager exposures. The experiment is designed for low temperature Antarctic operation and resides on the roof of the MAPO building in the South Pole Antarctic sector. The primary science goals are to categorize the Antarctic winter-time sky background at the very bluest of wavelengths as a pathfinder for the Antarctic Cosmic Web Imager. We present a technical overview of the experiment and results from the first winter season.</t>
  </si>
  <si>
    <t>[Moore, Anna M.; Croner, Ernest; Delacroix, Alex; Fucik, Jason; Velur, Viswa] CALTECH, Opt Observ, 1200 E Calif Blvd, Pasadena, CA 91125 USA; [Ahmed, Sara; Martin, D. Christopher] CALTECH, Pasadena, CA 91125 USA; [Ashley, Michael C. B.] Univ New South Wales, Sch Phys, Sydney, NSW 2052, Australia; [Ebihara, Yusuke] Kyoto Univ, Res Inst Sustainable Humanosphere, Kyoto, Japan; [Weatherwax, Allan] Siena Coll, Dept Phys &amp; Astron, New York, NY USA</t>
  </si>
  <si>
    <t>California Institute of Technology; California Institute of Technology; University of New South Wales Sydney; Kyoto University</t>
  </si>
  <si>
    <t>Moore, AM (corresponding author), CALTECH, Opt Observ, 1200 E Calif Blvd, Pasadena, CA 91125 USA.</t>
  </si>
  <si>
    <t>amoore@astro.caltech.edu</t>
  </si>
  <si>
    <t>Ebihara, Yusuke/D-1638-2013; Ebihara, Yusuke/ABD-4430-2021</t>
  </si>
  <si>
    <t>Ebihara, Yusuke/0000-0002-2293-1557; Ebihara, Yusuke/0000-0002-2293-1557; Moore, Anna/0000-0002-2894-6936; Weatherwax, Allan/0000-0003-4732-358X; Ashley, Michael/0000-0003-1412-2028</t>
  </si>
  <si>
    <t>US National Science Foundation; United States Antarctic Program; Caltech Optical Observtories</t>
  </si>
  <si>
    <t>US National Science Foundation(National Science Foundation (NSF)); United States Antarctic Program; Caltech Optical Observtories</t>
  </si>
  <si>
    <t>This research is financially supported by the US National Science Foundation, the United States Antarctic Program and Caltech Optical Observtories.</t>
  </si>
  <si>
    <t>84441Q</t>
  </si>
  <si>
    <t>10.1117/12.927313</t>
  </si>
  <si>
    <t>WOS:000312276100057</t>
  </si>
  <si>
    <t>Moretto, G; Epchtein, N; Langlois, M; Vauglin, I</t>
  </si>
  <si>
    <t>Moretto, Gil; Epchtein, Nicolas; Langlois, Maud; Vauglin, Isabelle</t>
  </si>
  <si>
    <t>An Off-Axis Telescope Concept for Antarctic Astronomy</t>
  </si>
  <si>
    <t>infrared cases for Antarctica; off-axis telescope; low scattered light; low emissivity</t>
  </si>
  <si>
    <t>DOME-C</t>
  </si>
  <si>
    <t>The Antarctic plateau offers exceptional atmospheric and environmental conditions for astronomical observations over a wide range of wavelengths and uniquely favorable to infrared astronomy. Exceptional low sky brightness throughout the near-and mid-infrared and a telescope facility complying with the highest possible dynamic range for photometry, angular resolution and the wide-field leads to the possibility of a modest-sized 2m off-axis telescope achieving comparable sensitivity to that of a larger ground-based 8-10m class telescope or a same sized space-based ones.</t>
  </si>
  <si>
    <t>[Moretto, Gil] CNRS, Lyon Inst Origins, Inst Nucl Phys Lyon, IN2P3, Lyon, France; [Epchtein, Nicolas] INSU, CNRS, Lab JL Lagrange, Nice, France; [Langlois, Maud; Vauglin, Isabelle] INSU, CNRS, Ctr Astrophys Res Lyon, St Genis Laval, France</t>
  </si>
  <si>
    <t>Centre National de la Recherche Scientifique (CNRS); CNRS - National Institute of Nuclear and Particle Physics (IN2P3); Centre National de la Recherche Scientifique (CNRS); CNRS - National Institute for Earth Sciences &amp; Astronomy (INSU); Universite Cote d'Azur; Observatoire de la Cote d'Azur; Centre National de la Recherche Scientifique (CNRS); CNRS - National Institute for Earth Sciences &amp; Astronomy (INSU)</t>
  </si>
  <si>
    <t>Moretto, G (corresponding author), CNRS, Lyon Inst Origins, Inst Nucl Phys Lyon, IN2P3, Lyon, France.</t>
  </si>
  <si>
    <t>Gil.Moretto@ipnl.in2p3.fr</t>
  </si>
  <si>
    <t>Langlois, M./0000-0003-3574-9903; MORETTO, Gil/0000-0001-9864-4215</t>
  </si>
  <si>
    <t>84445E</t>
  </si>
  <si>
    <t>10.1117/12.927257</t>
  </si>
  <si>
    <t>WOS:000312276100171</t>
  </si>
  <si>
    <t>Pascale, E; Ade, PAR; Angilè, FE; Benton, SJ; Devlin, MJ; Dober, B; Fissel, LM; Fukui, Y; Gandilo, NN; Gundersen, JO; Hargrave, PC; Klein, J; Korotkov, AL; Matthews, TG; Moncelsi, L; Mroczkowski, TK; Netterfield, CB; Novak, G; Nutter, D; Olmi, L; Poidevin, F; Savini, G; Scott, D; Shariff, JA; Soler, JD; Thomas, NE; Truch, MDP; Tucker, CE; Tucker, GS; Ward-Thompson, D</t>
  </si>
  <si>
    <t>Pascale, Enzo; Ade, Peter A. R.; Angile, Francesco E.; Benton, Steven J.; Devlin, Mark J.; Dober, Brad; Fissel, Laura M.; Fukui, Yasuo; Gandilo, Natalie N.; Gundersen, Joshua O.; Hargrave, Peter C.; Klein, Jeffrey; Korotkov, Andrei L.; Matthews, Tristan G.; Moncelsi, Lorenzo; Mroczkowski, Tony K.; Netterfield, C. Barth; Novak, Giles; Nutter, David; Olmi, Luca; Poidevin, Frederick; Savini, Giorgio; Scott, Douglas; Shariff, Jamil A.; Soler, Juan Diego; Thomas, Nicholas E.; Truch, Matthew D. P.; Tucker, Carol E.; Tucker, Gregory S.; Ward-Thompson, Derek</t>
  </si>
  <si>
    <t>The balloon-borne large-aperture submillimeter telescope for polarimetry-BLASTPol: performance and results from the 2010 Antarctic flight</t>
  </si>
  <si>
    <t>submillimeter; stars: formation; instrumentation: miscellaneous; balloons; polarization; dust emission</t>
  </si>
  <si>
    <t>MAGNETIC-FIELDS; MASS; GALAXIES; CLOUDS; SPARO; CORES</t>
  </si>
  <si>
    <t>The Balloon-borne Large Aperture Submillimeter Telescope for Polarimetry (BLASTPol) is a suborbital mapping experiment designed to study the role played by magnetic fields in the star formation process. BLASTPol uses a total power instrument and an achromatic half-wave plate to modulate the polarization signal. During its first flight from Antarctica in December 2010, BLASTPol made degree scale maps of linearly polarized dust emission from molecular clouds in three wavebands centered at 250, 350, and 500 mu m. This unprecedented dataset in terms of sky coverage, with sub-arcminute resolution, allows BLASTPol to trace magnetic fields in star-forming regions at scales ranging from cores to entire molecular cloud complexes. A second long-duration flight is scheduled for December 2012.</t>
  </si>
  <si>
    <t>[Pascale, Enzo; Ade, Peter A. R.; Hargrave, Peter C.; Moncelsi, Lorenzo; Netterfield, C. Barth; Nutter, David; Tucker, Carol E.; Ward-Thompson, Derek] Cardiff Univ, Sch Phys &amp; Astron, 5 Parade, Cardiff CF24 3AA, S Glam, Wales; [Angile, Francesco E.; Dober, Brad; Klein, Jeffrey; Shariff, Jamil A.; Soler, Juan Diego; Truch, Matthew D. P.] Univ Penn, Dept Phys &amp; Astron, Philadelphia, PA 19104 USA; [Benton, Steven J.; Fissel, Laura M.; Gandilo, Natalie N.] Univ Toronto, Dept Astron &amp; Astrophys, Toronto, ON M5S 3H4, Canada; [Fukui, Yasuo] Nagoya Univ, Dept Phys &amp; Astrophys, Nagoya, Aichi 4648601, Japan; [Gundersen, Joshua O.; Thomas, Nicholas E.] Miami Univ, Dept Phys, Coral Gables, FL 33146 USA; [Korotkov, Andrei L.; Tucker, Gregory S.] Brown Univ, Dept Phys, Providence, RI 02912 USA; [Matthews, Tristan G.; Novak, Giles] Northwestern Univ, Dept Phys &amp; Astron, Evanston, IL 60208 USA; [Moncelsi, Lorenzo; Mroczkowski, Tony K.] CALTECH, Pasadena, CA 91125 USA; [Netterfield, C. Barth] Univ Toronto, Dept Phys, Toronto, ON M5S 1A7, Canada; [Olmi, Luca] Univ Puerto Rico, San Juan, PR 00936 USA; [Olmi, Luca] Osserv Astrofis Arcetri, INAF, I-50125 Florence, Italy; [Poidevin, Frederick; Savini, Giorgio] UCL, Dept Phys &amp; Astron, London WC1E 6BT, England; [Scott, Douglas] Univ British Columbia, Dept Phys &amp; Astron, Vancouver, BC V6T 1Z1, Canada</t>
  </si>
  <si>
    <t>Cardiff University; University of Pennsylvania; University of Toronto; Nagoya University; Brown University; Northwestern University; California Institute of Technology; University of Toronto; University of Puerto Rico; Istituto Nazionale Astrofisica (INAF); University of London; University College London; University of British Columbia</t>
  </si>
  <si>
    <t>Pascale, E (corresponding author), Cardiff Univ, Sch Phys &amp; Astron, 5 Parade, Cardiff CF24 3AA, S Glam, Wales.</t>
  </si>
  <si>
    <t>enzo.pascale@astro.cf.ac.uk</t>
  </si>
  <si>
    <t>Poidevin, Frédérick/Z-3492-2019; hargrave, peter/L-7900-2017; Pascale, Enzo/A-3665-2012; Savini, Gianluca/C-1188-2009; Moncelsi, Lorenzo/AAU-1009-2020; Savini, Giorgio/F-5753-2019</t>
  </si>
  <si>
    <t>Poidevin, Frédérick/0000-0002-5391-5568; hargrave, peter/0000-0002-3109-6629; Pascale, Enzo/0000-0002-3242-8154; Moncelsi, Lorenzo/0000-0002-4242-3015; Ward-Thompson, Derek/0000-0003-1140-2761; Olmi, Luca/0000-0002-1162-7947; Scott, Douglas/0000-0002-6878-9840; Tucker, Carole/0000-0002-1851-3918; Soler, Juan Diego/0000-0002-0294-4465; Savini, Giorgio/0000-0003-4449-9416; Mroczkowski, Tony/0000-0003-3816-5372</t>
  </si>
  <si>
    <t>NASA [NAG5- 12785, NAG513301, NNGO- 6GI11G]; Canadian Space Agency ( CSA); Leverhulme Trust through the Research [F/ 00 407/ BN]; Canada's Natural Sciences and Engineering Research Council ( NSERC); Canada Foundation for Innovation; Ontario Innovation Trust; Fondo Istitucional para la Investigacion of the University of Puerto Rico; National Science Foundation Office of Polar Programs; Canadian Institute for Advanced Research; STFC [ST/K002708/1, ST/J001449/1] Funding Source: UKRI</t>
  </si>
  <si>
    <t>NASA(National Aeronautics &amp; Space Administration (NASA)); Canadian Space Agency ( CSA)(Canadian Space Agency); Leverhulme Trust through the Research(Leverhulme Trust); Canada's Natural Sciences and Engineering Research Council ( NSERC)(Natural Sciences and Engineering Research Council of Canada (NSERC)); Canada Foundation for Innovation(Canada Foundation for InnovationCGIARSpanish Government); Ontario Innovation Trust; Fondo Istitucional para la Investigacion of the University of Puerto Rico; National Science Foundation Office of Polar Programs(National Science Foundation (NSF)NSF - Directorate for Geosciences (GEO)); Canadian Institute for Advanced Research(Canadian Institute for Advanced Research (CIFAR)); STFC(UK Research &amp; Innovation (UKRI)Science &amp; Technology Facilities Council (STFC))</t>
  </si>
  <si>
    <t>The BLAST collaboration acknowledges the support of NASA through grant numbers NAG5- 12785, NAG513301 and NNGO- 6GI11G, the Canadian Space Agency ( CSA), the Leverhulme Trust through the Research Project Grant F/ 00 407/ BN, Canada's Natural Sciences and Engineering Research Council ( NSERC), the Canada Foundation for Innovation, the Ontario Innovation Trust, the Puerto Rico Space Grant Consortium, the Fondo Istitucional para la Investigacion of the University of Puerto Rico, and the National Science Foundation Office of Polar Programs; C. B. Netter fi eld also acknowledges support from the Canadian Institute for Advanced Research. We would also like to thank the Columbia Scienti fi c Balloon Facility ( CSBF) sta ff for their outstanding work.</t>
  </si>
  <si>
    <t>10.1117/12.927211</t>
  </si>
  <si>
    <t>WOS:000312276100038</t>
  </si>
  <si>
    <t>Sims, G; Kulesa, C; Aahley, MCB; Lawrence, JS; Saunders, W; Storey, JWV</t>
  </si>
  <si>
    <t>Sims, Geoff; Kulesa, Craig; Aahley, Michael C. B.; Lawrence, Jon S.; Saunders, Will; Storey, John W. V.</t>
  </si>
  <si>
    <t>Where is Ridge A?</t>
  </si>
  <si>
    <t>Ridge A; site testing; Antarctic astronomy; terahertz spectroscopy; precipitable water vapour</t>
  </si>
  <si>
    <t>First identied in 2009 as the site with the lowest precipitable water and best terahertz transmission on Earth, Ridge A is located approximately 150 km south of Dome A, Antarctica. To further rene this optimum location prior to deployment in 2012 of a robotic THz observatory, we have modelled the atmospheric transmission as a function of location over a 1,000,000 km square grid using three years of data from the Microwave Humidity Sounder on the NOAA-18 satellite. The modelling identies a broad area of exceptionally low water vapour close to the 4,000 metre elevation contour, reaching below 100 microns for extended periods of time.</t>
  </si>
  <si>
    <t>[Sims, Geoff; Aahley, Michael C. B.; Storey, John W. V.] Univ New S Wales, Sch Phys, Sydney, NSW, Australia; [Kulesa, Craig] Univ Arizona, Tucson, AZ 85721 USA; [Lawrence, Jon S.] Macquar Univ Sydney, Dept Phys, Sydney, NSW 2006, Australia; [Saunders, Will] Australian Astron Observ, Sydney, NSW, Australia</t>
  </si>
  <si>
    <t>University of New South Wales Sydney; University of Arizona</t>
  </si>
  <si>
    <t>Sims, G (corresponding author), Univ New S Wales, Sch Phys, Sydney, NSW, Australia.</t>
  </si>
  <si>
    <t>g.sims@unsw.edu.au</t>
  </si>
  <si>
    <t>Ashley, Michael/0000-0003-1412-2028; Lawrence, Jon/0000-0002-6998-6993</t>
  </si>
  <si>
    <t>Australian Government's Education Investment Fund; US National Science Foundation</t>
  </si>
  <si>
    <t>Australian Government's Education Investment Fund(Australian GovernmentDepartment of Industry, Innovation and Science); US National Science Foundation(National Science Foundation (NSF))</t>
  </si>
  <si>
    <t>Topographic data obtained from the National Snow and Ice Data Center (NSIDC). This work is funded by the Australian Governments Education Investment Fund and the US National Science Foundation.</t>
  </si>
  <si>
    <t>84445H</t>
  </si>
  <si>
    <t>10.1117/12.925512</t>
  </si>
  <si>
    <t>WOS:000312276100174</t>
  </si>
  <si>
    <t>Wen, HK; Gong, XF; Zhang, R</t>
  </si>
  <si>
    <t>Wen Haikun; Gong Xuefei; Zhang Ru</t>
  </si>
  <si>
    <t>The Package Cushioning Design of the First AST3 and its Dynamics Analysis</t>
  </si>
  <si>
    <t>Antarctic; package cushioning design; dynamics analysis</t>
  </si>
  <si>
    <t>Dome A has been considered as one of the best observation sites on the earth. The First AST3(three Antarctic Survey Telescopes) is on its way to Dome A by the 28th Chinese National Antarctic research expedition. It will be the largest Optic telescope in Dome A after assembling and testing in this austral summer. Firstly, this paper reports the method of collecting the vibration and shock data from ShangHai to Dome A and analyses the data. Secondly, the package cushioning design of the first AST3 is introduced in this paper according to the vibration and shock data. Finally, the paper introduces the result of the dynamics analysis of the design and a test was done to verify the performance of the package cushioning design. The dynamics analysis and the test indicate that the package cushioning design can meet the demand of the Antarctic inland transportation.</t>
  </si>
  <si>
    <t>[Wen Haikun; Gong Xuefei; Zhang Ru] Chinese Acad Sci, Natl Astron Observ, Nanjing Inst Astron Opt &amp; Technol, Nanjing 210042, Jiangsu, Peoples R China</t>
  </si>
  <si>
    <t>Chinese Academy of Sciences; Nanjing Institute of Astronomical Optics &amp; Technology, NAOC, CAS; National Astronomical Observatory, CAS</t>
  </si>
  <si>
    <t>Wen, HK (corresponding author), Chinese Acad Sci, Natl Astron Observ, Nanjing Inst Astron Opt &amp; Technol, Nanjing 210042, Jiangsu, Peoples R China.</t>
  </si>
  <si>
    <t>hkwen@niaot.ac.cn</t>
  </si>
  <si>
    <t>84445F</t>
  </si>
  <si>
    <t>10.1117/12.925097</t>
  </si>
  <si>
    <t>WOS:000312276100172</t>
  </si>
  <si>
    <t>Yang, SH</t>
  </si>
  <si>
    <t>Yang, Shihai</t>
  </si>
  <si>
    <t>Nonlinear Disturbance to Large Optical Antarctic Telescope</t>
  </si>
  <si>
    <t>nonlinear disturbance; Antarctic telescope; ultra-low temperature</t>
  </si>
  <si>
    <t>Large Optical Antarctic Telescope, LOAT hereafter, is a new research hotspot nowadays. For example, a 2.5m KDUST, e. g. Kunlun Dark UniverSe Telescope is on anvil. It's difficult for main axis of large telescope tracking system to track the target precisely with ultra-low speed because of nonlinear disturbances due to unique ultra-low temperature. This paper presents these nonlinear disturbances.</t>
  </si>
  <si>
    <t>Chinese Acad Sci, Natl Astron Observ, Nanjing Inst Astron Opt &amp; Technol, Nanjing 210042, Jiangsu, Peoples R China</t>
  </si>
  <si>
    <t>Yang, SH (corresponding author), Chinese Acad Sci, Natl Astron Observ, Nanjing Inst Astron Opt &amp; Technol, Nanjing 210042, Jiangsu, Peoples R China.</t>
  </si>
  <si>
    <t>84445G</t>
  </si>
  <si>
    <t>10.1117/12.925296</t>
  </si>
  <si>
    <t>WOS:000312276100173</t>
  </si>
  <si>
    <t>Taboada, I</t>
  </si>
  <si>
    <t>Aharonian, FA; Hofmann, W; Rieger, FM</t>
  </si>
  <si>
    <t>Taboada, Ignacio</t>
  </si>
  <si>
    <t>The latest nus from IceCube</t>
  </si>
  <si>
    <t>HIGH ENERGY GAMMA-RAY ASTRONOMY</t>
  </si>
  <si>
    <t>AIP Conference Proceedings</t>
  </si>
  <si>
    <t>5th International Meeting on High Energy Gamma-Ray Astronomy</t>
  </si>
  <si>
    <t>JUL 09-13, 2012</t>
  </si>
  <si>
    <t>Heidelberg, GERMANY</t>
  </si>
  <si>
    <t>Neutrino Astrophysics</t>
  </si>
  <si>
    <t>GAMMA-RAY BURSTS; ENERGY COSMIC-RAYS; NEUTRINOS; TELESCOPE; EMISSION; SPECTRA; FERMI</t>
  </si>
  <si>
    <t>IceCube is a neutrino detector sensitive to energies from 10(10) eV to at least 10(18) eV. IceCube operates by sensing the Cherenkov light from secondary particles produced in neutrino-matter interactions. One gigaton of highly transparent Antarctic ice is instrumented to achieve this goal. Designed to be modular, IceCube has been collecting data since construction began in 2005. Construction was completed in December 2010. The primary goal of IceCube is to observe astrophysical sources of neutrinos. Analyses include searches for galactic and extra-galactic cosmic ray sources, indirect searches for dark matter, searches for cosmogenic neutrinos, etc. Current results on searches for neutrinos from Gamma Ray Bursts, time-integrated searches for point sources and GZK neutrinos are presented. The GZK search resulted in the observation of two cascade-like events of approximate to 1 PeV energy, with little expected background. Implications of these two events are presented. The GRB and point source searches have not found evidence for extra-terrestrial high energy neutrinos. The GRB source has begun to challenge or rule out models that predict GRBs to be the sources of the highest energy cosmic rays. Finally, the future of IceCube and South Pole particle astrophysics is discussed.</t>
  </si>
  <si>
    <t>[Taboada, Ignacio] Georgia Inst Technol, Sch Phys, Atlanta, GA 30332 USA</t>
  </si>
  <si>
    <t>University System of Georgia; Georgia Institute of Technology</t>
  </si>
  <si>
    <t>Taboada, I (corresponding author), Georgia Inst Technol, Sch Phys, Atlanta, GA 30332 USA.</t>
  </si>
  <si>
    <t>Taboada, Ignacio/0000-0003-3509-3457</t>
  </si>
  <si>
    <t>AMER INST PHYSICS</t>
  </si>
  <si>
    <t>MELVILLE</t>
  </si>
  <si>
    <t>2 HUNTINGTON QUADRANGLE, STE 1NO1, MELVILLE, NY 11747-4501 USA</t>
  </si>
  <si>
    <t>0094-243X</t>
  </si>
  <si>
    <t>978-0-7354-1123-4</t>
  </si>
  <si>
    <t>AIP CONF PROC</t>
  </si>
  <si>
    <t>10.1063/1.4772235</t>
  </si>
  <si>
    <t>BDB83</t>
  </si>
  <si>
    <t>WOS:000312503500022</t>
  </si>
  <si>
    <t>Rice, CV; Middaugh, A; Wickham, JR; Friedline, A; Thomas, KJ; Johnson, K; Zachariah, M; Garimella, R</t>
  </si>
  <si>
    <t>Hoover, RB; Levin, GV; Rozanov, AY</t>
  </si>
  <si>
    <t>Rice, Charles V.; Middaugh, Amy; Wickham, Jason R.; Friedline, Anthony; Thomas, Kieth J., III; Johnson, Karen; Zachariah, Malcolm; Garimella, Ravindranth</t>
  </si>
  <si>
    <t>Cryoprotection from Lipoteichoic Acid</t>
  </si>
  <si>
    <t>INSTRUMENTS, METHODS, AND MISSIONS FOR ASTROBIOLOGY XV</t>
  </si>
  <si>
    <t>Conference on Instruments, Methods, and Missions for Astrobiology XV</t>
  </si>
  <si>
    <t>AUG 14-15, 2012</t>
  </si>
  <si>
    <t>San Diego, CA</t>
  </si>
  <si>
    <t>1teichoic acid; lipoteichoic acid; wall teichoic acid; peptidoglycan; cryoprotectant; psychrophile; bacteria; extremophile; ice</t>
  </si>
  <si>
    <t>GRAM-POSITIVE BACTERIA; SP-NOV.; STAPHYLOCOCCUS-AUREUS; ANTIFREEZE PROTEIN; SEA-ICE; ENTEROCOCCUS-FAECALIS; FACULTATIVE ANAEROBE; ANTARCTIC BACTERIUM; EXTRACELLULAR SLIME; BACILLUS-SUBTILIS</t>
  </si>
  <si>
    <t>Numerous chemical additives lower the freezing point of water, but life at sub-zero temperatures is sustained by a limited number of biological cryoprotectants. Antifreeze proteins in fish, plants, and insects provide protection to a few degrees below freezing. Microbes have been found to survive at even lower temperatures, and with a few exceptions, antifreeze proteins are missing. Survival has been attributed to external factors, such as the high salt concentration of brine veins and adhesion to particulates or ice crystal defects. We have discovered an endogenous cryoprotectant in the cell wall of bacteria, lipoteichoic acid biopolymers. Adding 1% LTA to bacteria cultures immediately prior to freezing provides 50% survival rate, similar to the results obtained with 1% glycerol. In the absence of an additive, bacterial survival is negligible as measured with the resazurin cell viability assay. The mode of action for LTA cryoprotection is unknown. With a molecular weight of 3-5 kDa, it is unlikely to enter the cell cytoplasm. Our observations suggest that teichoic acids could provide a shell of liquid water around biofilms and planktonic bacteria, removing the need for brine veins to prevent bacterial freezing</t>
  </si>
  <si>
    <t>[Rice, Charles V.; Middaugh, Amy; Wickham, Jason R.; Friedline, Anthony; Thomas, Kieth J., III; Johnson, Karen; Zachariah, Malcolm; Garimella, Ravindranth] Univ Oklahoma, Dept Chem &amp; Biochem, Norman, OK 73019 USA</t>
  </si>
  <si>
    <t>University of Oklahoma System; University of Oklahoma - Norman</t>
  </si>
  <si>
    <t>Rice, CV (corresponding author), Univ Oklahoma, Dept Chem &amp; Biochem, 101 Stephenson Pkwy, Norman, OK 73019 USA.</t>
  </si>
  <si>
    <t>978-0-8194-9238-8</t>
  </si>
  <si>
    <t>85210I</t>
  </si>
  <si>
    <t>10.1117/12.970517</t>
  </si>
  <si>
    <t>Astronomy &amp; Astrophysics; Biology; Optics</t>
  </si>
  <si>
    <t>Astronomy &amp; Astrophysics; Life Sciences &amp; Biomedicine - Other Topics; Optics</t>
  </si>
  <si>
    <t>BDC40</t>
  </si>
  <si>
    <t>WOS:000312591700016</t>
  </si>
  <si>
    <t>Zhang, D; Sun, B; Ke, CQ; Li, X; Cui, XB; Guo, JX</t>
  </si>
  <si>
    <t>Zhang, Dong; Sun, Bo; Ke, Chang-Qing; Li, Xin; Cui, Xiang-Bin; Guo, Jing-Xue</t>
  </si>
  <si>
    <t>Mapping the elevation change of Lambert Glacier in East Antarctica using ICESat GLAS</t>
  </si>
  <si>
    <t>JOURNAL OF MAPS</t>
  </si>
  <si>
    <t>Lambert Glacier; elevation; change; ICESat; map</t>
  </si>
  <si>
    <t>SATELLITE RADAR; HEIGHT CHANGES; MASS-BALANCE; SHEET; MODEL; GREENLAND</t>
  </si>
  <si>
    <t>We initially derived elevation changes of Geoscience Laser Altimeter System level-2 altimetry data of Lambert Glacier overlapping footprints during each mission from 2003 to 2008. Then, surface elevation changes during every two adjacent missions were interpolated using inverse distance weighted, natural neighbor, triangulated irregular network with linear method, radial basis functions and ANUDEM in ArcGIS. The best results were obtained by ANUDEM, so these data were clipped to conform to the study area boundary defined by hydrology tools. Finally, elevation changes over 10 periods were mapped. In these maps, we chose the Antarctic digital elevation model as background and used a translucent layer to mask the area outside Lambert Glacier, and then displayed elevation changes using gradient colors. Results indicate that elevation changes of the entire Lambert Glacier are not evident, particularly in the upstream area. There are a few elevation changes in some downstream areas. Elevation of the grounding zone in the southernmost Amery Ice Shelf decreased more than 2 m in 2004-2005, 2006-2007, and during 2008.</t>
  </si>
  <si>
    <t>[Zhang, Dong; Ke, Chang-Qing] Nanjing Univ, Jiangsu Prov Key Lab Geog Informat Sci &amp; Technol, Nanjing, Jiangsu, Peoples R China; [Zhang, Dong; Sun, Bo; Li, Xin; Cui, Xiang-Bin; Guo, Jing-Xue] Polar Res Inst China, SOA Key Lab Polar Sci, Shanghai, Peoples R China</t>
  </si>
  <si>
    <t>Nanjing University; Polar Research Institute of China</t>
  </si>
  <si>
    <t>Ke, CQ (corresponding author), Nanjing Univ, Jiangsu Prov Key Lab Geog Informat Sci &amp; Technol, Nanjing, Jiangsu, Peoples R China.</t>
  </si>
  <si>
    <t>kecq@nju.edu.cn</t>
  </si>
  <si>
    <t>sun, bo/JFA-9978-2023; Cui, Xiangbin/Y-1551-2019</t>
  </si>
  <si>
    <t>Cui, Xiangbin/0000-0002-4269-8086</t>
  </si>
  <si>
    <t>Program for State Key Laboratory of Cryospheric Sciences; Cold and Arid Regions Environment and Engineering Research Institute; Chinese Academy of Sciences [SKLCS 09-02]; Program for Chinese National Antarctic and Arctic Research Expedition [CHINARE2012-02-02]; Priority Academic Program Development of Jiangsu Higher Education Institutions (PAPD); National Basic Research Program of China (973 Program) [2012CB957702, 2010CB950301]; 863 High Technology Program of the People's Republic of China [2010AA09Z103, 2011AA040202]</t>
  </si>
  <si>
    <t>Program for State Key Laboratory of Cryospheric Sciences; Cold and Arid Regions Environment and Engineering Research Institute; Chinese Academy of Sciences(Chinese Academy of Sciences); Program for Chinese National Antarctic and Arctic Research Expedition; Priority Academic Program Development of Jiangsu Higher Education Institutions (PAPD); National Basic Research Program of China (973 Program)(National Basic Research Program of China); 863 High Technology Program of the People's Republic of China</t>
  </si>
  <si>
    <t>This work was supported by Program for State Key Laboratory of Cryospheric Sciences, Cold and Arid Regions Environment and Engineering Research Institute, Chinese Academy of Sciences (No. SKLCS 09-02), Program for Chinese National Antarctic and Arctic Research Expedition (CHINARE2012-02-02), Project Funded by the Priority Academic Program Development of Jiangsu Higher Education Institutions (PAPD), the National Basic Research Program of China (973 Program) under Grant No. 2012CB957702 and No. 2010CB950301, and the 863 High Technology Program of the People's Republic of China under Grants No. 2010AA09Z103 and No. 2011AA040202. Great thanks to the National Snow and Ice Data Center (NSIDC) for the GLA12 data, grounding line, and Antarctic DEM.</t>
  </si>
  <si>
    <t>1744-5647</t>
  </si>
  <si>
    <t>J MAPS</t>
  </si>
  <si>
    <t>J. Maps</t>
  </si>
  <si>
    <t>10.1080/17445647.2012.747355</t>
  </si>
  <si>
    <t>Geography; Geography, Physical</t>
  </si>
  <si>
    <t>Geography; Physical Geography</t>
  </si>
  <si>
    <t>064KQ</t>
  </si>
  <si>
    <t>WOS:000313074200021</t>
  </si>
  <si>
    <t>Barnes, DKA</t>
  </si>
  <si>
    <t>Bell, EM</t>
  </si>
  <si>
    <t>Barnes, David K. A.</t>
  </si>
  <si>
    <t>Polar Marine Ecosystems</t>
  </si>
  <si>
    <t>LIFE AT EXTREMES: ENVIRONMENTS, ORGANISMS AND STRATEGIES FOR SURVIVAL</t>
  </si>
  <si>
    <t>ANTARCTIC SHELF; BIODIVERSITY; WATER; COLD</t>
  </si>
  <si>
    <t>Barnes, DKA (corresponding author), British Antarctic Survey, Nat Environm Res Council, Madingley Rd, Cambridge CB3 0ET, England.</t>
  </si>
  <si>
    <t>dkab@bas.ac.uk</t>
  </si>
  <si>
    <t>CABI PUBLISHING-C A B INT</t>
  </si>
  <si>
    <t>WALLINGFORD</t>
  </si>
  <si>
    <t>CABI PUBLISHING, WALLINGFORD 0X10 8DE, OXON, ENGLAND</t>
  </si>
  <si>
    <t>978-1-84593-814-7</t>
  </si>
  <si>
    <t>10.1079/9781845938147.0000</t>
  </si>
  <si>
    <t>Evolutionary Biology</t>
  </si>
  <si>
    <t>BDF16</t>
  </si>
  <si>
    <t>WOS:000312995600003</t>
  </si>
  <si>
    <t>Convey, P</t>
  </si>
  <si>
    <t>Convey, Peter</t>
  </si>
  <si>
    <t>Polar Terrestrial Environments</t>
  </si>
  <si>
    <t>ANTARCTIC SOUTH GEORGIA; SANDWICH ISLANDS; MOSS COMMUNITIES; CLIMATE-CHANGE; ECOSYSTEMS; ARTHROPODS; WATER; COLD; LIFE; BIODIVERSITY</t>
  </si>
  <si>
    <t>Convey, P (corresponding author), British Antarctic Survey, Madingley Rd, Cambridge CB3 0ET, England.</t>
  </si>
  <si>
    <t>pcon@bas.ac.uk</t>
  </si>
  <si>
    <t>WOS:000312995600005</t>
  </si>
  <si>
    <t>Laybourn-Parry, J; Bell, EM</t>
  </si>
  <si>
    <t>Laybourn-Parry, Johanna; Bell, Elanor M.</t>
  </si>
  <si>
    <t>High Altitude and Latitude Lakes</t>
  </si>
  <si>
    <t>DRY VALLEY LAKES; ANTARCTIC SALINE LAKES; HIGH ARCTIC LAKES; FRESH-WATER; PHYTOPLANKTON DYNAMICS; MOUNTAIN LAKES; ALPINE LAKE; MIXOTROPHIC CRYPTOPHYTES; POPULATION-DYNAMICS; MICROBIAL PLANKTON</t>
  </si>
  <si>
    <t>[Laybourn-Parry, Johanna] Univ Bristol, Bristol Glaciol Ctr, Sch Geog Sci, Bristol BS8 1SS, Avon, England; [Bell, Elanor M.] Scottish Inst Marine Sci, Dunbeg, Scotland</t>
  </si>
  <si>
    <t>Laybourn-Parry, J (corresponding author), Univ Bristol, Bristol Glaciol Ctr, Sch Geog Sci, Univ Rd, Bristol BS8 1SS, Avon, England.</t>
  </si>
  <si>
    <t>jo.laybourn-parry@bristol.ac.uk; elanor.bell@googlemail.com</t>
  </si>
  <si>
    <t>WOS:000312995600006</t>
  </si>
  <si>
    <t>Pearce, DA</t>
  </si>
  <si>
    <t>Pearce, David A.</t>
  </si>
  <si>
    <t>Subglacial Lakes</t>
  </si>
  <si>
    <t>WEST ANTARCTICA; ACCRETED ICE; GLACIAL ICE; MICROBIAL COMMUNITY; BACTERIAL DIVERSITY; EAST ANTARCTICA; SOUTH-POLE; VOSTOK; WATER; MICROORGANISMS</t>
  </si>
  <si>
    <t>Pearce, DA (corresponding author), British Antarctic Survey, Nat Environm Res Council, Madingley Rd, Cambridge CB3 0ET, England.</t>
  </si>
  <si>
    <t>Pearce, David/0000-0001-5292-4596</t>
  </si>
  <si>
    <t>WOS:000312995600007</t>
  </si>
  <si>
    <t>Newsham, KK; Davidson, AT</t>
  </si>
  <si>
    <t>Newsham, Kevin K.; Davidson, Andrew T.</t>
  </si>
  <si>
    <t>High Ultraviolet Radiation Environments</t>
  </si>
  <si>
    <t>UV-B RADIATION; MARINE MICROBIAL ASSEMBLAGES; INDUCED DNA-DAMAGE; OZONE DEPLETION; ANTARCTIC PHYTOPLANKTON; SOLAR-RADIATION; GLOBAL CHANGE; ICE ALGAE; PHOTOSYNTHESIS; EXPOSURE</t>
  </si>
  <si>
    <t>[Newsham, Kevin K.] British Antarctic Survey, Nat Environm Res Council, Cambridge CB3 0ET, England; [Davidson, Andrew T.] Australian Antarctic Div, Kingston, Tas 7050, Australia</t>
  </si>
  <si>
    <t>UK Research &amp; Innovation (UKRI); Natural Environment Research Council (NERC); NERC British Antarctic Survey; Australian Antarctic Division</t>
  </si>
  <si>
    <t>Newsham, KK (corresponding author), British Antarctic Survey, Nat Environm Res Council, Madingley Rd, Cambridge CB3 0ET, England.</t>
  </si>
  <si>
    <t>kne@bas.ac.uk; Andrew.Davidson@aad.gov.au</t>
  </si>
  <si>
    <t>WOS:000312995600022</t>
  </si>
  <si>
    <t>Gleiber, MR; Steinberg, DK; Ducklow, HW</t>
  </si>
  <si>
    <t>Gleiber, Miram R.; Steinberg, Deborah K.; Ducklow, Hugh W.</t>
  </si>
  <si>
    <t>Time series of vertical flux of zooplankton fecal pellets on the continental shelf of the western Antarctic Peninsula</t>
  </si>
  <si>
    <t>MARINE ECOLOGY PROGRESS SERIES</t>
  </si>
  <si>
    <t>Southern Ocean; Particle flux; Sediment trap; Krill; Salp; Copepod; Climate</t>
  </si>
  <si>
    <t>PARTICLE-FLUX; SOUTHERN-OCEAN; SINKING RATES; LONG-TERM; SEA-ICE; BRANSFIELD STRAIT; CLIMATE-CHANGE; MARINE SNOW; CARBON FLUX; COPEPOD</t>
  </si>
  <si>
    <t>Zooplankton fecal pellet contribution to particulate organic carbon (POC) flux over the continental shelf of the western Antarctic Peninsula (WAP) was investigated to better understand the possible effects of changes in zooplankton community structure, due to climate change, on carbon export. Fecal pellets were collected at 170 m depth in a moored sediment trap from January 2004 to January 2009. Fecal pellet shape and size (i.e., carbon content) were quantified to assess flux of pellets from different zooplankton taxa and compared between seasons and years. Fecal pellet POC constituted the dominant proportion of total POC flux, with summer (November to April) pellet POC flux (67%) significantly higher than winter (May to October) pellet POC flux (34%), while phytodetritus or fecal 'fluff' constituted the remainder. Cylindrical euphausiid pellets contributed to a monthly mean of 72% of total fecal pellet flux; ovoid copepod and tabular salp pellets contributed significantly less (22 and 6%, respectively). Cylindrical and ovoid pellet export was significantly higher in summer, while 48% of tabular pellet flux occurred in winter. Tabular pellets had the highest carbon content (median = 1.03 mu gC pellet(-1), highest 134.9 mu gC pellet(-1)), followed by cylindrical (0.20 mu gC pellet(-1)) and ovoid (0.04 mu gC pellet(-1)) pellets. As krill fecal pellets are the dominant component of particle export in the WAP, we hypothesize that a decrease in krill and increase in salps in the region could alter the export of POC to the deep sea.</t>
  </si>
  <si>
    <t>[Gleiber, Miram R.; Steinberg, Deborah K.] Virginia Inst Marine Sci, Gloucester Point, VA 23062 USA; [Ducklow, Hugh W.] Marine Biol Lab, Ecosyst Ctr, Woods Hole, MA 02543 USA</t>
  </si>
  <si>
    <t>William &amp; Mary; Virginia Institute of Marine Science; Marine Biological Laboratory - Woods Hole</t>
  </si>
  <si>
    <t>Gleiber, MR (corresponding author), Virginia Inst Marine Sci, Gloucester Point, VA 23062 USA.</t>
  </si>
  <si>
    <t>mrglei@vims.edu</t>
  </si>
  <si>
    <t>Steinberg, Deborah K./0000-0001-9884-4655; Gleiber, Miram/0000-0003-2580-5887</t>
  </si>
  <si>
    <t>National Science Foundation Office of Polar Programs [OPP-0823101]; 1st Advantage Federal Credit Union of Newport News, VA, USA</t>
  </si>
  <si>
    <t>National Science Foundation Office of Polar Programs(National Science Foundation (NSF)NSF - Directorate for Geosciences (GEO)); 1st Advantage Federal Credit Union of Newport News, VA, USA</t>
  </si>
  <si>
    <t>We thank the captain, officers, and crew of the ARSV 'Laurence M. Gould' and Raytheon Polar Services scientific support personnel for their help with sediment trap deployment and recovery during the Palmer LTER cruises. We thank M. Erikson for the sediment trap sample CHN analyses. We are grateful to J. Cope for providing advice on data analyses, to K. Ruck and J. Dryer for fecal pellet CHN analysis, and to S. Stammerjohn for providing unpublished sea ice data. This study was funded by the National Science Foundation Office of Polar Programs (OPP-0823101). Additional funding to support M. Gleiber's participation on a Palmer LTER cruise was provided by A. G. 'Casey' Duplantier Jr. and the 1st Advantage Federal Credit Union of Newport News, VA, USA. This is contribution number 3254 from the Virginia Institute of Marine Science.</t>
  </si>
  <si>
    <t>INTER-RESEARCH</t>
  </si>
  <si>
    <t>OLDENDORF LUHE</t>
  </si>
  <si>
    <t>NORDBUNTE 23, D-21385 OLDENDORF LUHE, GERMANY</t>
  </si>
  <si>
    <t>0171-8630</t>
  </si>
  <si>
    <t>1616-1599</t>
  </si>
  <si>
    <t>MAR ECOL PROG SER</t>
  </si>
  <si>
    <t>Mar. Ecol.-Prog. Ser.</t>
  </si>
  <si>
    <t>10.3354/meps10021</t>
  </si>
  <si>
    <t>Ecology; Marine &amp; Freshwater Biology; Oceanography</t>
  </si>
  <si>
    <t>Environmental Sciences &amp; Ecology; Marine &amp; Freshwater Biology; Oceanography</t>
  </si>
  <si>
    <t>060MP</t>
  </si>
  <si>
    <t>WOS:000312782700003</t>
  </si>
  <si>
    <t>Olascoaga, MJ; Brown, MG; Beron-Vera, FJ; Koçak, H</t>
  </si>
  <si>
    <t>Olascoaga, M. J.; Brown, M. G.; Beron-Vera, F. J.; Kocak, H.</t>
  </si>
  <si>
    <t>Stratospheric winds, transport barriers and the 2011 Arctic ozone hole</t>
  </si>
  <si>
    <t>NONLINEAR PROCESSES IN GEOPHYSICS</t>
  </si>
  <si>
    <t>ZONAL JETS; ATMOSPHERIC SCIENCE; POLAR VORTEX; DYNAMICS; DEPLETION; CHEMISTRY</t>
  </si>
  <si>
    <t>The Arctic stratosphere throughout the late winter and early spring of 2011 was characterized by an unusually severe ozone loss, resulting in what has been described as an ozone hole. The 2011 ozone loss was made possible by unusually cold temperatures throughout the Arctic stratosphere. Here we consider the issue of what constitutes suitable environmental conditions for the formation and maintenance of a polar ozone hole. Our discussion focuses on the importance of the stratospheric wind field and, in particular, the importance of a high latitude zonal jet, which serves as a meridional transport barrier both prior to ozone hole formation and during the ozone hole maintenance phase. It is argued that stratospheric conditions in the boreal winter/spring of 2011 were highly unusual inasmuch as in that year Antarctic-like Lagrangian dynamics led to the formation of a boreal ozone hole.</t>
  </si>
  <si>
    <t>[Olascoaga, M. J.; Brown, M. G.; Beron-Vera, F. J.] Univ Miami, Rosenstiel Sch Marine &amp; Atmospher Sci, Miami, FL 33149 USA; [Kocak, H.] Univ Miami, Dept Comp Sci, Miami, FL 33149 USA; [Kocak, H.] Univ Miami, Dept Math, Miami, FL 33149 USA</t>
  </si>
  <si>
    <t>University of Miami; University of Miami; University of Miami</t>
  </si>
  <si>
    <t>Olascoaga, MJ (corresponding author), Univ Miami, Rosenstiel Sch Marine &amp; Atmospher Sci, 4600 Rickenbacker Causeway, Miami, FL 33149 USA.</t>
  </si>
  <si>
    <t>jolascoaga@rsmas.miami.edu</t>
  </si>
  <si>
    <t>Beron-Vera, Francisco/ABA-2542-2021</t>
  </si>
  <si>
    <t>Olascoaga, Maria/0000-0002-4171-3221</t>
  </si>
  <si>
    <t>US National Science Foundation [CMG0825547, OCE0648284]</t>
  </si>
  <si>
    <t>We thank Irina Rypina and Ilya Udovydchenkov for the benefit of many conversations on topics related to the results presented here. This work was supported by the US National Science Foundation grants CMG0825547 and OCE0648284.</t>
  </si>
  <si>
    <t>1023-5809</t>
  </si>
  <si>
    <t>1607-7946</t>
  </si>
  <si>
    <t>NONLINEAR PROC GEOPH</t>
  </si>
  <si>
    <t>Nonlinear Process Geophys.</t>
  </si>
  <si>
    <t>10.5194/npg-19-687-2012</t>
  </si>
  <si>
    <t>Geosciences, Multidisciplinary; Mathematics, Interdisciplinary Applications; Meteorology &amp; Atmospheric Sciences; Physics, Fluids &amp; Plasmas</t>
  </si>
  <si>
    <t>Geology; Mathematics; Meteorology &amp; Atmospheric Sciences; Physics</t>
  </si>
  <si>
    <t>059IN</t>
  </si>
  <si>
    <t>WOS:000312697900012</t>
  </si>
  <si>
    <t>Messager, C; Speich, S; Key, E</t>
  </si>
  <si>
    <t>Messager, C.; Speich, S.; Key, E.</t>
  </si>
  <si>
    <t>Marine atmospheric boundary layer over some Southern Ocean fronts during the IPY BGH 2008 cruise</t>
  </si>
  <si>
    <t>OCEAN SCIENCE</t>
  </si>
  <si>
    <t>SEA-SURFACE-TEMPERATURE; ANTARCTIC CIRCUMPOLAR CURRENT; AGULHAS CURRENT; WIND STRESS; SATELLITE MEASUREMENTS; THERMAL FRONT; CIRCULATION; EXCHANGE; AFRICA; EDDIES</t>
  </si>
  <si>
    <t>A set of meteorological instruments was added to an oceanographic cruise crossing the Southern Ocean from Cape Town to 57 degrees 33' S during the summer of 2008. The Cape Cauldron, the Subtropical, Subantarctic, Polar and southern Antarctic Circumpolar current fronts were successively crossed. The recorded data permitted to derive the exchange of momentum, heat and water vapour at the ocean-atmosphere interface. A set of 38 radiosonde releases complemented the dataset. The marine atmospheric boundary layer characteristics and air-sea interaction when the ship crossed the fronts and eddies are discussed. The specific role of the atmospheric synoptic systems advection on the air-sea interaction over these regions is highlighted. Additionally, the Subantarctic front mesoscale variability induced an anticyclonic eddy considered as part of the Subantarctic front. The specific influence of this Agulhas ring on the aloft atmosphere is also presented.</t>
  </si>
  <si>
    <t>[Messager, C.; Speich, S.] CNRS, UMR 6523, Lab Phys Oceans, F-29280 Plouzane, France; [Key, E.] Natl Sci Fdn, Off Polar Programs, Arlington, VA 22230 USA</t>
  </si>
  <si>
    <t>Universite de Bretagne Occidentale; Centre National de la Recherche Scientifique (CNRS); CNRS - National Institute for Earth Sciences &amp; Astronomy (INSU); Ifremer; Institut de Recherche pour le Developpement (IRD); National Science Foundation (NSF); NSF - Directorate for Geosciences (GEO); NSF - Office of Polar Programs (OPP)</t>
  </si>
  <si>
    <t>Messager, C (corresponding author), CNRS, UMR 6523, Lab Phys Oceans, BP 70, F-29280 Plouzane, France.</t>
  </si>
  <si>
    <t>christophe.messager@ifremer.fr</t>
  </si>
  <si>
    <t>Speich, Sabrina/L-3780-2014</t>
  </si>
  <si>
    <t>Speich, Sabrina/0000-0002-5452-8287; Key, Erica/0000-0002-5099-5961</t>
  </si>
  <si>
    <t>Institut National des Sciences de l'Univers (INSU); CNRS; IFREMER program Circulation Oceanique; French Polar Institute Paul Emile Victor (IPEV); University of Brest (UBO-IUEM); Agence Nationale de la Recherche (ANR) [ANR-07-BLAN-0146-01]; LOS-IFREMER; Agence Nationale de la Recherche (ANR) [ANR-07-BLAN-0146] Funding Source: Agence Nationale de la Recherche (ANR)</t>
  </si>
  <si>
    <t>Institut National des Sciences de l'Univers (INSU); CNRS(Centre National de la Recherche Scientifique (CNRS)); IFREMER program Circulation Oceanique; French Polar Institute Paul Emile Victor (IPEV); University of Brest (UBO-IUEM); Agence Nationale de la Recherche (ANR)(Agence Nationale de la Recherche (ANR)); LOS-IFREMER; Agence Nationale de la Recherche (ANR)(Agence Nationale de la Recherche (ANR))</t>
  </si>
  <si>
    <t>Authors are thankful to the officers and crew of the R/V Marion Dufresne, for their precious help and cooperation, and to all other contributors to the numerous measurements used in the article. The IPY/BONUS-GoodHope and CLIVAR/GoodHope projects received support from the Institut National des Sciences de l'Univers (INSU), the CNRS, the IFREMER program Circulation Oceanique, the French Polar Institute Paul Emile Victor (IPEV), the University of Brest (UBO-IUEM), and the Agence Nationale de la Recherche (ANR). (ANR-07-BLAN-0146-01). The LOS-IFREMER is also thanked for the funds provided for the radiosoundings.</t>
  </si>
  <si>
    <t>1812-0784</t>
  </si>
  <si>
    <t>1812-0792</t>
  </si>
  <si>
    <t>OCEAN SCI</t>
  </si>
  <si>
    <t>Ocean Sci.</t>
  </si>
  <si>
    <t>10.5194/os-8-1001-2012</t>
  </si>
  <si>
    <t>059IT</t>
  </si>
  <si>
    <t>WOS:000312698600006</t>
  </si>
  <si>
    <t>Roura, RM</t>
  </si>
  <si>
    <t>Roura, Ricardo M.</t>
  </si>
  <si>
    <t>Being there: examining the behaviour of Antarctic tourists through their blogs</t>
  </si>
  <si>
    <t>POLAR RESEARCH</t>
  </si>
  <si>
    <t>Polar tourism; Antarctic tourism; behavioural archaeology; tourist behaviour; tourism impacts; Antarctic environment</t>
  </si>
  <si>
    <t>Most visitors to Antarctica today are commercial tourists. Over 150 000 tourists visited Antarctica between 2007 and 2010, making up more than 700 000 person/landings. Despite the scale of tourism in Antarctica, knowledge about its environmental impacts is generally inconclusive, and monitoring is limited. This article examines tourist behaviour regarding the environment using information available on travel weblogs (blogs) posted by tourists on the Internet. Fifty blogs describing Antarctic travel were analysed, mostly as part of organized tourism cruises, during the four Antarctic summer seasons between 2007 and 2010, both qualitatively and quantitatively. The blogs described the activities of 90 people who had visited Deception Island as part of their itinerary and who, overall, had undertaken at least 190 person/landings in Antarctica. Blog analysis highlighted the importance of wildlife as a tourist attraction. In the blogs it was apparent that tourist-wildlife interactions result in a range of behaviours from both individual tourists and animals. Tourism results in cultural traces and other environmental consequences, although some of these would not be judged as impacts under the current practice of implementing the Protocol on Environmental Protection to the Antarctic Treaty. Blogs showed many more instances of compliance than of noncompliance with environmental regulations. Tourist blogs illustrate the behavioural processes by which environmental impacts from tourism could occur, which are repeated through thousands of person-landings and other activities in Antarctica every season. Precautionary action may be a practical alternative to manage tourism at some sites until it is clearer how this activity affects the environment.</t>
  </si>
  <si>
    <t>[Roura, Ricardo M.] Univ Groningen, Arctic Ctr, NL-9700 AS Groningen, Netherlands</t>
  </si>
  <si>
    <t>University of Groningen</t>
  </si>
  <si>
    <t>Roura, RM (corresponding author), Joos Banckersplantsoen 40, NL-1056 LC Amsterdam, Netherlands.</t>
  </si>
  <si>
    <t>ricardo.roura@worldonline.nl</t>
  </si>
  <si>
    <t>OPEN ACADEMIA AB</t>
  </si>
  <si>
    <t>SPANGA</t>
  </si>
  <si>
    <t>STORMBYVAGEN 6, SPANGA, SE-163 55, SWEDEN</t>
  </si>
  <si>
    <t>0800-0395</t>
  </si>
  <si>
    <t>1751-8369</t>
  </si>
  <si>
    <t>POLAR RES</t>
  </si>
  <si>
    <t>Polar Res.</t>
  </si>
  <si>
    <t>10.3402/polar.v31i0.10905</t>
  </si>
  <si>
    <t>Ecology; Geosciences, Multidisciplinary; Oceanography</t>
  </si>
  <si>
    <t>Environmental Sciences &amp; Ecology; Geology; Oceanography</t>
  </si>
  <si>
    <t>062GA</t>
  </si>
  <si>
    <t>WOS:000312906200001</t>
  </si>
  <si>
    <t>Summerson, R; Bishop, ID</t>
  </si>
  <si>
    <t>Summerson, Rupert; Bishop, Ian D.</t>
  </si>
  <si>
    <t>The impact of human activities on wilderness and aesthetic values in Antarctica</t>
  </si>
  <si>
    <t>Antarctica; Madrid Protocol; wilderness; aesthetic; values; photographs</t>
  </si>
  <si>
    <t>SCENIC BEAUTY; LANDSCAPE; INTERNET; PREFERENCES; QUALITY</t>
  </si>
  <si>
    <t>There has been little progress in implementing protection of wilderness and aesthetic values in Antarctica since the coming into force of the Protocol on Environmental Protection to the Antarctic Treaty in 1998. This can in part be attributed to a lack of research defining these values and showing how they may be assessed. In 2009, a survey comprising 90 images of Antarctic landscapes was established on the Internet to canvass as wide a cross-section of people with an interest in Antarctica as possible on their perceptions of wilderness and their aesthetic preference. At the time of writing, over 337 respondents from 23 nationalities have taken part in the survey. Responses were analysed to determine the effect of human presence, both transient and as infrastructure, on perceptions of wilderness and aesthetic values. The analysis was in three parts: (1) all images combined; (2) images grouped by landscape type, derived from the Environmental Domains of Antarctica regionalization; and (3) 16 pairs of digitally manipulated images of which respondents were shown either an original image or one in which human presence had been either digitally removed or added. Responses to images grouped by landscape type show that coastal and ice-free areas are less valued both aesthetically and as wilderness than mountainous and ice-covered terrains. Signs of human presence were found to make images significantly less likely to be considered as wilderness and also reduced their aesthetic rating. This demonstrates that human impacts on these values are measureable.</t>
  </si>
  <si>
    <t>[Summerson, Rupert] Univ Melbourne, Fac Architecture Bldg &amp; Planning, Parkville, Vic 3010, Australia; [Bishop, Ian D.] Univ Melbourne, Dept Infrastruct Engn, Parkville, Vic 3010, Australia</t>
  </si>
  <si>
    <t>University of Melbourne; University of Melbourne</t>
  </si>
  <si>
    <t>Summerson, R (corresponding author), Univ Melbourne, Fac Architecture Bldg &amp; Planning, Parkville, Vic 3010, Australia.</t>
  </si>
  <si>
    <t>rupert.summerson@bigpond.com</t>
  </si>
  <si>
    <t>Bishop, Ian/E-7518-2015</t>
  </si>
  <si>
    <t>Bishop, Ian/0000-0003-3604-1042</t>
  </si>
  <si>
    <t>POLAR RES-SWEDEN</t>
  </si>
  <si>
    <t>10.3402/polar.v31i0.10858</t>
  </si>
  <si>
    <t>062FJ</t>
  </si>
  <si>
    <t>WOS:000312904400001</t>
  </si>
  <si>
    <t>Dabrowska-Prot, E; Wasilowska, A</t>
  </si>
  <si>
    <t>Dabrowska-Prot, Eliza; Wasilowska, Agnieszka</t>
  </si>
  <si>
    <t>THE ROLE OF ECOTONES IN MAN-DISTURBED LANDSCAPE: BOUNDARIES BETWEEN MIXED FOREST AND ADJACENT MAN-MADE ECOSYSTEMS IN THE KAMPINOS NATIONAL PARK, POLAND</t>
  </si>
  <si>
    <t>POLISH JOURNAL OF ECOLOGY</t>
  </si>
  <si>
    <t>National Park; anthropogenic ecosystems; vegetation analysis; Chloropidae community; ecotones as barrier; ecotones as transition zone</t>
  </si>
  <si>
    <t>EDGE; DIVERSITY; PATTERNS; BEETLES; AREA</t>
  </si>
  <si>
    <t>Ecologists agree that one of the main effects of human activity is the decrease in patch size in the landscape and hence an increase in ecotone length as a transition zone between adjacent ecological systems. Theoretical and practical importance of this concept has become one of the leading issues in current ecological research. The ecological importance of the ecotones was investigated, in the boundary of natural forest complex of the Kampinos National Park and adjacent anthropogenic ecosystems. Quantitative and qualitative changes of plant communities and of dipterans (Chloropidae) - important pests of wild and crop plants - were recorded along four types of transects located at the distance of 3 km: 1/mixed forest (Querco roboris-Pinetum Mat. 1981) - ecotone - managed meadow (Deschampsietum caespitosae Horvatic 1930); 2/ mixed forest ecotone - crop field (Arnoserido-Scleranthetum R.Tx.1937); 3/ mixed forest - ecotone - spontaneously growing 20-year-old birch wood; 4/ mixed forest - ecotone - planted 17-year-old pine wood. The exchange of plant and dipteran species between forest ecosystem and its surrounding was analysed. The role of ecotones as transit zone or barrier for such exchange and as optimum or exclusive habitat for plant and dipteran associations was evaluated. Botanical studies showed that the neighbouring, ecotone-forming communities differed markedly in the vegetation structure and species composition (similarity index between them varied from 8 to 47%). Width of contact zones was also different, ranging from 4 to 14 m. Therefore, two groups of transects were distinguished: mixed forest - young woods and mixed forest - agricultural communities which differed in plant species richness and vegetation structure in particular transect zones. It created clear contrast between ecosystems and their ecotones. Some species were being found exclusively in ecotones but these species differed among different ecotones. The so-called 'edge effect' was manifested in increased number of plant species in the ecotone compared with neighbouring ecosystems, higher density of some populations and their better life condition (reflected in individual's size, earlier entering subsequent phenological phases, fecundity). Chloropidae mainly dwelled the transect of mixed forest - meadow (60% of all caught in study area) and mixed forest - crop field (24%). Only 16% of dipteran species were caught in the transect of mixed forest - woods. Phytophagous species dominated in the first two transects (80-86% of the total number). Saprophagous species were 4-6 time less numerous there. The proportions of both trophic groups were more uniform in the transect of mixed forest - woods. Of the 44 Chloropidae species only 10 (22%) were widely dispersed in the study area and only two species - the dangerous pests Oscinella frit L. and O. pusilla Mg. were noted in all zones of all studied transects. In the transects of mixed forest and anthropogenic ecosystems, only meadow and crop field created optimal habitats for Chloropidae They were 'ecological traps' that maintained over 66% of all dipterans caught in the study area. This finding contradicts the supposition of potential threat posed by these pests to protected forest grounds due to a proximity of nearby meadows and croplands. Similarly, there was no threat of penetrating the sustainable mixed pine forest complex by synanthropic plant species. They were mainly found in the crop field. Only 1/3 of these species permeated to the ecotone zone, but none to the forest.</t>
  </si>
  <si>
    <t>[Dabrowska-Prot, Eliza; Wasilowska, Agnieszka] Polish Acad Sci, Inst Biochem &amp; Biophys, Dept Antarctic Biol, PL-02106 Warsaw, Poland</t>
  </si>
  <si>
    <t>Polish Academy of Sciences; Institute of Biochemistry &amp; Biophysics - Polish Academy of Sciences</t>
  </si>
  <si>
    <t>Wasilowska, A (corresponding author), Polish Acad Sci, Inst Biochem &amp; Biophys, Dept Antarctic Biol, Pawinskiego 5, PL-02106 Warsaw, Poland.</t>
  </si>
  <si>
    <t>agawasilowska@wp.pl</t>
  </si>
  <si>
    <t>Wasilowska, Agnieszka/0000-0002-9538-593X</t>
  </si>
  <si>
    <t>POLISH ACAD SCIENCES INST ECOLOGY</t>
  </si>
  <si>
    <t>LOMIANKI</t>
  </si>
  <si>
    <t>DZIEKANOW LESNY NEAR WARSAW, 05-092 LOMIANKI, POLAND</t>
  </si>
  <si>
    <t>1505-2249</t>
  </si>
  <si>
    <t>POL J ECOL</t>
  </si>
  <si>
    <t>Pol. J. Ecol.</t>
  </si>
  <si>
    <t>056VK</t>
  </si>
  <si>
    <t>WOS:000312519300003</t>
  </si>
  <si>
    <t>Xu, LZ</t>
  </si>
  <si>
    <t>Radziwill, NM; Chiozzi, G</t>
  </si>
  <si>
    <t>Xu, Lingzhe</t>
  </si>
  <si>
    <t>Intercontinental network control platform and robotic observation for Chinese Antarctic telescopes</t>
  </si>
  <si>
    <t>SOFTWARE AND CYBERINFRASTRUCTURE FOR ASTRONOMY II</t>
  </si>
  <si>
    <t>Conference On Software and Cyberinfrastructure for Astronomy II</t>
  </si>
  <si>
    <t>JUL 01-04, 2012</t>
  </si>
  <si>
    <t>Intercontinental network; Robotic observation; Iridium satellite</t>
  </si>
  <si>
    <t>The Chinese astronomical exploration in Antarctic region has been initialized and stepped forward. The R&amp;D roadmap in this regard identifies each progressive step. For the past several years China has set up Kunlun station at Antarctic Dome-A, and Chinese Small Telescope ARray (CSTAR) has already been up and running regularly. In addition, Antarctic Schmidt Telescopes (AST3_1) was transported to the area in the year of 2011 and has recently been placed in service for some time and followed with telescopes in larger size predictably more to come. Antarctic region is one of a few best sites left on the Earth for astronomical telescope observation, yet with worst fundamental living conditions for human survival and activities. To meet such a tough challenge it is essential to establish an efficient and reliable means of remote access for telescope routine observation. This paper outlines the remote communication for CSTAR and AST3_1, and further proposes an intercontinental network control platform for Chinese Antarctic telescope array with remote full-automatic control and robotic observation and management. A number of technical issues for telescope access such as the unattended operation, the bandwidth based on iridium satellite transmission as well as the means of reliable and secure communication among other things are all reviewed and further analyzed.</t>
  </si>
  <si>
    <t>Chinese Acad Sci, Nanjing Inst Astron Opt &amp; Technol, Natl Astron Observ, Nanjing 210042, Jiangsu, Peoples R China</t>
  </si>
  <si>
    <t>Chinese Academy of Sciences; National Astronomical Observatory, CAS; Nanjing Institute of Astronomical Optics &amp; Technology, NAOC, CAS</t>
  </si>
  <si>
    <t>Xu, LZ (corresponding author), Chinese Acad Sci, Nanjing Inst Astron Opt &amp; Technol, Natl Astron Observ, Nanjing 210042, Jiangsu, Peoples R China.</t>
  </si>
  <si>
    <t>lzhxu@niaot.ac.cn</t>
  </si>
  <si>
    <t>978-0-8194-9152-7</t>
  </si>
  <si>
    <t>10.1117/12.925629</t>
  </si>
  <si>
    <t>Astronomy &amp; Astrophysics; Computer Science, Software Engineering; Optics</t>
  </si>
  <si>
    <t>Astronomy &amp; Astrophysics; Computer Science; Optics</t>
  </si>
  <si>
    <t>BDD99</t>
  </si>
  <si>
    <t>WOS:000312888700039</t>
  </si>
  <si>
    <t>Roig-Juñent, S; Rouaux, J</t>
  </si>
  <si>
    <t>Roig-Junent, Sergio; Rouaux, Julia</t>
  </si>
  <si>
    <t>A new species of Rhytidognathus (Carabidae, Migadopini) from Argentina</t>
  </si>
  <si>
    <t>ZOOKEYS</t>
  </si>
  <si>
    <t>Migadopini; Rhytidognathus; New species; Male and female genitalia; Distribution</t>
  </si>
  <si>
    <t>COLEOPTERA; BEETLES</t>
  </si>
  <si>
    <t>The Migadopini are a small tribe of Carabidae with 47 species that occur in South America, Australia, and New Zealand, in the sub-Antarctic areas. In South America, most of the genera inhabit areas related to sub-Antartic Nothofagus forest except two monogeneric genera, the Ecuadorian genus Aquilex Moret and the Pampean genus Rhytidognathus Chaudoir. These two genera are geographically isolated from the remaining five South American genera. New material of Rhytidognathus from the northeast of Buenos Aires province and from Entre Rios province permits establishing that the previous records of Rhytidognathus ovalis (Dejean) for Argentina were erroneous and that it belongs to a new species. Based on external morphological characters and from male and female genitalia we describe Rhytidognathus platensis as a new species. In this contribution we provide illustrations, keys, habitat characteristics and some biogeographic considerations on the distribution of Rhytidognathus.</t>
  </si>
  <si>
    <t>[Roig-Junent, Sergio] CCT CONICET Mendoza, Entomol Lab, Inst Argentino Invest Zonas Aridas IADIZA, RA-5500 Mendoza, Argentina; [Rouaux, Julia] Museo La Plata, Dept Entomol, RA-1900 La Plata, Buenos Aires, Argentina</t>
  </si>
  <si>
    <t>Consejo Nacional de Investigaciones Cientificas y Tecnicas (CONICET); National University of La Plata; Museo La Plata</t>
  </si>
  <si>
    <t>Roig-Juñent, S (corresponding author), CCT CONICET Mendoza, Entomol Lab, Inst Argentino Invest Zonas Aridas IADIZA, CC 507, RA-5500 Mendoza, Argentina.</t>
  </si>
  <si>
    <t>saro1ig@mendoza-conicet.gob.ar</t>
  </si>
  <si>
    <t>PENSOFT PUBLISHERS</t>
  </si>
  <si>
    <t>SOFIA</t>
  </si>
  <si>
    <t>12 PROF GEORGI ZLATARSKI ST, SOFIA, 1700, BULGARIA</t>
  </si>
  <si>
    <t>1313-2989</t>
  </si>
  <si>
    <t>1313-2970</t>
  </si>
  <si>
    <t>ZooKeys</t>
  </si>
  <si>
    <t>10.3897/zookeys.247.3303</t>
  </si>
  <si>
    <t>066DD</t>
  </si>
  <si>
    <t>WOS:000313199400003</t>
  </si>
  <si>
    <t>Gu, Q; Wang, DX; Yuan, XY; Zhao, JL</t>
  </si>
  <si>
    <t>Ye, T; Luo, X; Hu, S; Bao, X; Li, Y</t>
  </si>
  <si>
    <t>Gu, Qing; Wang, Daxing; Yuan, Xiangyan; Zhao, Jianlin</t>
  </si>
  <si>
    <t>Temperature control method used in Antarctic telescope</t>
  </si>
  <si>
    <t>6TH INTERNATIONAL SYMPOSIUM ON ADVANCED OPTICAL MANUFACTURING AND TESTING TECHNOLOGIES: DESIGN, MANUFACTURING, AND TESTING OF SMART STRUCTURES, MICRO- AND NANO- OPTICAL DEVICES, AND SYSTEMS</t>
  </si>
  <si>
    <t>6th International Symposium on Advanced Optical Manufacturing and Testing Technologies (AOMATT)</t>
  </si>
  <si>
    <t>APR 26-29, 2012</t>
  </si>
  <si>
    <t>Xiamen, PEOPLES R CHINA</t>
  </si>
  <si>
    <t>Antarctic telescope; temperature control; redundant fault-tolerant; single-bus</t>
  </si>
  <si>
    <t>This paper focuses on a micro-temperature controller which can be used in Antarctic telescope. This controller uses integrated digital temperature sensors and platinum sensors for temperature measurement, and uses single-chip for the system control, and single-bus for signal and data information transmission, which can meet different kinds of heating. With this controller we can solve the problems about temperature of the telescope, such as there are too many temperature test pots on the telescope, the complex control of mirror defroster, and the problem of wiring in such low temperature. In this paper there are only 4 cables needed to make the connection between center computer and power supply. And the remote control and monitoring can be achieved by the center computer. It is very space less, components and energy less, and after series of tests, it can meet the temperature control need of Antarctic telescope.</t>
  </si>
  <si>
    <t>[Gu, Qing; Wang, Daxing; Yuan, Xiangyan; Zhao, Jianlin] Chinese Acad Sci, Nanjing Inst Astron Opt &amp; Technol, Natl Astron Observ, Nanjing 210042, Jiangsu, Peoples R China</t>
  </si>
  <si>
    <t>Gu, Q (corresponding author), Chinese Acad Sci, Nanjing Inst Astron Opt &amp; Technol, Natl Astron Observ, 188 Bancang St, Nanjing 210042, Jiangsu, Peoples R China.</t>
  </si>
  <si>
    <t>978-0-8194-9100-8</t>
  </si>
  <si>
    <t>84181N</t>
  </si>
  <si>
    <t>10.1117/12.975649</t>
  </si>
  <si>
    <t>Nanoscience &amp; Nanotechnology; Optics</t>
  </si>
  <si>
    <t>Science &amp; Technology - Other Topics; Optics</t>
  </si>
  <si>
    <t>BCZ63</t>
  </si>
  <si>
    <t>WOS:000312217500059</t>
  </si>
  <si>
    <t>Dommergue, A; Barret, M; Courteaud, J; Cristofanelli, P; Ferrari, CP; Gallée, H</t>
  </si>
  <si>
    <t>Dommergue, A.; Barret, M.; Courteaud, J.; Cristofanelli, P.; Ferrari, C. P.; Gallee, H.</t>
  </si>
  <si>
    <t>Dynamic recycling of gaseous elemental mercury in the boundary layer of the Antarctic Plateau</t>
  </si>
  <si>
    <t>ATMOSPHERIC CHEMISTRY AND PHYSICS</t>
  </si>
  <si>
    <t>TERRA-NOVA BAY; OXIDIZED MERCURY; INTERSTITIAL AIR; SOUTH-POLE; SNOW; OXIDATION; ICE; DEPLETION; OZONE; SINK</t>
  </si>
  <si>
    <t>Gaseous elemental mercury (Hg-0) was investigated in the troposphere and in the interstitial air extracted from the snow at Dome Concordia station (alt. 3320 m) on the Antarctic Plateau during January 2009. Measurements and modeling studies showed evidence of a very dynamic and daily cycling of Hg-0 inside the mixing layer with a range of values from 0.2 ng m(-3) up to 2.3 ng m(-3). During low solar irradiation periods, fast Hg-0 oxidation processes in a confined layer were suspected. Unexpectedly high Hg-0 concentrations for such a remote place were measured under higher solar irradiation due to snow photochemistry. We suggest that a daily cycling of reemission/oxidation occurs during summer within the mixing layer at Dome Concordia. Hg-0 concentrations showed a negative correlation with ozone mixing ratios, which contrasts with atmospheric mercury depletion events observed during the Arctic spring. Unlike previous Antarctic studies, we think that atmospheric Hg-0 removal may not be the result of advection processes. The daily and dramatic Hg-0 losses could be a consequence of surface or snow induced oxidation pathways. It remains however unclear whether halogens are involved. The cycling of other oxidants should be investigated together with Hg species in order to clarify the complex reactivity on the Antarctic plateau.</t>
  </si>
  <si>
    <t>[Dommergue, A.; Barret, M.; Courteaud, J.; Ferrari, C. P.; Gallee, H.] UJF Grenoble 1, CNRS, LGGE, UMR5183, F-38041 Grenoble, France; [Cristofanelli, P.] CNR, Inst Atmospher Sci &amp; Climate, Bologna, Italy</t>
  </si>
  <si>
    <t>Centre National de la Recherche Scientifique (CNRS); Communaute Universite Grenoble Alpes; Universite Grenoble Alpes (UGA); Consiglio Nazionale delle Ricerche (CNR); Istituto di Scienze dell'Atmosfera e del Clima (ISAC-CNR)</t>
  </si>
  <si>
    <t>Dommergue, A (corresponding author), UJF Grenoble 1, CNRS, LGGE, UMR5183, F-38041 Grenoble, France.</t>
  </si>
  <si>
    <t>aurelien.dommergue@lgge.obs.ujf-grenoble.fr</t>
  </si>
  <si>
    <t>Cristofanelli, Paolo/AAA-5575-2021; dommergue, aurelien/HLP-6539-2023; Dommergue, Aurelien/A-2829-2009</t>
  </si>
  <si>
    <t>Cristofanelli, Paolo/0000-0001-5666-9131; dommergue, aurelien/0000-0002-8185-9604; Dommergue, Aurelien/0000-0002-8185-9604</t>
  </si>
  <si>
    <t>ANR VMC VANISH [ANR-07-VULN-013]; French Polar Institute (IPEV) [902, 1028]; CALVA programme [IPEV 1013]; OSUG CENACLAM observatory; CNRS-INSU</t>
  </si>
  <si>
    <t>ANR VMC VANISH(Agence Nationale de la Recherche (ANR)); French Polar Institute (IPEV); CALVA programme; OSUG CENACLAM observatory; CNRS-INSU(Centre National de la Recherche Scientifique (CNRS))</t>
  </si>
  <si>
    <t>This work was funded by the ANR VMC VANISH (project ANR-07-VULN-013). Field logistic supplies and some financial support were provided by the French Polar Institute (IPEV) through programs Glaciologie 902 and GMOstral 1028. We particularly acknowledge the support of our late lamented colleague Jean-Marc Barnola. Wind and temperature tower observations were kindly provided by C. Genthon. Support by the CALVA programme (IPEV 1013, http://lgge.osug.fr/similar tochristo/calva/home.shtml) and OSUG CENACLAM observatory is acknowledged. The MAR simulations were run on CNRS/IDRIS and Universite Joseph Fourier CIMENT computers. The authors gratefully acknowledge Philippe Possenti, Laurent Arnaud, Jerome Chappellaz, Bruno Jourdain and Emmanuel Le Meur for their support before and during the campaign. AD acknowledges the Institut Universitaire de France.; The publication of this article is financed by CNRS-INSU.</t>
  </si>
  <si>
    <t>1680-7316</t>
  </si>
  <si>
    <t>1680-7324</t>
  </si>
  <si>
    <t>ATMOS CHEM PHYS</t>
  </si>
  <si>
    <t>Atmos. Chem. Phys.</t>
  </si>
  <si>
    <t>10.5194/acp-12-11027-2012</t>
  </si>
  <si>
    <t>055JG</t>
  </si>
  <si>
    <t>WOS:000312411300026</t>
  </si>
  <si>
    <t>Barletta, RE; Priscu, JC; Mader, HM; Jones, WL; Roe, CH</t>
  </si>
  <si>
    <t>Barletta, Robert E.; Priscu, John C.; Mader, Heidy M.; Jones, Warren L.; Roe, Christopher H.</t>
  </si>
  <si>
    <t>Chemical analysis of ice vein microenvironments: II. Analysis of glacial samples from Greenland and Antarctica</t>
  </si>
  <si>
    <t>JOURNAL OF GLACIOLOGY</t>
  </si>
  <si>
    <t>MCMURDO DRY VALLEYS; LAKE VOSTOK; POLAR ICE; POLYCRYSTALLINE ICE; SOLUBLE IMPURITIES; MICROBIAL HABITAT; SNOWBALL EARTH; SULFURIC-ACID; CORE; SYSTEM</t>
  </si>
  <si>
    <t>Chemical constituents trapped within glacial ice provide a unique record of climate, as well as repositories for biological material such as pollen grains, fungal spores, viruses, bacteria and dissolved organic carbon. Past research suggests that the veins of polycrystalline ice may provide a liquid microenvironment for active microbial metabolism fueled by concentrated impurities in the veins. Despite these claims, no direct measurements of impurity concentration in ice veins have been made. Using micro-Raman spectroscopy, we show that sulfate and nitrate concentrations in the veins of glacial ice from Greenland (Greenland Ice Sheet Project 2) and Antarctic (Newall Glacier and a Dominion Range glacier) core samples were 10(4) and 10(5) times greater than the concentrations measured in melted (bulk) core water. Methanesulfonate was not found in the veins, consistent with its presence as particulate matter within the ice. The measured vein concentration of molecular anions implies a highly acidic (pH &lt; 3) vein environment with high ionic strength (mM-M). We estimate that the vein volume provides 16.7 and 576 km(3) of habitable space within the Greenland and Antarctic ice sheets, respectively, which could support the metabolism of organisms that are capable of growing in cold, high ionic strength solutions with low pH.</t>
  </si>
  <si>
    <t>[Barletta, Robert E.; Roe, Christopher H.] Univ S Alabama, Dept Chem, Mobile, AL 36688 USA; [Priscu, John C.] Montana State Univ, Dept Land Resources &amp; Environm Sci, Bozeman, MT 59717 USA; [Mader, Heidy M.] Univ Bristol, Sch Earth Sci, Bristol, Avon, England; [Jones, Warren L.] Montana State Univ, Ctr Biofilm Engn, Bozeman, MT 59717 USA</t>
  </si>
  <si>
    <t>University of South Alabama; Montana State University System; Montana State University Bozeman; University of Bristol; Montana State University System; Montana State University Bozeman</t>
  </si>
  <si>
    <t>US National Science Foundation, Office of Polar Programs [0828786]; NASA grant [NAI5-0021]; NSF [OPP-0839075, OPP-0838933, OPP-1115245]; Directorate For Geosciences; Division Of Polar Programs [0838933] Funding Source: National Science Foundation; Division Of Polar Programs; Directorate For Geosciences [0839075] Funding Source: National Science Foundation; Office of Polar Programs (OPP); Directorate For Geosciences [0828786] Funding Source: National Science Foundation</t>
  </si>
  <si>
    <t>US National Science Foundation, Office of Polar Programs(National Science Foundation (NSF)); NASA grant(National Aeronautics &amp; Space Administration (NASA)); NSF(National Science Foundation (NSF)); Directorate For Geosciences; Division Of Polar Programs(National Science Foundation (NSF)NSF - Directorate for Geosciences (GEO)); Division Of Polar Programs; Directorate For Geosciences(National Science Foundation (NSF)NSF - Directorate for Geosciences (GEO)); Office of Polar Programs (OPP); Directorate For Geosciences(National Science Foundation (NSF)NSF - Directorate for Geosciences (GEO))</t>
  </si>
  <si>
    <t>This study was funded by the US National Science Foundation, Office of Polar Programs under grant No. 0828786. Ice-core data were provided by the US National Snow and Ice Data Center, University of Colorado at Boulder, and the World Data Center-A for Paleoclimatology, National Geophysical Data Center, Boulder, Colorado, through posted websites. The authors acknowledge the assistance of staff at the US National Ice Core Laboratory in the preparation of samples used in this study. J.C.P. was supported by NASA grant NAI5-0021 and NSF grants OPP-0839075, OPP-0838933 and OPP-1115245.</t>
  </si>
  <si>
    <t>0022-1430</t>
  </si>
  <si>
    <t>1727-5652</t>
  </si>
  <si>
    <t>J GLACIOL</t>
  </si>
  <si>
    <t>J. Glaciol.</t>
  </si>
  <si>
    <t>10.3189/2012JoG12J112</t>
  </si>
  <si>
    <t>056HQ</t>
  </si>
  <si>
    <t>WOS:000312479400007</t>
  </si>
  <si>
    <t>Neff, PD; Steig, EJ; Clark, DH; McConnell, JR; Pettit, EC; Menounos, B</t>
  </si>
  <si>
    <t>Neff, Peter D.; Steig, Eric J.; Clark, Douglas H.; McConnell, Joseph R.; Pettit, Erin C.; Menounos, Brian</t>
  </si>
  <si>
    <t>Ice-core net snow accumulation and seasonal snow chemistry at a temperate-glacier site: Mount Waddington, southwest British Columbia, Canada</t>
  </si>
  <si>
    <t>CLIMATE VARIABILITY; ISOTOPIC SIGNALS; RECORDS; PACIFIC; YUKON; TRANSPORT; STATES; RANGE; AREAS; LOGAN</t>
  </si>
  <si>
    <t>A 141 m ice core was recovered from Combatant Col (51.385 degrees N, 125.258 degrees W; 3000 m a.s.l.), Mount Waddington, Coast Mountains, British Columbia, Canada. Records of black carbon, dust, lead and water stable isotopes demonstrate that unambiguous seasonality is preserved throughout the core, despite summer surface snowmelt and temperate ice. High accumulation rates at the site (&gt;4 m ice eq. a(-1)) limit modification of annual stratigraphy by percolation of surface meltwater. The ice-core record spans the period 1973-2010. An annually averaged time series of lead concentrations from the core correlates well with historical records of lead emission from North America, and with ice-core records of lead from the Greenland ice sheet. The depth-age scale for the ice core provides sufficient constraint on the vertical strain to allow estimation of the age of the ice at bedrock. Total ice thickness at Combatant Col is similar to 250 m; an ice core to bedrock would likely contain ice in excess of 200 years in age. Accumulation at Combatant Col is significantly correlated with both regional precipitation and large-scale geopotential height anomalies.</t>
  </si>
  <si>
    <t>[Neff, Peter D.; Steig, Eric J.] Univ Washington, Dept Earth &amp; Space Sci, Seattle, WA 98195 USA; [Clark, Douglas H.] Western Washington Univ, Dept Geol, Bellingham, WA 98225 USA; [McConnell, Joseph R.] Univ Nevada, Desert Res Inst, Div Hydrol Sci, Reno, NV 89506 USA; [Pettit, Erin C.] Univ Alaska Fairbanks, Dept Geol &amp; Geophys, Fairbanks, AK USA; [Menounos, Brian] Univ No British Columbia, Geog Program, Prince George, BC V2L 5P2, Canada</t>
  </si>
  <si>
    <t>University of Washington; University of Washington Seattle; Western Washington University; Nevada System of Higher Education (NSHE); University of Nevada Reno; Desert Research Institute NSHE; University of Alaska System; University of Alaska Fairbanks; University of Northern British Columbia</t>
  </si>
  <si>
    <t>Neff, PD (corresponding author), Victoria Univ Wellington, Antarctic Res Ctr, Wellington, New Zealand.</t>
  </si>
  <si>
    <t>neff.peter@gmail.com</t>
  </si>
  <si>
    <t>Neff, Peter David/ABB-7688-2021; Neff, Peter/B-3542-2014; Clark, Douglas/JED-6596-2023; /G-9088-2015</t>
  </si>
  <si>
    <t>Clark, Douglas/0000-0001-9043-0730; Neff, Peter/0000-0003-1697-0936; Pettit, Erin Christine/0000-0002-6765-9841; /0000-0002-8191-5549</t>
  </si>
  <si>
    <t>US National Science Foundation Paleo-climate Program [0902240, 0902392, 0902734, 0903124]; Western Canadian Cryospheric Network; Canadian Foundation for Climate and Atmospheric Sciences; Directorate For Geosciences; Div Atmospheric &amp; Geospace Sciences [0902240, 0902392, 0903124] Funding Source: National Science Foundation; Div Atmospheric &amp; Geospace Sciences; Directorate For Geosciences [0902734] Funding Source: National Science Foundation</t>
  </si>
  <si>
    <t>US National Science Foundation Paleo-climate Program(National Science Foundation (NSF)); Western Canadian Cryospheric Network; Canadian Foundation for Climate and Atmospheric Sciences; Directorate For Geosciences; Div Atmospheric &amp; Geospace Sciences(National Science Foundation (NSF)NSF - Directorate for Geosciences (GEO)); Div Atmospheric &amp; Geospace Sciences; Directorate For Geosciences(National Science Foundation (NSF)NSF - Directorate for Geosciences (GEO))</t>
  </si>
  <si>
    <t>We thank Beth Bergeron and Ice Drilling Design and Operations for expert drilling leadership, the King family and employees at White Saddle Air, Bluff Lake, British Columbia, and TC Trans trucking for an emergency ice-core freezer replacement. Field assistants were M. Bisiaux, N. Bowermann, K. Sterle, J. Theis, S. Schoenemann, A. McKee, M. Park, T. Hutchison, J. Brann and K. McConnell. H. Roop assisted in planning field logistics, and helped process the core along with A. Gusmeroli. T.J. Fudge assisted in dating the core. We also thank the US National Ice Core Laboratory for sampling support, and technicians and students at the Desert Research Institute Ultra-Trace Chemistry Laboratory and Andrew Schauer and other staff at Delta*IsoLab (University of Washington) for their analytical expertise. We thank E.D. Waddington, G. Roe, M. Winstrup and two anonymous reviewers for providing helpful comments on the manuscript. This project was supported by grants from the US National Science Foundation Paleo-climate Program, awards 0902240, 0902392, 0902734 and 0903124, and by the Western Canadian Cryospheric Network, funded by the Canadian Foundation for Climate and Atmospheric Sciences.</t>
  </si>
  <si>
    <t>10.3189/2012JoG12J078</t>
  </si>
  <si>
    <t>WOS:000312479400012</t>
  </si>
  <si>
    <t>Wang, CX; Wang, KG</t>
  </si>
  <si>
    <t>Wang, Caixin; Wang, Keguang</t>
  </si>
  <si>
    <t>Impact of increasing Antarctic ice-shelf melting on Southern Ocean hydrography</t>
  </si>
  <si>
    <t>SEA-ICE; WEDDELL SEA; BOTTOM WATER; ROSS SEA; MODEL; TEMPERATURE; CLIMATE; CIRCULATION; DYNAMICS; PACIFIC</t>
  </si>
  <si>
    <t>Southern Ocean hydrography has undergone substantial changes in recent decades, concurrent with an increase in the rate of Antarctic ice-shelf melting (AISM). We investigate the impact of increasing AISM on hydrography through a twin numerical experiment, with and without AISM, using a global coupled sea-ice/ocean climate model. The difference between these simulations gives a qualitative understanding of the impact of increasing AISM on hydrography. It is found that increasing AISM tends to freshen the surface water, warm the intermediate and deep waters, and freshen and warm the bottom water in the Southern Ocean. Such effects are consistent with the recent observed trends, suggesting that increasing AISM is likely a significant contributor to the changes in the Southern Ocean. Our analyses indicate potential positive feedback between hydrography and AISM that would amplify the effect on both Southern Ocean hydrography and Antarctic ice-shelf loss caused by external factors such as changing Southern Hemisphere winds.</t>
  </si>
  <si>
    <t>[Wang, Caixin] Univ Helsinki, Dept Phys, Helsinki, Finland; [Wang, Caixin] Norwegian Polar Res Inst, Tromso, Norway; [Wang, Keguang] Norwegian Meteorol Inst, Tromso, Norway</t>
  </si>
  <si>
    <t>University of Helsinki; Norwegian Polar Institute; Norwegian Meteorological Institute</t>
  </si>
  <si>
    <t>Wang, CX (corresponding author), Univ Helsinki, Dept Phys, Helsinki, Finland.</t>
  </si>
  <si>
    <t>caixin.wang@npolar.no</t>
  </si>
  <si>
    <t>Wang, Caixin/HTM-4350-2023</t>
  </si>
  <si>
    <t>University of Helsinki through the project EPOS</t>
  </si>
  <si>
    <t>We thank the DRAKKAR group for providing the ORCA2-LIM configuration, especially Jean-Marc Molines for his assistance in setting up the model in Helsinki. We are grateful to Aike Beckmann and anonymous reviewers for constructive comments which substantially improved the manuscript. This study was supported by the University of Helsinki through the project EPOS. The simulations were carried out at the Finnish Center for Scientific Computing.</t>
  </si>
  <si>
    <t>10.3189/2012JoG12J009</t>
  </si>
  <si>
    <t>WOS:000312479400014</t>
  </si>
  <si>
    <t>Linow, S; Hörhold, MW; Freitag, J</t>
  </si>
  <si>
    <t>Linow, Stefanie; Hoerhold, Maria W.; Freitag, Johannes</t>
  </si>
  <si>
    <t>Grain-size evolution of polar firn: a new empirical grain growth parameterization based on X-ray microcomputer tomography measurements</t>
  </si>
  <si>
    <t>ANTARCTIC ICE-SHEET; SURFACE-PROPERTIES; DRY-SNOW; ACCUMULATION; VARIABILITY; DENSIFICATION; GREENLAND; ALBEDO; MICROTOMOGRAPHY; CONDUCTIVITY</t>
  </si>
  <si>
    <t>Firn microstructure properties from six different sites in Greenland and Antarctica are investigated by means of X-ray microcomputer tomography. The optical effective radius is calculated from the specific surface area (SSA) and used as a measure of grain size. It is shown that the recently introduced spherical approximation of firn grains using the effective radius R-eff is representative of grain size in the microwave frequency region. The measured profiles show the well-known increase of grain size with depth at all sites, where the increase is largest at near-surface depths. A large variability in grain size on the decimeter-to-centimeter scale as a result of different grain properties of single layers is superimposed on the overall trend at each site. A simple empirical parameterization of grain-size evolution is developed which allows the rapid grain growth in the uppermost layers of the firn to be predicted. The growth is driven by strong seasonal and diurnal temperature gradients. The model can be used to simulate grain-size profiles required by models of firn/microwave interaction (e.g. for retrieval of accumulation rates from satellite microwave sensors) in a more realistic fashion.</t>
  </si>
  <si>
    <t>[Linow, Stefanie; Freitag, Johannes] Alfred Wegener Inst Polar &amp; Marine Res, Bremerhaven, Germany; [Hoerhold, Maria W.] Univ Bremen, D-28359 Bremen, Germany</t>
  </si>
  <si>
    <t>Helmholtz Association; Alfred Wegener Institute, Helmholtz Centre for Polar &amp; Marine Research; University of Bremen</t>
  </si>
  <si>
    <t>Linow, S (corresponding author), Alfred Wegener Inst Polar &amp; Marine Res, Bremerhaven, Germany.</t>
  </si>
  <si>
    <t>stefanie.linow@awi.de</t>
  </si>
  <si>
    <t>Linow, Stefanie/0000-0001-8896-3976</t>
  </si>
  <si>
    <t>German Science Foundation (DFG) [SPP-1257]; DFG grant [FR 2527/1-1]</t>
  </si>
  <si>
    <t>German Science Foundation (DFG)(German Research Foundation (DFG)); DFG grant(German Research Foundation (DFG))</t>
  </si>
  <si>
    <t>We thank Zoe Courville for providing the Hercules Dome and Depot 700 firn-core material. We also thank Wolfgang Dierking for valuable advice. S. Linow was funded by the German Science Foundation (DFG; SPP-1257: Mass Transport and Mass Distribution in the Earth System). M. Horhold was funded by DFG grant FR 2527/1-1.</t>
  </si>
  <si>
    <t>10.3189/2012JoG11J256</t>
  </si>
  <si>
    <t>WOS:000312479400018</t>
  </si>
  <si>
    <t>Perrie, LR; Parris, BS</t>
  </si>
  <si>
    <t>Perrie, L. R.; Parris, B. S.</t>
  </si>
  <si>
    <t>Chloroplast DNA sequences indicate the grammitid ferns (Polypodiaceae) in New Zealand belong to a single clade, Notogrammitis gen. nov.</t>
  </si>
  <si>
    <t>NEW ZEALAND JOURNAL OF BOTANY</t>
  </si>
  <si>
    <t>biogeography; chloroplast DNA sequences; Ctenopteris; grammitid fern; Grammitis; Notogrammitis; phylogeny; Polypodiaceae</t>
  </si>
  <si>
    <t>PHYLOGENY; TERPSICHORE; ASPLENIUM; LELLINGERIA; EVOLUTION; FILICALES; TAXONOMY; INSIGHTS; GENERA</t>
  </si>
  <si>
    <t>Eleven species of grammitid ferns have been recognized from New Zealand, in Ctenopteris (one species) and Grammitis (10 species). On account of their morphology, it has previously been hypothesized that these species belong to a single clade. We found this to be supported by phylogenetic analysis of chloroplast DNA sequences, with the species misclassified in their current genera. Consequently, a new genus is described, Notogrammitis, containing a global total of 12 species. The only grammitid species south of 35 degrees 30'S worldwide belong to Notogrammitis. Within Notogrammitis, it appears that small-spored species of more benign habitats have originated from within a grade of larger-spored species, generally of colder environments. The chloroplast DNA sequences indicate several cases where the sampled populations may not actually be conspecific: New Zealand and Tasmanian N. billardierei; the circum-Antarctic N. crassior; and the morphologically variable, New Zealand endemic N. ciliata.</t>
  </si>
  <si>
    <t>[Perrie, L. R.] Museum New Zealand Te Papa Tongarewa, Wellington, New Zealand; [Perrie, L. R.] Victoria Univ Wellington, Sch Biol Sci, Wellington, New Zealand; [Parris, B. S.] Fern Res Fdn, Kerikeri, New Zealand</t>
  </si>
  <si>
    <t>Perrie, LR (corresponding author), Museum New Zealand Te Papa Tongarewa, Wellington, New Zealand.</t>
  </si>
  <si>
    <t>leon.perrie@tepapa.govt.nz</t>
  </si>
  <si>
    <t>Parris, Barbara/AAV-7683-2021</t>
  </si>
  <si>
    <t>Parris, Barbara/0000-0002-0478-627X; Perrie, Leon/0000-0002-2118-3534</t>
  </si>
  <si>
    <t>Ministry of Business, Innovation and Employment's Science and Innovation Group</t>
  </si>
  <si>
    <t>Ministry of Business, Innovation and Employment's Science and Innovation Group(New Zealand Ministry of Business, Innovation and Employment (MBIE))</t>
  </si>
  <si>
    <t>We thank Brian Rance for collecting the Notogrammitis rigida sample; Maureen Young for collecting the N. rawlingsii samples; Graeme Jane for collecting one of the N. ciliata samples; Ines Schonberger and Debby Redmond (CHR) for supplying an image of the voucher specimen for Brownlie's chromosome count of 'Grammitis ciliata' (=N. patagonica); and Patrick Brownsey and anonymous reviewers for comments on the manuscript. This research was supported by Core funding for Crown Research Institutes from the Ministry of Business, Innovation and Employment's Science and Innovation Group.</t>
  </si>
  <si>
    <t>0028-825X</t>
  </si>
  <si>
    <t>NEW ZEAL J BOT</t>
  </si>
  <si>
    <t>N. Z. J. Bot.</t>
  </si>
  <si>
    <t>10.1080/0028825X.2012.735247</t>
  </si>
  <si>
    <t>057QT</t>
  </si>
  <si>
    <t>WOS:000312578900010</t>
  </si>
  <si>
    <t>García-López, JM; Collado, L; Allué, C; Bava, JO; Arranz, JA; Beneitez, JM</t>
  </si>
  <si>
    <t>Garcia-Lopez, Javier M.; Collado, Leonardo; Allue, Carmen; Bava, Jose O.; Arranz, Jose A.; Beneitez, Jose M.</t>
  </si>
  <si>
    <t>Phytoclimatic segregation of sub-Antarctic Nothofagus woodland types in Tierra del Fuego, southern South America</t>
  </si>
  <si>
    <t>PLANT ECOLOGY &amp; DIVERSITY</t>
  </si>
  <si>
    <t>CLIMPAIR; phytoclimatology; southern beech; sub-Antarctic woodlands; suitability</t>
  </si>
  <si>
    <t>MIRB BLUME FORESTS; CLIMATE-CHANGE; BETULOIDES; PATAGONIA; TEMPERATURE; ADVANTAGES; NORTHERN; PUMILIO; ECOTONE; MODELS</t>
  </si>
  <si>
    <t>Background: Climatic variables determining the most suitable sites for the woodlands of Tierra del Fuego are not yet as well understood as those related to their geographical range. Aim: The aim of this paper is to provide some insights into the relationships between climatic niche and current distribution of three Nothofagus species in Tierra del Fuego. Methods: We have identified the climatic variables responsible for the most suitable sites for three sub-Antarctic Nothofagus woodland types within their climatic ranges by calculating suitability indices, using the CLIMPAIR niche-based phytoclimatic model. Results: The distribution range of the major Nothofagus woodlands is mainly driven by variables related to water stress, whereas phytoclimatic suitability is mainly driven by thermal variables related to warm summer temperatures for Nothofagus betuloides and N. pumilio and to winter cold for N. antarctica that are also mainly responsible for the peculiarity of the Fueguian climate. Conclusions: These findings introduce a new perspective in the study of the Nothofagus ecology, based on the climatic traits responsible for the high-suitability locations instead of the traditional focus on the overall geographical distribution.</t>
  </si>
  <si>
    <t>[Garcia-Lopez, Javier M.; Allue, Carmen] Consejer Medio Ambiente, Burgos, Spain; [Collado, Leonardo] Secretaria Desarrollo Sustentable &amp; Ambiente Ushu, Tierra Del Fuego, Argentina; [Bava, Jose O.] CIEFAP, Esquel, Argentina; [Arranz, Jose A.] Consejeria Medio Ambiente, Valladolid, Spain; [Beneitez, Jose M.] Soc Publ Medio Ambiente Castilla &amp; Leon, Valladolid, Spain</t>
  </si>
  <si>
    <t>García-López, JM (corresponding author), Consejer Medio Ambiente, Burgos, Spain.</t>
  </si>
  <si>
    <t>garlopjv@telefonica.net</t>
  </si>
  <si>
    <t>1755-0874</t>
  </si>
  <si>
    <t>1755-1668</t>
  </si>
  <si>
    <t>PLANT ECOL DIVERS</t>
  </si>
  <si>
    <t>Plant Ecol. Divers.</t>
  </si>
  <si>
    <t>10.1080/17550874.2012.691563</t>
  </si>
  <si>
    <t>055YV</t>
  </si>
  <si>
    <t>WOS:000312454900011</t>
  </si>
  <si>
    <t>Xu, LZ; Pei, C</t>
  </si>
  <si>
    <t>Lin, X; Namba, Y; Xing, T</t>
  </si>
  <si>
    <t>Xu Lingzhe; Pei Chong</t>
  </si>
  <si>
    <t>Parameter optimization of Dome A Site testing DIMM by data mining</t>
  </si>
  <si>
    <t>6TH INTERNATIONAL SYMPOSIUM ON ADVANCED OPTICAL MANUFACTURING AND TESTING TECHNOLOGIES: OPTICAL SYSTEM TECHNOLOGIES FOR MANUFACTURING AND TESTING</t>
  </si>
  <si>
    <t>6th International Symposium on Advanced Optical Manufacturing and Testing Technologies (AOMATT) - Optical System Technologies for Manufacturing and Testing</t>
  </si>
  <si>
    <t>Dome A; DIMM; DATA MINING; DMAR</t>
  </si>
  <si>
    <t>The extreme environment of Antarctic is valuable for astronomical observations. Dome C is proved has excellent seeing and transmission by site testing works. While the higher, colder inland plateau Dome A is widely predicted as even better astronomical site than Dome C. Preliminary site testing developed since the beginning of 2008 shows that Dome A has lower boundary layer and lower precipitable water vapour. Now the automated seeing monitor is urgently needed to quantify the site's optical character which is necessary for the telescope design and deployment. In addition, it has the requirement that DIMM must realize automatic measurement for nearly one year under the case of unmanned intervention during which a great quantity of data will be generated because of the limitation of Dome A. This paper aims at researching how to use the method of mining association rules to automatically analyze observation data, what the relationship between various parameters effecting on optical quality is, and improving the efficiency of telescope observation by parameter optimization. We have modified a commercial telescope with diameter of 35cm to function as site testing DIMM which has been installed at XingLong observation station of National Astronomical Observatories, Chinese Academy of Sciences, acquired long term observation data, and identified that this method is suitable for optimizing the parameters of DIMM system.</t>
  </si>
  <si>
    <t>[Xu Lingzhe; Pei Chong] Chinese Acad Sci, Nanjing Inst Astron Opt &amp; Technol, Natl Astron Observ, Nanjing 210042, Peoples R China</t>
  </si>
  <si>
    <t>Xu, LZ (corresponding author), Chinese Acad Sci, Nanjing Inst Astron Opt &amp; Technol, Natl Astron Observ, Nanjing 210042, Peoples R China.</t>
  </si>
  <si>
    <t>978-0-8194-9102-2</t>
  </si>
  <si>
    <t>84200M</t>
  </si>
  <si>
    <t>10.1117/12.974362</t>
  </si>
  <si>
    <t>Optics</t>
  </si>
  <si>
    <t>BCZ64</t>
  </si>
  <si>
    <t>WOS:000312218800022</t>
  </si>
  <si>
    <t>Swart, S; Thomalla, SJ; Monteiro, PMS; Ansorge, IJ</t>
  </si>
  <si>
    <t>Swart, S.; Thomalla, S. J.; Monteiro, P. M. S.; Ansorge, I. J.</t>
  </si>
  <si>
    <t>Mesoscale features and phytoplankton biomass at the GoodHope line in the Southern Ocean during austral summer</t>
  </si>
  <si>
    <t>AFRICAN JOURNAL OF MARINE SCIENCE</t>
  </si>
  <si>
    <t>chlorophyll a; mixed layer depth; ocean fronts</t>
  </si>
  <si>
    <t>ANTARCTIC CIRCUMPOLAR CURRENT; ATLANTIC SECTOR; CHLOROPHYLL-A; CARBON-CYCLE; IRON; FRONTS; BLOOMS; ZONATION; STORAGE; NITRATE</t>
  </si>
  <si>
    <t>Two sets of high-resolution subsurface hydrographic and underway surface chlorophyll a (Chl a) measurements are used, in conjunction with satellite remotely sensed data, to investigate the upper layer oceanography (mesoscale features and mixed layer depth variability) and phytoplankton biomass at the GoodHope line south of Africa, during the 2010-2011 austral summer. The link between physical parameters of the upper ocean, specifically frontal activity, to the spatially varying in situ and satellite measurements of Chl a concentrations is investigated. The observations provide evidence to show that the fronts act to both enhance phytoplankton biomass as well as to delimit regions of similar chlorophyll concentrations, although the front-chlorophyll relationships become obscure towards the end of the growing season due to bloom advection and 'patchy' Chl a behaviour. Satellite ocean colour measurements are compared to in situ chlorophyll measurements to assess the disparity between the two sampling techniques. The scientific value of the time-series of oceanographic observations collected at the GoodHope line between 2004 to present is being realised. Continued efforts in this programme are essential to better understand both the physical and biogeochemical dynamics of the upper ocean in the Atlantic sector of the Southern Ocean.</t>
  </si>
  <si>
    <t>[Swart, S.; Thomalla, S. J.; Monteiro, P. M. S.] CSIR Nat Resources &amp; Environm, So Ocean Carbon &amp; Climate Observ, ZA-7599 Stellenbosch, South Africa; [Swart, S.; Ansorge, I. J.] Univ Cape Town, Marine Res Inst, Dept Oceanog, ZA-7701 Rondebosch, South Africa</t>
  </si>
  <si>
    <t>Council for Scientific &amp; Industrial Research (CSIR) - South Africa; University of Cape Town</t>
  </si>
  <si>
    <t>Swart, S (corresponding author), CSIR Nat Resources &amp; Environm, So Ocean Carbon &amp; Climate Observ, POB 320, ZA-7599 Stellenbosch, South Africa.</t>
  </si>
  <si>
    <t>seb.swart@gmail.com</t>
  </si>
  <si>
    <t>Thomalla, Sandy/AAS-4133-2021; ANSORGE, ISABELLE/AAY-7396-2020; Swart, Sebastiaan/U-5498-2017</t>
  </si>
  <si>
    <t>Swart, Sebastiaan/0000-0002-2251-8826; Ansorge, Isabelle/0000-0001-7071-8147</t>
  </si>
  <si>
    <t>Southern Ocean Carbon and Climate Observatory (SOCCO); SOCCO post-doctoral fellowships; Applied Centre for Climate and Earth Systems Science (ACCESS); National Research Foundation/South African National Antarctic Program (NRF/SANAP); European Commission 7th framework programme through the GreenSeas Collaborative Project, FP7-ENV [265294]</t>
  </si>
  <si>
    <t>Southern Ocean Carbon and Climate Observatory (SOCCO); SOCCO post-doctoral fellowships; Applied Centre for Climate and Earth Systems Science (ACCESS); National Research Foundation/South African National Antarctic Program (NRF/SANAP); European Commission 7th framework programme through the GreenSeas Collaborative Project, FP7-ENV</t>
  </si>
  <si>
    <t>This work was undertaken and supported through the Southern Ocean Carbon and Climate Observatory (SOCCO). SS and SJT were supported through SOCCO post-doctoral fellowships funded by the Applied Centre for Climate and Earth Systems Science (ACCESS) and National Research Foundation/South African National Antarctic Program (NRF/SANAP). The successful completion of the survey would not have been possible without the invaluable assistance of the officers, in particular Captain F Ligthelm, and the crew of the MV SA Agulhas. We thank Henry Valentine and SANAP for their continued support. We are grateful to Silvia Garzoli and all those at AOML/NOAA for their dedication to the XBT programme at the GoodHope/AX25 transect. Our thanks also go to the senior technical electronics officer Patrick Foley for his invaluable assistance throughout the entire voyage and to all the other cruise participants that helped collect data. The blended altimetry data were supplied by CLS/AVISO and the merged ocean colour data were supplied by the GlobColour Project. This work was partially funded by the European Commission 7th framework programme through the GreenSeas Collaborative Project, FP7-ENV-2010 contract No. 265294.</t>
  </si>
  <si>
    <t>NATL INQUIRY SERVICES CENTRE PTY LTD</t>
  </si>
  <si>
    <t>GRAHAMSTOWN</t>
  </si>
  <si>
    <t>19 WORCESTER STREET, PO BOX 377, GRAHAMSTOWN 6140, SOUTH AFRICA</t>
  </si>
  <si>
    <t>1814-232X</t>
  </si>
  <si>
    <t>1814-2338</t>
  </si>
  <si>
    <t>AFR J MAR SCI</t>
  </si>
  <si>
    <t>Afr. J. Mar. Sci.</t>
  </si>
  <si>
    <t>10.2989/1814232X.2012.749811</t>
  </si>
  <si>
    <t>053UE</t>
  </si>
  <si>
    <t>WOS:000312298900005</t>
  </si>
  <si>
    <t>Annabi, A; Kessabi, K; Navarro, A; Saïd, K; Messaoudi, I; Piña, B</t>
  </si>
  <si>
    <t>Annabi, Ali; Kessabi, Kaouthar; Navarro, Anna; Said, Khaled; Messaoudi, Imed; Pina, Benjamin</t>
  </si>
  <si>
    <t>Assessment of reproductive stress in natural populations of the fish Aphanius fasciatus using quantitative mRNA markers</t>
  </si>
  <si>
    <t>AQUATIC BIOLOGY</t>
  </si>
  <si>
    <t>Environmental pollution; Brackish water; Coastal pollution; Endocrine disruption; Quantitative real-time polymerase chain reaction; qRT-PCR</t>
  </si>
  <si>
    <t>METALLOTHIONEIN GENE-EXPRESSION; REAL-TIME PCR; MEDITERRANEAN KILLIFISH; ENDOCRINE DISRUPTION; MOLECULAR BIOMARKERS; SPINAL DEFORMITIES; TUNISIAN COAST; ANTARCTIC FISH; GOBIO-GOBIO; POLLUTION</t>
  </si>
  <si>
    <t>Four populations of the Mediterranean killifish Aphanius fasciatus were studied to evaluate the biological effects of environmental pollution. These effects were measured using RNA quantification-based markers in the gonads and liver. Metallothionein genes in both testes and ovaries showed elevated expression in males and females from the more contaminated areas. In addition, males from these areas showed elevated levels of vitellogenin synthesis in the liver. These results were correlated with heavy metals and polycyclic aromatic hydrocarbon levels in water and sediment samples from the sampling sites. They represent the first evidence of an incipient feminization of marine fish along the coast of Tunisia and confirm the utility of RNA quantification-based markers for monitoring environmental impact on small animals and in species for which very little biological information is available.</t>
  </si>
  <si>
    <t>[Navarro, Anna; Pina, Benjamin] Inst Environm Assessment &amp; Water Res IDAEA CSIC, Barcelona 08034, Spain; [Annabi, Ali; Kessabi, Kaouthar; Said, Khaled; Messaoudi, Imed] Univ Monastir, Inst Super Biotechnol, Monastir 5000, Tunisia</t>
  </si>
  <si>
    <t>Consejo Superior de Investigaciones Cientificas (CSIC); CSIC - Centro de Investigacion y Desarrollo Pascual Vila (CID-CSIC); CSIC - Instituto de Diagnostico Ambiental y Estudios del Agua (IDAEA); Universite de Monastir</t>
  </si>
  <si>
    <t>Piña, B (corresponding author), Inst Environm Assessment &amp; Water Res IDAEA CSIC, Jordi Girona 18, Barcelona 08034, Spain.</t>
  </si>
  <si>
    <t>bpcbmc@cid.csic.es</t>
  </si>
  <si>
    <t>Piña, Benjamin/A-1671-2011; Navarro-Cuenca, Anna/AAA-2984-2022; Navarro Cuenca, Anna/F-9980-2012</t>
  </si>
  <si>
    <t>Piña, Benjamin/0000-0001-9216-2768; Navarro Cuenca, Anna/0000-0003-3762-4135</t>
  </si>
  <si>
    <t>Spanish Ministry of Economy and Competitivity [CTM2011-30471-C02- 01]; Spanish Agency of Cooperation for Development AECID [AECIA/019101/08]</t>
  </si>
  <si>
    <t>Spanish Ministry of Economy and Competitivity(Spanish Government); Spanish Agency of Cooperation for Development AECID</t>
  </si>
  <si>
    <t>This work was supported by the Spanish Ministry of Economy and Competitivity (CTM2011-30471-C02- 01) and the Spanish Agency of Cooperation for Development AECID (AECIA/019101/08). We also thank the Tunisian Ministry of Higher Education, Scientific Research and Technology.</t>
  </si>
  <si>
    <t>1864-7790</t>
  </si>
  <si>
    <t>1864-7782</t>
  </si>
  <si>
    <t>AQUAT BIOL</t>
  </si>
  <si>
    <t>Aquat. Biol.</t>
  </si>
  <si>
    <t>10.3354/ab00482</t>
  </si>
  <si>
    <t>053CO</t>
  </si>
  <si>
    <t>WOS:000312247800008</t>
  </si>
  <si>
    <t>Soto, GE; Vergara, PM; Lizama, ME; Celis, C; Rozzi, R; Duron, Q; Hahn, IJ; Jiménez, JE</t>
  </si>
  <si>
    <t>Soto, Gerardo E.; Vergara, Pablo M.; Lizama, Marlene E.; Celis, Cristian; Rozzi, Ricardo; Duron, Quiterie; Hahn, Ingo J.; Jimenez, Jaime E.</t>
  </si>
  <si>
    <t>Do beavers improve the habitat quality for Magellanic Woodpeckers?</t>
  </si>
  <si>
    <t>BOSQUE</t>
  </si>
  <si>
    <t>American beaver; Campephilus; habitat selection</t>
  </si>
  <si>
    <t>TIERRA-DEL-FUEGO; CHILE; COMMUNITIES; ABUNDANCE; PONDS</t>
  </si>
  <si>
    <t>The effect of the disturbances caused by the American beaver (Castor canadensis), introduced to the Cape Horn Biosphere Reserve, on species of birds that are forest habitat specialists is poorly understood. Using telemetry data, we determined which attributes of abandoned beaver meadows have a strong impact on habitat selection by the Magellanic woodpecker (Campephilus magellanicus). We detected a positive relationship between the woodpecker habitat use and the fraction of old-growth forest located near these meadows. These results suggest that favorable habitat conditions are generated around small meadows with old-growth forest, because they might increase availability of wood-boring larvae.</t>
  </si>
  <si>
    <t>[Soto, Gerardo E.; Vergara, Pablo M.; Lizama, Marlene E.] Univ Santiago Chile, Dept Gest Agr, Santiago, Chile; [Celis, Cristian; Rozzi, Ricardo; Jimenez, Jaime E.] Univ Magallanes, Punta Arenas, Chile; [Celis, Cristian] Univ Chile, Fac Ciencias Vet &amp; Pecuarias, Santiago, Chile; [Rozzi, Ricardo; Jimenez, Jaime E.] Univ N Texas, Sub Antarctic Biocultural Conservat Program, Denton, TX 76203 USA; [Rozzi, Ricardo; Jimenez, Jaime E.] Univ N Texas, Dept Philosophy &amp; Relig Studies, Denton, TX 76203 USA; [Rozzi, Ricardo; Jimenez, Jaime E.] Inst Ecol &amp; Biodiversidad IEB Chile, Santiago, Chile; [Hahn, Ingo J.] Univ Munster, Inst Landscape Ecol, Munster, Germany; [Jimenez, Jaime E.] Univ N Texas, Dept Biol Sci, Denton, TX 76203 USA</t>
  </si>
  <si>
    <t>Universidad de Santiago de Chile; Universidad de Magallanes; Universidad de Chile; University of North Texas System; University of North Texas Denton; University of North Texas System; University of North Texas Denton; University of Munster; University of North Texas System; University of North Texas Denton</t>
  </si>
  <si>
    <t>Vergara, PM (corresponding author), Univ Santiago Chile, Dept Gest Agr, Santiago, Chile.</t>
  </si>
  <si>
    <t>pablo.vergara@usach.cl</t>
  </si>
  <si>
    <t>Soto, Gerardo Emanuel/JAX-4165-2023; Rozzi, Ricardo/G-1047-2012; Jimenez, Jaime E./AAO-7531-2020; Vergara, Pablo M/F-2519-2010</t>
  </si>
  <si>
    <t>Rozzi, Ricardo/0000-0001-5265-8726; Vergara, Pablo M/0000-0002-0024-1678; Soto, Gerardo/0000-0002-9706-6588</t>
  </si>
  <si>
    <t>Sub-Antarctic Biocultural Conservation Program of the University of North Texas (UNT); Institute of Ecology and Biodiversity (IEB) [P05-002 ICM-MIDEPLAN, PFB-23 Basal-CONICYT]</t>
  </si>
  <si>
    <t>Sub-Antarctic Biocultural Conservation Program of the University of North Texas (UNT); Institute of Ecology and Biodiversity (IEB)</t>
  </si>
  <si>
    <t>We thank the Scientific Committee of the 2012 IUFRO Landscape Ecology Conference and the valuable comments by anonymous reviewers. This research has been partially supported by the Sub-Antarctic Biocultural Conservation Program of the University of North Texas (UNT) and the Institute of Ecology and Biodiversity (IEB, P05-002 ICM-MIDEPLAN, and PFB-23 Basal-CONICYT). Special thanks to Mario Nazar who supported equipment and travel costs. Jorge Tomasevic provided technical advice, and SAG has provided permits to capture birds. This publication is a contribution to the long-term ecological research program of the Omora Ethnobotanical Park (IEB, UNT, and Universidad de Magallanes) in the Cape Horn Biosphere Reserve.</t>
  </si>
  <si>
    <t>UNIV AUSTRAL CHILE, FAC CIENCIAS FORESTALES</t>
  </si>
  <si>
    <t>VALDIVIA</t>
  </si>
  <si>
    <t>CASILLA 567, VALDIVIA, 00000, CHILE</t>
  </si>
  <si>
    <t>0304-8799</t>
  </si>
  <si>
    <t>Bosque</t>
  </si>
  <si>
    <t>10.4067/S0717-92002012000300007</t>
  </si>
  <si>
    <t>Ecology; Forestry</t>
  </si>
  <si>
    <t>Environmental Sciences &amp; Ecology; Forestry</t>
  </si>
  <si>
    <t>046ZZ</t>
  </si>
  <si>
    <t>WOS:000311806400007</t>
  </si>
  <si>
    <t>Whitehill, EAG; Moran, AL</t>
  </si>
  <si>
    <t>Whitehill, Elizabeth A. G.; Moran, Amy L.</t>
  </si>
  <si>
    <t>Comparative larval energetics of an ophiuroid and an echinoid echinoderm</t>
  </si>
  <si>
    <t>INVERTEBRATE BIOLOGY</t>
  </si>
  <si>
    <t>Arbacia; egg composition; Ophiocoma; respiration</t>
  </si>
  <si>
    <t>MARINE INVERTEBRATE LARVAE; ANTARCTIC SEA-URCHIN; ENERGY-METABOLISM; EGG SIZE; CRASSOSTREA-GIGAS; BIOCHEMICAL-COMPOSITION; HALIOTIS-RUFESCENS; GROWTH; EMBRYOS; RATES</t>
  </si>
  <si>
    <t>The morphologically convergent larvae of the echinoderm classes Ophiuroidea and Echinoidea have been suggested to be functionally dissimilar when it comes to their capacities to feed, but little is known about whether these larvae are similar in terms of energetics. Here, we compare the energetics of early development of a tropical ophiuroid, Ophiocoma alexandri, and a temperate to tropical echinoid, Arbacia punctulata, two species with similarly sized eggs. Measurements of respiration and constituent analyses were performed on eggs and unfed larvae of both species. Members of both species showed an increase in oxygen consumption during morphogenesis followed by a lower, static rate once morphogenesis was complete (3 d for O. alexandri and 1.3 d for A. punctulata). Compared to the echinoid larvae, the ophiuroid larvae developed more slowly and had peak respiration rates that were 3.1x lower. Eggs of O. alexandri contained significantly more protein and significantly less triacylglycerol than eggs of A. punctulata. Energy utilization, as calculated via respiration measurements, closely matched decreases in energy content from the eggs to larvae as measured with biochemical constituent assays. Larvae of A. punctulata used 1.4x more energy to reach the pluteus stage than larvae of O. alexandri, and used 4x more energy during the first 9 d of larval life. These data suggest that echinoid larvae require more energy to develop to the feeding stage than ophiuroid larvae, and likewise have higher requirements for maintenance metabolism. Ophiuroid larvae may be more tolerant of low food levels due to their very low metabolic rates, but this advantage may be offset by their slower rate of development.</t>
  </si>
  <si>
    <t>[Whitehill, Elizabeth A. G.; Moran, Amy L.] Clemson Univ, Dept Biol Sci, Clemson, SC 29634 USA</t>
  </si>
  <si>
    <t>Clemson University</t>
  </si>
  <si>
    <t>Whitehill, EAG (corresponding author), Clemson Univ, Dept Biol Sci, Clemson, SC 29634 USA.</t>
  </si>
  <si>
    <t>whitehi@clemson.edu</t>
  </si>
  <si>
    <t>Moran, Amy L/F-7072-2011</t>
  </si>
  <si>
    <t>Moran, Amy/0000-0002-0604-5096</t>
  </si>
  <si>
    <t>NSF [OCE-0850764]; Division Of Ocean Sciences; Directorate For Geosciences [0850764] Funding Source: National Science Foundation</t>
  </si>
  <si>
    <t>We thank Drs. R. Collin and H. Lessios, and the staff at the Smithsonian Tropical Research Institute's Naos Lab for their assistance. Dr. J. McAlister assisted with the collection and spawning of the brittle stars. Two anonymous reviewers, Dr. M. Hart, and Dr. B. Pernet provided thoughtful comments. This research was funded by NSF grant OCE-0850764 to ALM.</t>
  </si>
  <si>
    <t>1077-8306</t>
  </si>
  <si>
    <t>INVERTEBR BIOL</t>
  </si>
  <si>
    <t>Invertebr. Biol.</t>
  </si>
  <si>
    <t>10.1111/j.1744-7410.2012.00277.x</t>
  </si>
  <si>
    <t>052SJ</t>
  </si>
  <si>
    <t>WOS:000312218400008</t>
  </si>
  <si>
    <t>Bartasun, P; Cieslinski, H; Kur, J</t>
  </si>
  <si>
    <t>Bartasun, Paulina; Cieslinski, Hubert; Kur, Jozef</t>
  </si>
  <si>
    <t>An examination of an Antarctic soil metagenomic-derivate putative methylthioadenosine phosphorylase gene as a novel reporter gene for promoter trapping</t>
  </si>
  <si>
    <t>JOURNAL OF GENERAL AND APPLIED MICROBIOLOGY</t>
  </si>
  <si>
    <t>methylthioadenosine phosphorylase; promoter-trapping vectors; reporter gene; rhodamine B</t>
  </si>
  <si>
    <t>ESCHERICHIA-COLI; NUCLEOTIDE-SEQUENCE; BACILLUS-SUBTILIS; PROBE VECTORS; HEMA GENE; SYNECHOCYSTIS; TRANSCRIPTION; SYSTEM; IDENTIFICATION; CONSTRUCTION</t>
  </si>
  <si>
    <t>[Bartasun, Paulina; Cieslinski, Hubert; Kur, Jozef] Gdansk Univ Technol, Fac Chem, Dept Microbiol, PL-80952 Gdansk, Poland</t>
  </si>
  <si>
    <t>Fahrenheit Universities; Gdansk University of Technology</t>
  </si>
  <si>
    <t>Cieslinski, H (corresponding author), Gdansk Univ Technol, Fac Chem, Dept Microbiol, Narutowicza 11-12, PL-80952 Gdansk, Poland.</t>
  </si>
  <si>
    <t>hcieslin@pg.gda.pl</t>
  </si>
  <si>
    <t>Cieslinski, Hubert/0000-0003-0573-0830; , Hubert/0000-0002-3504-2257</t>
  </si>
  <si>
    <t>MICROBIOL RES FOUNDATION</t>
  </si>
  <si>
    <t>JAPAN ACAD SOC CENTER BLDG 4-16 YAYOI 2-CHOME, TOKYO, 113-0032, JAPAN</t>
  </si>
  <si>
    <t>0022-1260</t>
  </si>
  <si>
    <t>1349-8037</t>
  </si>
  <si>
    <t>J GEN APPL MICROBIOL</t>
  </si>
  <si>
    <t>J. Gen. Appl. Microbiol.</t>
  </si>
  <si>
    <t>10.2323/jgam.58.387</t>
  </si>
  <si>
    <t>054VN</t>
  </si>
  <si>
    <t>WOS:000312373000006</t>
  </si>
  <si>
    <t>Tanikawa, T; Chiba, M; Kamijo, T; Yabuki, F; Yasuda, O; Akiyama, H; Chikashige, Y; Kon, T; Shimizu, Y; Utsumi, M; Fujii, M</t>
  </si>
  <si>
    <t>Kubono, S; Hayakawa, T; Kajino, T; Miyatake, H; Motobayashi, T; Nomoto, K</t>
  </si>
  <si>
    <t>Tanikawa, Takahiro; Chiba, Masami; Kamijo, Toshio; Yabuki, Fumiaki; Yasuda, Osamu; Akiyama, Hidetoshi; Chikashige, Yuichi; Kon, Tadashi; Shimizu, Yutaka; Utsumi, Michiaki; Fujii, Masatoshi</t>
  </si>
  <si>
    <t>Measurement of radio wave reflection due to temperature rising from rock salt and ice irradiated by an electron beam for an ultra-high-energy neutrino detector</t>
  </si>
  <si>
    <t>ORIGIN OF MATTER AND EVOLUTION OF GALAXIES 2011</t>
  </si>
  <si>
    <t>International Symposium on Origin of Matter and Evolutions of Galaxies (OMEG)</t>
  </si>
  <si>
    <t>NOV 14-17, 2011</t>
  </si>
  <si>
    <t>Univ Tokyo, Ctr Nucl Study (CNS), Wako, JAPAN</t>
  </si>
  <si>
    <t>Univ Tokyo, Ctr Nucl Study (CNS)</t>
  </si>
  <si>
    <t>Neutrino detectors; Ultra-high-energy cosmic rays; Rock salt; Antarctic ice sheet; Radar</t>
  </si>
  <si>
    <t>An ultra-high-energy neutrino (UHE nu) gives temperature rise along the hadronic and electromagnetic shower when it enters into rock salt or ice. Permittivities of them arise with respect the temperatures at ionization processes of the UHE nu shower. It is expected by Fresnel's formula that radio wave reflects at the irregularity of the permittivity in the medium. We had found the radio wave reflection effect in rock salt. The reflection effect and long attenuation length of radio wave in rock salt and ice would yield a new UHE nu detection method. An experiment for ice was performed to study the reflection effect. A coaxial tube was filled with rock salt powder or ice. Open end of the coaxial tube was irradiated by a 2 MeV electron beam. Radio wave of 435 MHz was introduced to the coaxial tube. We measured the reflection wave from the open end. We found the radio wave reflection effect due to electron beam irradiation in ice as well as in rock salt.</t>
  </si>
  <si>
    <t>[Tanikawa, Takahiro; Chiba, Masami; Kamijo, Toshio; Yabuki, Fumiaki; Yasuda, Osamu] Tokyo Metropolitan Univ, Grad Sch Sci &amp; Engn, 1-1 Minami Ohsawa, Hachioji, Tokyo 1920397, Japan; [Akiyama, Hidetoshi; Chikashige, Yuichi; Kon, Tadashi; Shimizu, Yutaka] Seikei Univ, Fac Sci &amp; Technol, Tokyo 1808633, Japan; [Utsumi, Michiaki] Tokai Univ, Sch Engn, Dept Appl Sci &amp; Energy Engn, Kanagawa 2591292, Japan; [Fujii, Masatoshi] Shimane Univ, Sch Med, Matsue, Shimane 6938501, Japan</t>
  </si>
  <si>
    <t>Tokyo Metropolitan University; Seikei University; Tokai University; Shimane University</t>
  </si>
  <si>
    <t>Tanikawa, T (corresponding author), Tokyo Metropolitan Univ, Grad Sch Sci &amp; Engn, 1-1 Minami Ohsawa, Hachioji, Tokyo 1920397, Japan.</t>
  </si>
  <si>
    <t>tanikawa@hepmail.phys.se.tmu.ac.jp; chiba@tmu.ac.jp</t>
  </si>
  <si>
    <t>Yasuda, Osamu/R-2988-2017</t>
  </si>
  <si>
    <t>Yasuda, Osamu/0000-0001-5446-583X</t>
  </si>
  <si>
    <t>978-0-7354-1096-1</t>
  </si>
  <si>
    <t>10.1063/1.4763430</t>
  </si>
  <si>
    <t>BCZ35</t>
  </si>
  <si>
    <t>WOS:000312157700067</t>
  </si>
  <si>
    <t>Chiba, M; Kamijo, T; Tanikawa, T; Yabuki, F; Yasuda, O; Akiyama, H; Chikashige, Y; Kon, T; Shimizu, Y; Utsumi, M; Fujii, M</t>
  </si>
  <si>
    <t>Chiba, Masami; Kamijo, Toshio; Tanikawa, Takahiro; Yabuki, Fumiaki; Yasuda, Osamu; Akiyama, Hidetoshi; Chikashige, Yuichi; Kon, Tadashi; Shimizu, Yutaka; Utsumi, Michiaki; Fujii, Masatoshi</t>
  </si>
  <si>
    <t>An Ultra-High-Energy-Neutrino Detector Using Rock Salt And Ice As Detection Media For Radar Method</t>
  </si>
  <si>
    <t>Neutrino detectors; ultra-high-energy cosmic rays; Rock salt; Antarctic ice sheet; Radar</t>
  </si>
  <si>
    <t>We had found radio-wave-reflection effect in rock salt for detection of an ultra-high energy neutrino (UHE nu) which is generated in GZK processes in the universe. When an UHE nu interacts with rock salt or ice as a detection medium, the energy converts to a thermal energy. Consequently, a temperature gives rise along an UHE nu shower at the interaction location. The permittivity arises with respect to the temperature at ionization processes of the UHE nu shower which is composed of hadronic and electromagnetic multiplication processes. The irregularity of the refractive index in the medium for radio wave rises to a reflection. The reflection effect with a long attenuation length of radio wave in rock salt and ice would yield a new method to detect UHE nu. They could be used for detection media in which the UHE nu interacts with. We could find a huge amount of rock salt or ice over 50 Gt in a natural rock salt formation or Antarctic ice sheet. Radio wave transmitted into the medium generated by a radar system could be reflected by the irregularity of the refractive index at the shower. Receiving the reflected radio wave yields information about the UHE nu.</t>
  </si>
  <si>
    <t>[Chiba, Masami; Kamijo, Toshio; Tanikawa, Takahiro; Yabuki, Fumiaki; Yasuda, Osamu] Tokyo Metropolitan Univ, Grad Sch Sci &amp; Engn, 1-1 Minami Ohsawa, Hachioji, Tokyo 1920397, Japan; [Akiyama, Hidetoshi; Chikashige, Yuichi; Kon, Tadashi; Shimizu, Yutaka] Seikei Univ, Fac Sci &amp; Technol, Tokyo 1808633, Japan; [Utsumi, Michiaki] Tokai Univ, Sch Engn, Dept Appl Sci &amp; Energy Engn, Kanagawa 2591292, Japan; [Fujii, Masatoshi] Shimane Univ, Sch Med, Matsue, Shimane 6938501, Japan</t>
  </si>
  <si>
    <t>Chiba, M (corresponding author), Tokyo Metropolitan Univ, Grad Sch Sci &amp; Engn, 1-1 Minami Ohsawa, Hachioji, Tokyo 1920397, Japan.</t>
  </si>
  <si>
    <t>chiba@tmu.ac.jp; tanikawa@hepmail.phys.se.tmu.ac.jp</t>
  </si>
  <si>
    <t>Funds of Tokutei Kenkyuhi and Tokubetsu Kenkyuhi at Tokyo Metropolitan University and Seikei University; Photon Factory Program Advisory Committee [2004P009, 2005G121]; Inter-University Program for the Joint Use of JAEA Facilities</t>
  </si>
  <si>
    <t>Funds of Tokutei Kenkyuhi and Tokubetsu Kenkyuhi at Tokyo Metropolitan University and Seikei University; Photon Factory Program Advisory Committee(High Energy Accelerator Research Organization (KEK)); Inter-University Program for the Joint Use of JAEA Facilities</t>
  </si>
  <si>
    <t>Work is partially supported by a Grant in Aid for Scientific Research for Ministry of Education, Science, Technology and Sports and Culture of Japan, and Funds of Tokutei Kenkyuhi and Tokubetsu Kenkyuhi at Tokyo Metropolitan University and Seikei University, respectively. This work has been performed at the station of ARNE5A, KEK under the approval of the Photon Factory Program Advisory Committee (Proposal No. 2004P009, 2005G121) and has been supported by the Inter-University Program for the Joint Use of JAEA Facilities.</t>
  </si>
  <si>
    <t>10.1063/1.4763436</t>
  </si>
  <si>
    <t>WOS:000312157700073</t>
  </si>
  <si>
    <t>Vichare, G; Rawat, R; Hanchinal, A; Sinha, AK; Dhar, A; Pathan, BM</t>
  </si>
  <si>
    <t>Vichare, Geeta; Rawat, Rahul; Hanchinal, A.; Sinha, A. K.; Dhar, A.; Pathan, B. M.</t>
  </si>
  <si>
    <t>Seasonal evolution of Sq current system at sub-auroral latitude</t>
  </si>
  <si>
    <t>EARTH PLANETS AND SPACE</t>
  </si>
  <si>
    <t>S-q current system; seasonal variation; sub-auroral latitude</t>
  </si>
  <si>
    <t>QUIET IONOSPHERIC CURRENTS; EQUATORIAL ELECTROJET; SOLAR-CYCLE; SOUTHERN-HEMISPHERE; GEOMAGNETIC-FIELD; REGION; FOCUS; VARIABILITY; LONGITUDE; MOVEMENT</t>
  </si>
  <si>
    <t>The quiet-time (Sigma K-p &lt;= 3) daily variations of the geomagnetic field at the Indian Antarctic station, Maitri (Geographic Coord.: 70.75 degrees S, 11.73 degrees E; Geomagnetic Coord.: 66.84 degrees S, 56.29 degrees E) during two consecutive years of a solar minimum are considered in order to investigate the characteristics of the solar quiet (S-q) current system. The present work reports the signatures of the south limb of the S-q current loop of the southern hemisphere over a sub-auroral station. It is observed that the seasonal variation of the S-q current strength over Maitri is strongest during the summer months and weakest during the winter months. In spite of the total darkness during the winter months, an S-q pattern is identified at Maitri. The range of the horizontal field variation in the daily S-q pattern during summer is one order higher than that during winter. An interesting feature regarding the phase of the local time variation in the seasonal pattern is found here. A sharp shift in the time of the peak S-q current to later local times (&gt;1 hour per month) is observed during January-February and July-August, which may correspond to the transition from the complete presence, or absence, of sunlight to partial sunlight. The differences in the incoming solar UV radiation during such transitions can cause a sudden change in the local ionospheric conductivity pattern, and can also trigger some unusual thermo-tidal activity, that might be responsible for modifying the global S-q pattern.</t>
  </si>
  <si>
    <t>[Vichare, Geeta; Rawat, Rahul; Hanchinal, A.; Sinha, A. K.; Dhar, A.; Pathan, B. M.] Indian Inst Geomagnetism, New Panvel 410218, Navi Mumbai, India</t>
  </si>
  <si>
    <t>Department of Science &amp; Technology (India); Indian Institute of Geomagnetism (IIG)</t>
  </si>
  <si>
    <t>Vichare, G (corresponding author), Indian Inst Geomagnetism, New Panvel 410218, Navi Mumbai, India.</t>
  </si>
  <si>
    <t>vicharegeeta@gmail.com</t>
  </si>
  <si>
    <t>Rawat, Rahul/0000-0002-7275-8895; Sinha, Ashwini Kumar/0000-0003-1329-6579</t>
  </si>
  <si>
    <t>TERRA SCIENTIFIC PUBL CO</t>
  </si>
  <si>
    <t>2003 SANSEI JIYUGAOKA HAIMU, 5-27-19 OKUSAWA, SETAGAYA-KU, TOKYO, 158-0083, JAPAN</t>
  </si>
  <si>
    <t>1343-8832</t>
  </si>
  <si>
    <t>EARTH PLANETS SPACE</t>
  </si>
  <si>
    <t>Earth Planets Space</t>
  </si>
  <si>
    <t>10.5047/eps.2012.04.007</t>
  </si>
  <si>
    <t>049SP</t>
  </si>
  <si>
    <t>WOS:000312004000004</t>
  </si>
  <si>
    <t>Tisdell, C; Wilson, C</t>
  </si>
  <si>
    <t>Tisdell, Clem; Wilson, Clevo</t>
  </si>
  <si>
    <t>Antarctic tourism: environmental concerns and the importance of Antarctica's natural attractions for tourists</t>
  </si>
  <si>
    <t>NATURE-BASED TOURISM AND CONSERVATION: NEW ECONOMIC INSIGHTS AND CASE STUDIES</t>
  </si>
  <si>
    <t>[Tisdell, Clem] Univ Queensland, Sch Econ, Brisbane, Qld 4072, Australia; [Wilson, Clevo] Queensland Univ Technol, Sch Econ &amp; Finance, Brisbane, Qld 4001, Australia</t>
  </si>
  <si>
    <t>University of Queensland; Queensland University of Technology (QUT)</t>
  </si>
  <si>
    <t>Tisdell, C (corresponding author), Univ Queensland, Sch Econ, Brisbane, Qld 4072, Australia.</t>
  </si>
  <si>
    <t>Tisdell, Clem A/A-5715-2008</t>
  </si>
  <si>
    <t>Tisdell, Clem A/0000-0003-4370-4692</t>
  </si>
  <si>
    <t>EDWARD ELGAR PUBLISHING LTD</t>
  </si>
  <si>
    <t>CHELTENHAM</t>
  </si>
  <si>
    <t>GLENSANDA HOUSE, MONTPELLIER PARADE, CHELTENHAM GL50 1UA, GLOS, ENGLAND</t>
  </si>
  <si>
    <t>978-1-84844-867-4</t>
  </si>
  <si>
    <t>Environmental Studies; Hospitality, Leisure, Sport &amp; Tourism</t>
  </si>
  <si>
    <t>Environmental Sciences &amp; Ecology; Social Sciences - Other Topics</t>
  </si>
  <si>
    <t>BCK30</t>
  </si>
  <si>
    <t>WOS:000310444700006</t>
  </si>
  <si>
    <t>Hassler, CS; Schoemann, V; Boye, M; Tagliabue, A; Rozmarynowycz, M; McKay, RML</t>
  </si>
  <si>
    <t>Gibson, RN; Atkinson, RJA; Gordon, JDM; Hughes, RN</t>
  </si>
  <si>
    <t>Hassler, C. S.; Schoemann, V.; Boye, M.; Tagliabue, A.; Rozmarynowycz, M.; McKay, R. M. L.</t>
  </si>
  <si>
    <t>IRON BIOAVAILABILITY IN THE SOUTHERN OCEAN</t>
  </si>
  <si>
    <t>OCEANOGRAPHY AND MARINE BIOLOGY: AN ANNUAL REVIEW, VOL 50</t>
  </si>
  <si>
    <t>Oceanography and Marine Biology</t>
  </si>
  <si>
    <t>PHOTOSYNTHETIC ELECTRON-TRANSPORT; EXTRACELLULAR POLYMERIC SUBSTANCES; TRANSPARENT EXOPOLYMER PARTICLES; DIATOM THALASSIOSIRA-PSEUDONANA; METAL SPECIATION DYNAMICS; DISSOLVED ORGANIC-MATTER; DIFFERENT SIZE FRACTIONS; DIFFERENT MARINE-ALGAE; SUB-ANTARCTIC WATERS; COLLOIDAL IRON</t>
  </si>
  <si>
    <t>In the Southern Ocean, phytoplankton growth is largely limited by the lack of iron, affecting the biogeochemical cycling not only of iron itself but also of other elements, including nutrients and carbon. It is now recognized that iron limitation affects carbon cycling globally and thus plays a role in Earth's climate regulation. The bioavailable fraction of iron is the fraction that can effectively interact with phytoplankton to support their iron-dependent metabolic reactions and growth. As such, it is the bioavailable iron pool that shapes phytoplankton communities in most of the Southern Ocean. Despite numerous studies, parameters controlling iron bioavailability to phytoplankton are still poorly understood, probably due to an extremely complex and dynamic interplay between iron chemistry and biology in surface waters. Iron bioavailability depends on chemical and physical speciation and the different uptake strategies of the phyto- and bacterio-plankton communities. In the Southern Ocean, 99% of the dissolved iron is complexed by organic ligands, which likely controls its bioavailability. Furthermore, microorganisms also exert feedback on iron chemistry, for instance, by releasing organic iron-binding ligands through production, cell lysis, or degradation of fecal pellets, as well as by reducing iron at the cell surface. Regeneration of iron, through grazing as well as bacterial and viral activities, is another pathway that supplies iron to phytoplankton communities. Field investigations of iron speciation in the Southern Ocean are discussed in conjunction with laboratory assessments of iron speciation and bioavailability using natural assemblages and strains isolated from the Southern Ocean. Methods to measure iron bioavailability and recent developments in mathematical models are also presented.</t>
  </si>
  <si>
    <t>[Hassler, C. S.] Univ Technol Sydney, Sydney, NSW 2007, Australia; [Schoemann, V.] Royal Netherlands Inst Sea Res, Dept Biol Oceanog, NL-1790 AB Den Burg, Texel, Netherlands; [Boye, M.] Inst Univ Europeen Mer, CNRS, UMR6539, Lab Sci Environm Marin, F-29280 Plouzane, France; [Tagliabue, A.] Univ Cape Town, Dept Oceanog, ZA-7701 Cape Town, South Africa; [Rozmarynowycz, M.; McKay, R. M. L.] Bowling Green State Univ, Dept Biol Sci, Bowling Green, OH 43403 USA</t>
  </si>
  <si>
    <t>University of Technology Sydney; Utrecht University; Royal Netherlands Institute for Sea Research (NIOZ); Centre National de la Recherche Scientifique (CNRS); Ifremer; Institut de Recherche pour le Developpement (IRD); Universite de Bretagne Occidentale; Institut Universitaire Europeen de la Mer (IUEM); CNRS - Institute of Ecology &amp; Environment (INEE); University of Cape Town; University System of Ohio; Bowling Green State University</t>
  </si>
  <si>
    <t>Hassler, CS (corresponding author), Univ Technol Sydney, POB 123, Sydney, NSW 2007, Australia.</t>
  </si>
  <si>
    <t>Christel.Hassler@uts.edu.au</t>
  </si>
  <si>
    <t>McKay, Robert Michael/P-3759-2017</t>
  </si>
  <si>
    <t>McKay, Robert Michael/0000-0003-2723-5371; Hassler, Christel/0000-0002-8976-5469</t>
  </si>
  <si>
    <t>CRC PRESS-TAYLOR &amp; FRANCIS GROUP</t>
  </si>
  <si>
    <t>BOCA RATON</t>
  </si>
  <si>
    <t>6000 BROKEN SOUND PARKWAY NW, STE 300, BOCA RATON, FL 33487-2742 USA</t>
  </si>
  <si>
    <t>0078-3218</t>
  </si>
  <si>
    <t>978-1-4398-8998-5</t>
  </si>
  <si>
    <t>OCEANOGR MAR BIOL</t>
  </si>
  <si>
    <t>Oceanogr. Mar. Biol.</t>
  </si>
  <si>
    <t>10.1201/b12157</t>
  </si>
  <si>
    <t>BBZ24</t>
  </si>
  <si>
    <t>WOS:000309143700001</t>
  </si>
  <si>
    <t>Corbera, J</t>
  </si>
  <si>
    <t>Corbera, Jordi</t>
  </si>
  <si>
    <t>Rare and new cumaceans (Crustacea, Peracarida) from the southern margin of the Cap Ferret Canyon (Bay of Biscay)</t>
  </si>
  <si>
    <t>Cumacea; new species; deep sea; suprabenthos; Atlantic Ocean</t>
  </si>
  <si>
    <t>DEEP ATLANTIC; SEA</t>
  </si>
  <si>
    <t>A new cumacean genus and species, It-We:icon sorbei gen. et sp. n., was described from material collected in the southern margin of the Cap Ferret Canyon (Bay of Biscay, NE Atlantic). Although the new genus resembles Pseudoleucon Zimmer, 1903, in terms of the general aspect of the carapace and the pseudorostrum position, it shows important differences in the uropod structure and in the size of the antenna 1 accessory flagellum. In addition, some comments regarding the morphology of certain rare species (Mesolamprops denticulatus Ledoyer, 1983, Hemilamprops normani Bonnier, 1896 and Schizocuma spinoculatum (Jones, 1984)) are also provided.</t>
  </si>
  <si>
    <t>Corbera, J (corresponding author), Carrer Gran 90, E-08310 Argentona, Catalonia, Spain.</t>
  </si>
  <si>
    <t>corberajordi@gmail.com</t>
  </si>
  <si>
    <t>Corbera, Jordi/AAI-3207-2020</t>
  </si>
  <si>
    <t>Corbera, Jordi/0000-0003-3583-3929</t>
  </si>
  <si>
    <t>Spanish Ministry of Science and Technology (MCYT) [CGL2004-01856]</t>
  </si>
  <si>
    <t>Spanish Ministry of Science and Technology (MCYT)(Spanish Government)</t>
  </si>
  <si>
    <t>The author wishes to express his sincere gratitude to Jean-Claude Sorbe (Arcachon, France) for a long and friendly collaboration and for the loan of this interesting cumacean collection. Joseph Moore was also thanked for his careful revision of the English language. Comparative Antarctic material of Schizocuma molosa was collected during the BENTART 06 cruise carried out under the auspices of the Spanish Ministry of Science and Technology (MCYT) Antarctic Programme (CGL2004-01856).</t>
  </si>
  <si>
    <t>PENSOFT PUBL</t>
  </si>
  <si>
    <t>GEO MILEV STR 13A, SOFIA, 1111, BULGARIA</t>
  </si>
  <si>
    <t>10.3897/zookeys.235.4027</t>
  </si>
  <si>
    <t>047VH</t>
  </si>
  <si>
    <t>WOS:000311869100005</t>
  </si>
  <si>
    <t>Penfield, S; Kendall, S; MacGregor, D</t>
  </si>
  <si>
    <t>Storey, KB; Tanino, KK</t>
  </si>
  <si>
    <t>Penfield, Steven; Kendall, Sarah; MacGregor, Dana</t>
  </si>
  <si>
    <t>Temperature Perception and Signal Transduction - Mechanisms Across Multiple Organisms</t>
  </si>
  <si>
    <t>TEMPERATURE ADAPTATION IN A CHANGING CLIMATE: NATURE AT RISK</t>
  </si>
  <si>
    <t>CABI Climate Change Series</t>
  </si>
  <si>
    <t>HEAT-SHOCK FACTOR; RECEPTOR POTENTIAL VANILLOID-4; REGULATED GENE-EXPRESSION; ACYL-LIPID DESATURASE; DNA-BINDING PROTEIN; TRP CHANNELS; H-NS; BACILLUS-SUBTILIS; TRANSCRIPTION FACTORS; ANTARCTIC FISH</t>
  </si>
  <si>
    <t>[Penfield, Steven; MacGregor, Dana] Univ York, Dept Biol, York YO10 5DD, N Yorkshire, England; [Kendall, Sarah] Univ York, Dept Biol, York Y010 5DD, N Yorkshire, England</t>
  </si>
  <si>
    <t>University of York - UK; University of York - UK</t>
  </si>
  <si>
    <t>Penfield, S (corresponding author), Univ York, Dept Biol, York YO10 5DD, N Yorkshire, England.</t>
  </si>
  <si>
    <t>steven.penfield@york.ac.uk; slk505@york.ac.uk; dm561@york.ac.uk</t>
  </si>
  <si>
    <t>MacGregor, Dana R/AAA-5379-2021</t>
  </si>
  <si>
    <t>MacGregor, Dana R/0000-0003-0543-0408</t>
  </si>
  <si>
    <t>978-1-84593-822-2</t>
  </si>
  <si>
    <t>CABI CLIM CHANGE SER</t>
  </si>
  <si>
    <t>BAY63</t>
  </si>
  <si>
    <t>WOS:000306076300002</t>
  </si>
  <si>
    <t>Morgan-Kiss, RM; Dolhi, JM</t>
  </si>
  <si>
    <t>Morgan-Kiss, Rachael M.; Dolhi, Jenna M.</t>
  </si>
  <si>
    <t>Microorganisms and Plants: a Photosynthetic Perspective</t>
  </si>
  <si>
    <t>ANTARCTIC SEA-ICE; REACTION-CENTER PROTEIN; II EXCITATION PRESSURE; FATTY-ACID-COMPOSITION; PHOTOSYSTEM-II; LOW-TEMPERATURE; CLIMATE-CHANGE; MEMBRANE-LIPIDS; EXTREME CONDITIONS; CARBON METABOLISM</t>
  </si>
  <si>
    <t>[Morgan-Kiss, Rachael M.; Dolhi, Jenna M.] Miami Univ, Dept Microbiol, Oxford, OH 45056 USA</t>
  </si>
  <si>
    <t>morganr2@muohio.edu; dolhijm@muohio.edu</t>
  </si>
  <si>
    <t>Morgan-kiss, Rachael/0000-0003-4783-5358</t>
  </si>
  <si>
    <t>WOS:000306076300003</t>
  </si>
  <si>
    <t>Gielwanowska, I; Olech, M</t>
  </si>
  <si>
    <t>Gielwanowska, Irena; Olech, Maria</t>
  </si>
  <si>
    <t>NEW ULTRASTRUCTURAL AND PHYSIOLOGICAL FEATURES OF THE THALLUS IN ANTARCTIC LICHENS</t>
  </si>
  <si>
    <t>ACTA BIOLOGICA CRACOVIENSIA SERIES BOTANICA</t>
  </si>
  <si>
    <t>Antarctic lichens; Bryoria forsteri; Caloplaca regalis; Cetraria aculeata; Ramalina terebrata; Sphaerophorus globosus; Usnea antarctica; morphology; ultrastructure</t>
  </si>
  <si>
    <t>WATER RELATIONS; FAMILY UMBILICARIACEAE; TREBOUXIA PHOTOBIONT; ELECTRON MICROSCOPY; INTRATHALLINE; ASCOMYCOTINA; HABITATS</t>
  </si>
  <si>
    <t>The paper describes anatomical and physiological features of photobionts and mycobionts in Bryoria forsteri Olech &amp; Bystrek, Caloplaca regalis (Vain.) Zahlbr., Cetraria aculeata (Schreb.) Fr., Ramalina terebrata Hook f. &amp; Taylor, Sphaerophorus globosus (Huds.) Vain. and Usnea antarctica Du Rietz, collected in the Antarctic under varied weather conditions. Green algae from the genera Lobosphaera and Trebouxia were gathered in depressions of the cortex under the more resistant mycobiont hyphae. In photobiont cells a large amount of highly osmiophilic electron-dense PAS-negative material, lipid-like in character, was of particular interest. Similar material also filled certain areas of the aerial apoplast. A star-shaped chromatophore with central and lateral pyrenoids encompassed most of the photobiont protoplast in all the studied species. Regularly arranged thylakoids with evenly widened lumina along their entire length and osmiophilic lipid droplets adhering to their outer surfaces were visible within the pyrenoid. Inside the chloroplast, large protein inclusions tightly joined with the thylakoids were observed. The mycobionts were closely attached to each other another and with the photobionts by means of an outer osmiophilic wall layer, and formed intramural haustoria. Their protoplasts were filled with PAS-positive polysaccharides and a large amount of lipid-like substances. The photobionts were physiologically active and produced a large amount of electron-dense osmiophilic material, and PAS-positive starch grains were visible around their pyrenoids in the thalli collected in different weather conditions. The permanent reserves of nutritive materials deposited in the thalli enable these organisms to quickly begin and continue indispensable physiological processes in the extreme Antarctic conditions.</t>
  </si>
  <si>
    <t>[Gielwanowska, Irena] Univ Warmia &amp; Mazury, Dept Plant Physiol &amp; Biotechnol, PL-10719 Olsztyn, Poland; [Gielwanowska, Irena; Olech, Maria] Polish Acad Sci, Dept Antarctic Biol, PL-02141 Warsaw, Poland; [Olech, Maria] Jagiellonian Univ, Zdzislaw Czeppe Dept Polar Res &amp; Documentat, PL-31501 Krakow, Poland</t>
  </si>
  <si>
    <t>University of Warmia &amp; Mazury; Polish Academy of Sciences; Jagiellonian University</t>
  </si>
  <si>
    <t>Gielwanowska, I (corresponding author), Univ Warmia &amp; Mazury, Dept Plant Physiol &amp; Biotechnol, Oczapowskiego 1A, PL-10719 Olsztyn, Poland.</t>
  </si>
  <si>
    <t>i.gielwanowska@uwm.edu.pl</t>
  </si>
  <si>
    <t>POLSKA AKAD NAUK</t>
  </si>
  <si>
    <t>KRAKOW</t>
  </si>
  <si>
    <t>ODDZIAL W KRAKOWIE UL, SLAWKOWSKA 17, 31-018 KRAKOW, POLAND</t>
  </si>
  <si>
    <t>0001-5296</t>
  </si>
  <si>
    <t>ACTA BIOL CRACOV BOT</t>
  </si>
  <si>
    <t>Acta Biol. Crac. Ser. Bot.</t>
  </si>
  <si>
    <t>10.2478/v10182-012-0004-0</t>
  </si>
  <si>
    <t>045NY</t>
  </si>
  <si>
    <t>WOS:000311704700005</t>
  </si>
  <si>
    <t>Lin, SM; Fredericq, S; Hommersand, MH</t>
  </si>
  <si>
    <t>Lin, Showe-Mei; Fredericq, Suzanne; Hommersand, Max H.</t>
  </si>
  <si>
    <t>Molecular phylogeny and developmental studies of Apoglossum and Paraglossum (Delesseriaceae, Rhodophyta) with a description of Apoglosseae trib. nov.</t>
  </si>
  <si>
    <t>EUROPEAN JOURNAL OF PHYCOLOGY</t>
  </si>
  <si>
    <t>Apoglosseae trib. nov.; Apoglossum; cystocarp development; Delesseria; Delesseriaceae; molecular phylogeny; Paraglossum; rbcL; red algae; systematics; taxonomy</t>
  </si>
  <si>
    <t>RBCL SEQUENCES; SYSTEMATICS; CERAMIALES; GENERA; ALGAE</t>
  </si>
  <si>
    <t>Our morphological and molecular studies indicate that species from the southern hemisphere previously placed in Delesseria belong in Paraglossum and that Paraglossum and Apoglossum comprise a separate tribe, the Apoglosseae, S.-W. Lin, Fredericq &amp; Hommersand, trib. nov., within the family Delesseriaceae. From a vegetative perspective the Apoglosseae is readily recognized because some or all fourth-order cell rows are formed on the inner sides of third-order cell rows. All fourth-order cell rows grow adaxially in Apoglossum, whereas both adaxial and abaxial cell rows are present in Paraglossum. Periaxial cells do not divide in Apoglossum, whereas they divide transversely in Paraglossum in the same way as in Delesseria. Major branches are formed mainly from the margins of midribs in the Apoglosseae. The procarp consists of a straight carpogonial branch and two sterile cells, with the second formed on the same side as the first. The carpogonium cuts off two connecting cells in tandem from its apical end, the terminal cell being nonfunctional and the subterminal cell typically fusing with the auxiliary cell. Gonimoblast filaments radiate in all directions from the gonimoblast initials and produce carposporangia terminally in branched chains, with pit connections between the inner gonimoblast cells broadening and enlarging. The auxiliary cell, supporting cell, and sterile cells unite into a fusion cell, which remains small in Apoglossum but incorporates the branched inner gonimoblast filaments and cells in the floor of the cystocarp in Paraglossum. Elongated inner cortical cells seen in mature cystocarps in the Delesserieae are absent in the Apoglosseae. Phylogenetic studies based on rbcL (RuBisCO large subunit gene) sequence analyses strongly support the recognition of the Apoglosseae within the subfamily Delesserioideae of the Delesseriaceae, in agreement with our previous observations based primarily on analyses of large subunit ribosomal DNA (LSU).</t>
  </si>
  <si>
    <t>[Lin, Showe-Mei] Natl Taiwan Ocean Univ, Ctr Excellence Marine Bioenvironm &amp; Biotechnol, Inst Marine Biol, Keelung 20224, Taiwan; [Fredericq, Suzanne] Univ Louisiana Lafayette, Dept Biol, Lafayette, LA 70504 USA; [Hommersand, Max H.] Univ N Carolina, Dept Biol, Chapel Hill, NC 27599 USA</t>
  </si>
  <si>
    <t>National Taiwan Ocean University; University of Louisiana Lafayette; University of North Carolina; University of North Carolina Chapel Hill</t>
  </si>
  <si>
    <t>Lin, SM (corresponding author), Natl Taiwan Ocean Univ, Ctr Excellence Marine Bioenvironm &amp; Biotechnol, Inst Marine Biol, Keelung 20224, Taiwan.</t>
  </si>
  <si>
    <t>linsm@ntou.edu.tw</t>
  </si>
  <si>
    <t>National Science Council (Taiwan) [NSC 100-2321-B-019-009 -MY2]; NTOU's Center of Excellence for Marine Bioenvironment and Biotechnology; NSF [DEB0937978]; Direct For Biological Sciences; Division Of Environmental Biology [0919508, 0743024] Funding Source: National Science Foundation</t>
  </si>
  <si>
    <t>National Science Council (Taiwan)(Ministry of Science and Technology, Taiwan); NTOU's Center of Excellence for Marine Bioenvironment and Biotechnology; NSF(National Science Foundation (NSF)); Direct For Biological Sciences; Division Of Environmental Biology(National Science Foundation (NSF)NSF - Directorate for Biological Sciences (BIO))</t>
  </si>
  <si>
    <t>This project was partly supported by a grant from National Science Council (Taiwan) (NSC 100-2321-B-019-009 -MY2) and a research grant from NTOU's Center of Excellence for Marine Bioenvironment and Biotechnology to S.-M. Lin. Fredericq and Hommersand were supported by NSF grant DEB0937978 to J.M. Lopez Bautista, M.H. Hommersand and S. Fredericq. We thank Fran Hommersand for help curating the algae collections at NCU, Sonja Stiefel, formerly at UNC, for help in preparing figures of Apoglossum, Charles and Margaret Amsler for providing material from the Antarctic Peninsula, Per Lassen for photographs of type material from the Agardh herbarium at LD, Jo Wilbraham for photographs of type material at BM, Susan Whitfield at NCU for her help in preparing the illustrations, and Michael Wynne for his careful review of the manuscript which added significantly to this study.</t>
  </si>
  <si>
    <t>0967-0262</t>
  </si>
  <si>
    <t>1469-4433</t>
  </si>
  <si>
    <t>EUR J PHYCOL</t>
  </si>
  <si>
    <t>Eur. J. Phycol.</t>
  </si>
  <si>
    <t>10.1080/09670262.2012.719164</t>
  </si>
  <si>
    <t>046SM</t>
  </si>
  <si>
    <t>WOS:000311784700003</t>
  </si>
  <si>
    <t>Runcie, JW; Riddle, MJ</t>
  </si>
  <si>
    <t>Runcie, John W.; Riddle, Martin J.</t>
  </si>
  <si>
    <t>Estimating primary productivity of marine macroalgae in East Antarctica using in situ fluorometry</t>
  </si>
  <si>
    <t>fluorescence; in situ; PAM; PPFD; Iridaea sp.; Antarctic; macroalgae; primary productivity</t>
  </si>
  <si>
    <t>GEORGE ISLAND ANTARCTICA; PHOTOSYNTHETIC ELECTRON-TRANSPORT; CHLOROPHYLL-FLUORESCENCE; PAM FLUOROMETRY; LIGHT; PERFORMANCE; RATES; ECOPHYSIOLOGY; RESPIRATION; METABOLISM</t>
  </si>
  <si>
    <t>Photosynthetic activity of marine macroalgae in the Windmill Islands, East Antarctica, was measured in situ using submersible modulated fluorometers. An empirical relation incorporating terms for respiration and non-linear electron transport was derived from simultaneous in vivo measurements of effective quantum yield (phi(PSII)') and oxygen evolution. This relation was used with in situ measurements of phi(PSII)' and photosynthetic photon flux density acquired over 24-h periods to estimate oxygen evolution rates of algae over the course of the measurement period. Productivity ranged from -8 to 19 mu molO(2)g(-1) FWh(-1) (FW = fresh weight), with daily carbon gain ranging from -1.5 to 3.6 mgCg(-1) FWd(-1) for midnight ice-covered algae and midday ice-free algae, respectively. These values were similar to published values of productivity of Antarctic species derived from oxygen-and carbon-based techniques. The technique described here provides a simple and rapid means of estimating primary productivity in marine systems.</t>
  </si>
  <si>
    <t>[Runcie, John W.] Univ Sydney, Sch Biol Sci, Sydney, NSW 2006, Australia; [Runcie, John W.; Riddle, Martin J.] Australian Antarctic Div, Kingston, Tas 7050, Australia; [Runcie, John W.] Aquat Pty Ltd, Umina Beach, NSW 2257, Australia</t>
  </si>
  <si>
    <t>University of Sydney; Australian Antarctic Division</t>
  </si>
  <si>
    <t>Runcie, JW (corresponding author), Univ Sydney, Sch Biol Sci, Sydney, NSW 2006, Australia.</t>
  </si>
  <si>
    <t>john.runcie@sydney.edu.au</t>
  </si>
  <si>
    <t>[2201]; [2256]; [2656]</t>
  </si>
  <si>
    <t>; ;</t>
  </si>
  <si>
    <t>The authors thank divers (Andrew Cawthorne, Norm Bracken and diving expeditioners of ANARE 2002/03, 05/06 and 06/07) and engineers (Martin Buggeln, Peter Kernebone, Steven Whiteside) for their assistance. The authors also wish to acknowledge two anonymous reviewers who contributed significantly, and David Smith for his cartographic contribution. This study was supported by grants awarded to Australian Antarctic Science projects 2201, 2256 and 2656.</t>
  </si>
  <si>
    <t>10.1080/09670262.2012.736535</t>
  </si>
  <si>
    <t>WOS:000311784700009</t>
  </si>
  <si>
    <t>Teixeira, LCRS; Yergeau, E</t>
  </si>
  <si>
    <t>Filion, M</t>
  </si>
  <si>
    <t>Teixeira, Lia C. R. S.; Yergeau, Etienne</t>
  </si>
  <si>
    <t>Quantification of Microorganisms Using a Functional Gene Approach</t>
  </si>
  <si>
    <t>QUANTITATIVE REAL-TIME PCR IN APPLIED MICROBIOLOGY</t>
  </si>
  <si>
    <t>REAL-TIME PCR; SULFATE-REDUCING BACTERIA; MICROBIAL COMMUNITIES; MOLECULAR-DETECTION; NITROGEN-CYCLE; ANTARCTIC SOIL; WASTE-WATER; NITRIFICATION; DIVERSITY; POPULATION</t>
  </si>
  <si>
    <t>Quantitative polymerase chain reaction (qPCR) represents an effective method to quantify genes or transcripts within environmental samples. For that reason, qPCR has been widely used to characterize the functional patterns of complex microbial communities. In this chapter we summarize some recent applications of different qPCR approaches targeting functional genes encoding key enzymes in the N-, C- and S-cycles and also functional genes related to antibiotic resistance. We also point out some limitation of qPCR approaches. The ongoing development of new molecular techniques, like metagenomics, will have positive impacts on the specificity and the coverage of qPCR assays, since the availability of more sequence data will help to improve the design of primers targeting functional genes.</t>
  </si>
  <si>
    <t>[Teixeira, Lia C. R. S.] Univ Fed Rio de Janeiro, Prof Paulo de Goes Microbiol Inst, Rio De Janeiro, RJ, Brazil; [Yergeau, Etienne] Natl Res Council Canada, Biotechnol Res Inst, Montreal, PQ H4P 2R2, Canada</t>
  </si>
  <si>
    <t>Universidade Federal do Rio de Janeiro; National Research Council Canada</t>
  </si>
  <si>
    <t>Teixeira, LCRS (corresponding author), Univ Fed Rio de Janeiro, Prof Paulo de Goes Microbiol Inst, Rio De Janeiro, RJ, Brazil.</t>
  </si>
  <si>
    <t>liarteixeira@gmail.com; Etienne.Yergeau@cnrc-nrc.gc.ca</t>
  </si>
  <si>
    <t>Yergeau, Etienne/AAZ-6145-2020; Teixeira, Lia/AFV-0851-2022; Yergeau, Etienne/B-5344-2008</t>
  </si>
  <si>
    <t>Yergeau, Etienne/0000-0002-7112-3425; Teixeira, Lia/0000-0002-2874-1973;</t>
  </si>
  <si>
    <t>CAISTER ACADEMIC PRESS</t>
  </si>
  <si>
    <t>WYMONDHAM</t>
  </si>
  <si>
    <t>32 HEWITTS LANE, WYMONDHAM NR 18 0JA, ENGLAND</t>
  </si>
  <si>
    <t>978-1-908230-01-0</t>
  </si>
  <si>
    <t>BCW26</t>
  </si>
  <si>
    <t>WOS:000311650600006</t>
  </si>
  <si>
    <t>Hofmeyr, GJG; Kirkman, SP; Pistorius, PA; Bester, MN</t>
  </si>
  <si>
    <t>Hofmeyr, G. J. G.; Kirkman, S. P.; Pistorius, P. A.; Bester, M. N.</t>
  </si>
  <si>
    <t>Natal site fidelity by breeding female southern elephant seals in relation to their history of participation in the winter haulout</t>
  </si>
  <si>
    <t>animal movement; dispersal; Mirounga leonina; Subantarctic</t>
  </si>
  <si>
    <t>WHALES ORCINUS-ORCA; MIROUNGA-LEONINA; MARION-ISLAND; KILLER WHALES; FORAGING STRATEGIES; MACQUARIE ISLAND; MOVEMENTS; OCEAN; DISPERSION; BEHAVIOR</t>
  </si>
  <si>
    <t>Of the four types of terrestrial haulout periods undertaken by southern elephant seals Mirounga leonina, only the purpose of the winter haulout is unknown. Returning to a haulout site from distant pelagic foraging grounds bears significant costs in terms of increased energy expenditure, reduced foraging time and increased exposure to predation; therefore, each haulout must serve a purpose. We examined the hypothesis that the winter haulout serves to maintain familiarity with the natal site, thereby increasing site fidelity. To this end, we analysed a long-term mark-recapture dataset for female southern elephant seals at Marion Island, Southern Ocean. Results indicate that, whereas greater natal site fidelity as primiparous females was associated with recorded presence ashore at the study site during the winter haulout as immatures, this was not the case for multiparous females. Furthermore, recorded presence ashore during both the moult haulouts as immatures, and all haulouts as immatures, irrespective of haulout type, was also associated with increased site fidelity. This suggests that any haulout at the natal island as an immature seal, whether for the moult or winter haulout, assists in maintaining site fidelity. Therefore, while the winter haulout facilitates greater natal site fidelity, whether this is the sole reason for this terrestrial period remains uncertain.</t>
  </si>
  <si>
    <t>[Hofmeyr, G. J. G.; Kirkman, S. P.; Pistorius, P. A.; Bester, M. N.] Univ Pretoria, Mammal Res Inst, Dept Zool &amp; Entomol, ZA-0028 Pretoria, South Africa</t>
  </si>
  <si>
    <t>University of Pretoria</t>
  </si>
  <si>
    <t>Hofmeyr, GJG (corresponding author), Port Elizabeth Museum Bayworld, POB 13147, ZA-6013 Humewood, South Africa.</t>
  </si>
  <si>
    <t>greg@bayworld.co.za</t>
  </si>
  <si>
    <t>Hofmeyr, G. J. Greg/AAV-3286-2020; Bester, Marthán N/E-5387-2010; Kirkman, Stephen/AAA-9139-2021</t>
  </si>
  <si>
    <t>Hofmeyr, G. J. Greg/0000-0003-0283-6058; Kirkman, Stephen/0000-0001-5428-7375; Pistorius, Pierre/0000-0001-6561-7069</t>
  </si>
  <si>
    <t>South African National Antarctic Programme; Department of Environmental Affairs</t>
  </si>
  <si>
    <t>An ongoing project of the Mammal Research Institute, Department of Zoology and Entomology, University of Pretoria, generated and owns the data presented here. This project was conducted under the auspices of the South African National Antarctic Programme. The Department of Environmental Affairs (formerly the Department of Environmental Affairs and Tourism) provided funding and logistical support on advice from the South African Committee for Antarctic Research. All procedures received ethics clearance from the Animal Use and Care Committee of the Faculty of Natural and Agricultural Sciences, University of Pretoria, under AUCC 040827-024 (ethics@up.ac.za). We are grateful to a number of people for their assistance in the field. Comments by Ian Field and an anonymous reviewer markedly improved the manuscript.</t>
  </si>
  <si>
    <t>10.2989/1814232X.2012.689619</t>
  </si>
  <si>
    <t>028OP</t>
  </si>
  <si>
    <t>WOS:000310432100008</t>
  </si>
  <si>
    <t>Werner, T; Huenerlage, K; Verheye, H; Buchholz, F</t>
  </si>
  <si>
    <t>Werner, T.; Huenerlage, K.; Verheye, H.; Buchholz, F.</t>
  </si>
  <si>
    <t>Thermal constraints on the respiration and excretion rates of krill, Euphausia hanseni and Nematoscelis megalops, in the northern Benguela upwelling system off Namibia</t>
  </si>
  <si>
    <t>ammonia excretion; carbon demand; diel vertical migration; O:N ratio; temperature</t>
  </si>
  <si>
    <t>MEGANYCTIPHANES-NORVEGICA; NITROGEN EXCRETION; VERTICAL MIGRATION; GROWTH EFFICIENCY; ANTARCTIC KRILL; JAPAN SEA; TEMPERATURE; ZOOPLANKTON; METABOLISM; SUPERBA</t>
  </si>
  <si>
    <t>Rates of respiration and ammonia excretion of Euphausia hanseni and Nematoscelis megalops were determined experimentally at four temperatures representative of conditions encountered by these euphausiid species in the northern Benguela upwelling environment. The respiration rate increased from 7.7 mu mol O-2 h(-1) g(ww)(-1) at 5 degrees C to 18.1 mu mol O-2 h(-1) g(ww)(-1) at 20 degrees C in E. hanseni and from 7.0 mu mol O-2 h(-1) g(ww)(-1) (5 degrees C) to 23.4 mu mol O-2 h(-1) g(ww)(-1) (20 degrees C) in N. megalops. The impact of temperature on oxygen uptake of the two species differed significantly. Nematoscelis megalops showed thermal adaptations to temperatures between 5 degrees C and 10 degrees C (Q(10) = 1.9) and metabolic constraint was evident at higher temperatures (Q(10) = 2.6). In contrast, E. hanseni showed adaptations to temperatures of 10-20 degrees C (Q(10) = 1.5) and experienced metabolic depression below 10 degrees C (Q(10) = 2.6). Proteins were predominantly metabolised by E. hanseni in contrast to lipids by N. megalops. Carbon demand of N. megalops between 5 and 15 degrees C was lower than in E. hanseni versus equal food requirements at 20 degrees C. It is concluded that the two species display different physiological adaptations, based on their respective temperature adaptations, which are mirrored in their differential vertical positioning in the water column.</t>
  </si>
  <si>
    <t>[Werner, T.; Huenerlage, K.; Buchholz, F.] Alfred Wegener Inst Polar &amp; Marine Res, D-27570 Bremerhaven, Germany; [Verheye, H.] Dept Environm Affairs, ZA-8012 Cape Town, South Africa; [Verheye, H.] Univ Cape Town, Marine Res Inst, ZA-7701 Rondebosch, South Africa</t>
  </si>
  <si>
    <t>Helmholtz Association; Alfred Wegener Institute, Helmholtz Centre for Polar &amp; Marine Research; Department of Environment, Forestry &amp; Fisheries; University of Cape Town</t>
  </si>
  <si>
    <t>Werner, T (corresponding author), Alfred Wegener Inst Polar &amp; Marine Res, Handelshafen 12, D-27570 Bremerhaven, Germany.</t>
  </si>
  <si>
    <t>thorsten.werner@awi.de</t>
  </si>
  <si>
    <t>Huenerlage, Lara Kim/0000-0002-1997-4556</t>
  </si>
  <si>
    <t>Bundesministerium fur Bildung und Forschung, Germany [BMBF-03F0497F]</t>
  </si>
  <si>
    <t>Bundesministerium fur Bildung und Forschung, Germany(Federal Ministry of Education &amp; Research (BMBF))</t>
  </si>
  <si>
    <t>We thank the Captain and crew of the RV Maria S. Merian for assistance with the collection of samples. This work formed part of the Geochemistry and Ecology of the Namibian Upwelling System (GENUS) project, which is funded by the Bundesministerium fur Bildung und Forschung (BMBF-03F0497F, Germany). GENUS aims to clarify relationships between climate change, biogeochemical cycles, and ecosystem structure in the large marine ecosystem of the northern Benguela off the Namibian coast. We are also grateful for the comments made by two anonymous referees, which improved the manuscript.</t>
  </si>
  <si>
    <t>10.2989/1814232X.2012.689620</t>
  </si>
  <si>
    <t>WOS:000310432100010</t>
  </si>
  <si>
    <t>Coppola, D; Abbruzzetti, S; Nicoletti, F; Merlino, A; Gambacurta, A; Giordano, D; Howes, BD; De Sanctis, G; Vitagliano, L; Bruno, S; di Prisco, G; Mazzarella, L; Smulevich, G; Coletta, M; Viappiani, C; Vergara, A; Verde, C</t>
  </si>
  <si>
    <t>Coppola, Daniela; Abbruzzetti, Stefania; Nicoletti, Francesco; Merlino, Antonello; Gambacurta, Alessandra; Giordano, Daniela; Howes, Barry D.; De Sanctis, Giampiero; Vitagliano, Luigi; Bruno, Stefano; di Prisco, Guido; Mazzarella, Lelio; Smulevich, Giulietta; Coletta, Massimo; Viappiani, Cristiano; Vergara, Alessandro; Verde, Cinzia</t>
  </si>
  <si>
    <t>ATP regulation of the ligand-binding properties in temperate and cold-adapted haemoglobins. X-ray structure and ligand-binding kinetics in the sub-Antarctic fish Eleginops maclovinus</t>
  </si>
  <si>
    <t>MOLECULAR BIOSYSTEMS</t>
  </si>
  <si>
    <t>OXYGEN-BINDING; TREMATOMUS-BERNACCHII; CRYSTAL-STRUCTURE; NOTOTHENIOID FISH; HEMOGLOBIN; EQUILIBRIA; AFFINITY; MODEL</t>
  </si>
  <si>
    <t>The major haemoglobin of the sub-Antarctic fish Eleginops maclovinus was structurally and functionally characterised with the aim to compare molecular environmental adaptations in the O-2-transport system of sub-Antarctic fishes of the suborder Notothenioidei with those of their high-latitude relatives. Ligand-binding kinetics of the major haemoglobin of E. maclovinus indicated strong stabilisation of the liganded quaternary T state, enhanced in the presence of the physiological allosteric effector ATP, compared to that of high-Antarctic Trematomus bernacchii. The activation enthalpy for O-2 dissociation was dramatically lower than that in T. bernacchii haemoglobin, suggesting remarkable differences in temperature sensitivity and structural changes associated with O-2 release and exit from the protein. The haemoglobin functional properties, together with the X-ray structure of the CO form at 1.49 angstrom resolution, the first of a temperate notothenioid, strongly support the hypothesis that in E. maclovinus, whose life-style varies according to changes in habitat, the mechanisms that regulate O-2 affinity and the ATP-induced Root effect differ from those of high-Antarctic Notothenioids.</t>
  </si>
  <si>
    <t>[Merlino, Antonello; Mazzarella, Lelio; Vergara, Alessandro] Univ Naples Federico II, Dept Chem Sci, I-80126 Naples, Italy; [Coppola, Daniela; Giordano, Daniela; di Prisco, Guido; Verde, Cinzia] CNR, Inst Prot Biochem, I-80131 Naples, Italy; [Abbruzzetti, Stefania; Viappiani, Cristiano] Univ Parma, Dipartimento Fis, I-43124 Parma, Italy; [Abbruzzetti, Stefania; Viappiani, Cristiano] CNR, Ist Nanosci, I-56127 Pisa, Italy; [Nicoletti, Francesco; Howes, Barry D.; Smulevich, Giulietta] Univ Firenze, Dipartimento Chim Ugo Schiff, I-50019 Sesto Fiorentino, FI, Italy; [Merlino, Antonello; Vitagliano, Luigi; Mazzarella, Lelio; Vergara, Alessandro] CNR, Ist Biostrutture &amp; Bioimmagini, I-80134 Naples, Italy; [Gambacurta, Alessandra] Univ Roma Tor Vergata, Dipartimento Med Sperimentale &amp; Chirurg, I-00133 Rome, Italy; [De Sanctis, Giampiero] Univ Camerino, Scuola Biosci &amp; Biotecnol, I-62032 Camerino, MC, Italy; [Bruno, Stefano] Univ Parma, Dipartmento Biochim &amp; Biol Mol, I-43100 Parma, Italy; [Coletta, Massimo] Univ Roma Tor Vergata, Dept Clin Sci &amp; Translat Med, I-00133 Rome, Italy; [Coletta, Massimo] Interuniv Consortium Res Chem Met Biol Syst, I-70126 Bari, Italy</t>
  </si>
  <si>
    <t>University of Naples Federico II; Consiglio Nazionale delle Ricerche (CNR); Istituto di Biochimica delle Proteine (IBP-CNR); University of Parma; Consiglio Nazionale delle Ricerche (CNR); Istituto Nanoscienze (NANO-CNR); University of Florence; Consiglio Nazionale delle Ricerche (CNR); Istituto di Biostrutture e Bioimmagini (IBB-CNR); University of Rome Tor Vergata; University of Camerino; University of Parma; University of Rome Tor Vergata</t>
  </si>
  <si>
    <t>Vergara, A (corresponding author), Univ Naples Federico II, Dept Chem Sci, Complesso Univ Monte S Angelo,Via Cinthia, I-80126 Naples, Italy.</t>
  </si>
  <si>
    <t>avergara@unina.it; c.verde@ibp.cnr.it</t>
  </si>
  <si>
    <t>Merlino, Antonello/AAI-2114-2020; Vergara, Alessandro/C-4435-2013; Coppola, Daniela/ABG-4430-2020; Viappiani, Cristiano/AAC-7579-2019; Giordano, Daniela/AFK-7772-2022; Coletta, Massimo/N-9049-2015; abbruzzetti, stefania/AAE-5518-2020; Coletta, Massimiliano/GSN-5927-2022; Bruno, Stefano/A-4582-2011</t>
  </si>
  <si>
    <t>Viappiani, Cristiano/0000-0001-7470-4770; Giordano, Daniela/0000-0002-8891-6245; abbruzzetti, stefania/0000-0001-7685-8554; Smulevich, Giulietta/0000-0003-3021-8919; Bruno, Stefano/0000-0002-7890-2472; Merlino, Antonello/0000-0002-1045-7720; Vergara, Alessandro/0000-0003-4135-0245; gambacurta, alessandra/0000-0001-5657-1847; VERDE, Cinzia/0000-0001-6185-282X; COLETTA, Massimiliano/0000-0002-5489-9467; Coppola, Daniela/0000-0001-6699-8967</t>
  </si>
  <si>
    <t>National Science Foundation [OPP 0132032]; Italian National Programme for Antarctic Research (PNRA); Ministero degli Affari Esteri, Direzione generale per la promozione del sistema Paese (Progetti di Grande Rilevanza, Italia-Argentina)</t>
  </si>
  <si>
    <t>National Science Foundation(National Science Foundation (NSF)); Italian National Programme for Antarctic Research (PNRA); Ministero degli Affari Esteri, Direzione generale per la promozione del sistema Paese (Progetti di Grande Rilevanza, Italia-Argentina)</t>
  </si>
  <si>
    <t>We thank the captain, crew and personnel of Raytheon Polar Services aboard the RVIB Nathaniel B. Palmer for their excellent assistance during the ICEFISH cruise (2004) to collect fish specimens, supported by National Science Foundation grant OPP 0132032 to H. William Detrich (Northeastern University). This study is in the framework of the SCAR programme Evolution and Biodiversity in the Antarctic (EBA), and of CAREX (Coordination Action for Research Activities on Life in Extreme Environments), European Commission FP7 call ENV.2007.2.2.1.6.; This work was financially supported by the Italian National Programme for Antarctic Research (PNRA), and by Ministero degli Affari Esteri, Direzione generale per la promozione del sistema Paese (Progetti di Grande Rilevanza, Italia-Argentina 2011-2013).</t>
  </si>
  <si>
    <t>1742-206X</t>
  </si>
  <si>
    <t>1742-2051</t>
  </si>
  <si>
    <t>MOL BIOSYST</t>
  </si>
  <si>
    <t>Mol. Biosyst.</t>
  </si>
  <si>
    <t>10.1039/c2mb25210d</t>
  </si>
  <si>
    <t>042LR</t>
  </si>
  <si>
    <t>WOS:000311473200020</t>
  </si>
  <si>
    <t>Sutherland, FL; Graham, IT; Meffre, S; Zwingmann, H; Pogson, RE</t>
  </si>
  <si>
    <t>Sutherland, F. L.; Graham, I. T.; Meffre, S.; Zwingmann, H.; Pogson, R. E.</t>
  </si>
  <si>
    <t>Passive-margin prolonged volcanism, East Australian Plate: outbursts, progressions, plate controls and suggested causes</t>
  </si>
  <si>
    <t>AUSTRALIAN JOURNAL OF EARTH SCIENCES</t>
  </si>
  <si>
    <t>intraplate volcanism; passive-margin; central volcano; basalt; zircon U-Pb dating; Ar-Ar dating; K-Ar dating; mantle plumes; Australian Plate</t>
  </si>
  <si>
    <t>NEW-SOUTH-WALES; LORD-HOWE RISE; CANYON SANIDINE STANDARD; PLASMA-MASS SPECTROMETRY; K-40 DECAY CONSTANTS; TRACE-ELEMENT; 40AR/39AR GEOCHRONOLOGY; BASALT PETROGENESIS; JOINT DETERMINATION; CENOZOIC VOLCANISM</t>
  </si>
  <si>
    <t>Prolonged intraplate volcanism along the 4000 km-long East Australian margin for ca 100 Ma raises many genetic questions. Studies of the age-progressive pulses embedded in general basaltic activity have spawned a host of models. Zircon U-Pb dating of inland Queensland central volcanoes gives a stronger database to consider the structure and origin of Australian age-progressive volcanic chains. This assists appraisal of this volcanism in relation to plate motion and plate margin tectonic models. Inland Queensland central volcanoes progressed south-southeast from 34 to 31 Ma (similar to 5.4 cm/yr) until a surge in activity led to irregular southerly progression 31 to 28 Ma. A new inland southeastern Queensland central volcano line (25 to 22 Ma), from Bunya Mountains to North Main Range, followed 3 Ma behind the adjacent coastal progression. The Australian and Tasman Sea age-progressive chains are compared against recent plate motion modelling (Indian Ocean hotspots). The chain lines differ from general vector traces owing to west-facing swells and cessations in activity. Tectonic processes on the eastern plate margin may regulate these irregularities. These include subduction, rapid roll-back and progressive detachment of the Loyalty slab (43 to 15 Ma). West-flowing Pacific-type asthenosphere, related to perturbed mantle convection, may explain the west-facing volcanic surges. Such westward Pacific flow for over 28 Ma is known at the Australian-Antarctic Discordance, southeast of the present Australian plume sites under Bass Strait-West Tasman Sea. Most basaltic activity along eastern Australia marks asthenospheric melt injections into Tasman rift zone mantle and not lithospheric plate speed. The young (post-10 Ma) fields (Queensland, Victoria-South Australia) reflect new plate couplings, which altered mantle convection and stress regimes. These areas receive asthenospheric inputs from deep thermal zones off northeast Queensland and under Bass Strait.</t>
  </si>
  <si>
    <t>[Sutherland, F. L.] Univ Western Sydney, Sch Sci, Penrith, NSW 2751, Australia; [Sutherland, F. L.; Graham, I. T.; Pogson, R. E.] Australian Museum, Sydney, NSW 2010, Australia; [Graham, I. T.] Univ New S Wales, Sch Biol Earth &amp; Environm Sci, Sydney, NSW 2052, Australia; [Meffre, S.] Univ Tasmania, Hobart, Tas 7001, Australia; [Zwingmann, H.] CSIRO, Bentley, WA 6102, Australia; [Zwingmann, H.] Univ Western Australia, Sch Earth &amp; Environm, Crawley, WA 6009, Australia; [Pogson, R. E.] Curtin Univ Technol, Dept Appl Geol, Perth, WA 6102, Australia</t>
  </si>
  <si>
    <t>Western Sydney University; Australian Museum; University of New South Wales Sydney; University of Tasmania; Commonwealth Scientific &amp; Industrial Research Organisation (CSIRO); University of Western Australia; Curtin University</t>
  </si>
  <si>
    <t>Sutherland, FL (corresponding author), Univ Western Sydney, Sch Sci, BCRI Campus,Locked Bag 1797, Penrith, NSW 2751, Australia.</t>
  </si>
  <si>
    <t>lin.sutherland@austmus.gov.au</t>
  </si>
  <si>
    <t>Meffre, Sebastien/O-6896-2019; Meffre, Sebastien/J-8700-2014; Graham, Ian T/A-1793-2010</t>
  </si>
  <si>
    <t>Meffre, Sebastien/0000-0003-2741-6076; Meffre, Sebastien/0000-0003-2741-6076;</t>
  </si>
  <si>
    <t>Australian Museum Trust</t>
  </si>
  <si>
    <t>Many samples for this study came from field trips associated with the Australian Museum, Sydney. Bentonite sampling at the Cedars Mine, Upper Yarraman, Queensland, was particularly helped by David Douglass, Mine Manager, and Leslie Stimpson, Mine Supervisor, in June 2010. Zircon concentrate separation was assisted by Gayle Sutherland, Australian Museum and Dr Kate Bromfield, Earth Sciences, University of Tasmania. The Australian Museum Trust provided funds towards zircon and whole-rock dating. Andrew Todd, CSIRO, is thanked for technical assistance and J. A. Wartho at JdL, Curtin University, is thanked for assistance with 40Ar-39Ar age-dating.</t>
  </si>
  <si>
    <t>0812-0099</t>
  </si>
  <si>
    <t>1440-0952</t>
  </si>
  <si>
    <t>AUST J EARTH SCI</t>
  </si>
  <si>
    <t>Aust. J. Earth Sci.</t>
  </si>
  <si>
    <t>10.1080/08120099.2012.688293</t>
  </si>
  <si>
    <t>030UO</t>
  </si>
  <si>
    <t>WOS:000310595800001</t>
  </si>
  <si>
    <t>Etourneau, J; Ehlert, C; Frank, M; Martinez, P; Schneider, R</t>
  </si>
  <si>
    <t>Etourneau, J.; Ehlert, C.; Frank, M.; Martinez, P.; Schneider, R.</t>
  </si>
  <si>
    <t>Contribution of changes in opal productivity and nutrient distribution in the coastal upwelling systems to Late Pliocene/Early Pleistocene climate cooling</t>
  </si>
  <si>
    <t>MATUYAMA DIATOM MAXIMUM; SILICON ISOTOPES; SOUTHERN-OCEAN; SW AFRICA; STRATIFICATION; FRACTIONATION; BENGUELA; INTENSIFICATION; EVOLUTION; CYCLE</t>
  </si>
  <si>
    <t>The global Late Pliocene/Early Pleistocene cooling (similar to 3.0-2.0 million years ago - Ma) concurred with extremely high diatom and biogenic opal production in most of the major coastal upwelling regions. This phenomenon was particularly pronounced in the Benguela upwelling system (BUS), off Namibia, where it is known as the Matuyama Diatom Maximum (MDM). Our study focuses on a new diatom silicon isotope (delta Si-30) record covering the MDM in the BUS. Unexpectedly, the variations in delta Si-30 signal follow biogenic opal content, whereby the highest delta Si-30 values correspond to the highest biogenic opal content. We interpret the higher delta Si-30 values during the MDM as a result of a stronger degree of silicate utilisation in the surface waters caused by high productivity of mat-forming diatom species. This was most likely promoted by weak upwelling intensity dominating the BUS during the Late Pliocene/Early Pleistocene cooling combined with a large silicate supply derived from a strong Southern Ocean nutrient leakage responding to the expansion of Antarctic ice cover and the resulting stratification of the polar ocean 3.0-2.7Ma ago. A similar scenario is hypothesized for other major coastal upwelling systems (e. g. off California) during this time interval, suggesting that the efficiency of the biological carbon pump was probably sufficiently enhanced in these regions during the MDM to have significantly increased the transport of atmospheric CO2 to the deep ocean. In addition, the coeval extension of the area of surface water stratification in both the Southern Ocean and the North Pacific, which decreased CO2 release to the atmosphere, led to further enhanced atmospheric CO2 drawn-down and thus contributed significantly to Late Pliocene/Early Pleistocene cooling.</t>
  </si>
  <si>
    <t>[Etourneau, J.; Schneider, R.] Univ Kiel, Inst Geowissensch, D-24118 Kiel, Germany; [Etourneau, J.] UPMC, CNRS, MNHN, LOCEAN,IRD,UMR7159, F-75252 Paris, France; [Ehlert, C.; Frank, M.] Helmholtz Ctr Ocean Res Kiel, GEOMAR, D-24118 Kiel, Germany; [Martinez, P.] Univ Bordeaux 1, EPOC, UMR5805, F-33405 Talence, France</t>
  </si>
  <si>
    <t>University of Kiel; Sorbonne Universite; Centre National de la Recherche Scientifique (CNRS); CNRS - National Institute for Earth Sciences &amp; Astronomy (INSU); Museum National d'Histoire Naturelle (MNHN); Institut de Recherche pour le Developpement (IRD); Helmholtz Association; GEOMAR Helmholtz Center for Ocean Research Kiel; Centre National de la Recherche Scientifique (CNRS); CNRS - National Institute for Earth Sciences &amp; Astronomy (INSU); Universite de Bordeaux</t>
  </si>
  <si>
    <t>Etourneau, J (corresponding author), Univ Kiel, Inst Geowissensch, Ludewig Meyn Str 10, D-24118 Kiel, Germany.</t>
  </si>
  <si>
    <t>johan.etourneau@locean-ipsl.upmc.fr</t>
  </si>
  <si>
    <t>Melzner, Frank/X-4339-2018</t>
  </si>
  <si>
    <t>Melzner, Frank/0000-0002-5884-1318; Schneider, Ralph/0000-0003-1453-9181; Ehlert, Claudia/0000-0003-0235-4542; Martinez, Philippe/0000-0002-9825-2032</t>
  </si>
  <si>
    <t>Deutsche Forschungsgemeinschaft [SCHN 621/12-1, FR1198/3-1]; French program CNRS-ECLIPSE; CNRS-INSU</t>
  </si>
  <si>
    <t>Deutsche Forschungsgemeinschaft(German Research Foundation (DFG)); French program CNRS-ECLIPSE; CNRS-INSU(Centre National de la Recherche Scientifique (CNRS))</t>
  </si>
  <si>
    <t>We greatly thank D. Cardinal for helpful discussions and advice on the interpretation of the silicon isotope data, and L. Collins for the English corrections of the manuscript. We acknowledge the Integrated Ocean Drilling Program for providing the samples of BUS Site 1082. This research was supported by the Deutsche Forschungsgemeinschaft through German projects SCHN 621/12-1 (University of Kiel) and FR1198/3-1 (GEOMAR) and, the French program CNRS-ECLIPSE of P. Martinez (University Bordeaux 1).; The publication of this article is financed by CNRS-INSU.</t>
  </si>
  <si>
    <t>10.5194/cp-8-1435-2012</t>
  </si>
  <si>
    <t>029BU</t>
  </si>
  <si>
    <t>WOS:000310470600004</t>
  </si>
  <si>
    <t>Weldeab, S</t>
  </si>
  <si>
    <t>Weldeab, S.</t>
  </si>
  <si>
    <t>Timing and magnitude of equatorial Atlantic surface warming during the last glacial bipolar oscillation</t>
  </si>
  <si>
    <t>OXYGEN ISOTOPIC COMPOSITION; WEST-AFRICAN MONSOON; FORAMINIFERAL MG/CA; TROPICAL ATLANTIC; NORTH-ATLANTIC; PLANKTONIC-FORAMINIFERA; CLIMATE-CHANGE; CLEANING PROCEDURES; ATMOSPHERIC CO2; HEINRICH EVENTS</t>
  </si>
  <si>
    <t>The timing and magnitude of millennial-scale thermal oscillation in the equatorial Atlantic during the last glacial and marine isotope stage 3 have been perceived as merely a response to meltwater-induced perturbations of the northern high latitude climate. The relatively asymmetric distribution of available temperature records has so far impeded testing whether this view is valid across the equatorial Atlantic. This study presents a centennially resolved record of Mg/Ca-derived sea surface temperature (SST) estimates from the eastern equatorial Atlantic (EEA) and a core top-based proxy validation. Multivariate analysis of the EEA core top data indicates that the Mg/Ca ratio varies by 8 +/- 2% per unit SST (degrees C) and 1 +/- 0.9% per unit salinity (psu) change, indicating that temperature is the most dominant factor controlling planktonic foraminiferal Mg/Ca variation. The EEA SST time series exhibits a close correlation between episodes of rapid equatorial surface water warming, the onset of massive meltwater inputs into the North Atlantic (Heinrich events H3-H6), and Antarctic climate changes, indicating that the EEA was very sensitive to millennial-scale bipolar oscillations. Rapid EEA SST rise between 0.8 degrees C and 2 degrees C, synchronous with the onset of Heinrich events, is consistent with the concept of tropical Atlantic warming in response to meltwater-induced perturbation of Atlantic meridional ocean circulation (AMOC). At variance with model results that suggest a basin-wide SST rise during and rapid surface cooling concomitant with the termination of Heinrich events, this study indicates persistently elevated EEA SST during and up to 2300 yr after the abrupt termination of Heinrich events. This study emphasizes that changes in wind-induced low-latitude zonal surface currents were crucial in shaping the spatial heterogeneity and duration of equatorial Atlantic surface water warmth.</t>
  </si>
  <si>
    <t>Univ Calif Santa Barbara, Dept Earth Sci, Santa Barbara, CA 93106 USA</t>
  </si>
  <si>
    <t>Weldeab, S (corresponding author), Univ Calif Santa Barbara, Dept Earth Sci, Santa Barbara, CA 93106 USA.</t>
  </si>
  <si>
    <t>weldeab@geol.ucsb.edu</t>
  </si>
  <si>
    <t>Weldeab, Syee/0000-0002-4829-5237</t>
  </si>
  <si>
    <t>10.5194/cp-8-1705-2012</t>
  </si>
  <si>
    <t>WOS:000310470600021</t>
  </si>
  <si>
    <t>Kurzke, H; Kurgansky, MV; Dethloff, K; Handorf, D; Erxleben, S; Olbers, D; Eden, C; Sempf, M</t>
  </si>
  <si>
    <t>Kurzke, H.; Kurgansky, M. V.; Dethloff, K.; Handorf, D.; Erxleben, S.; Olbers, D.; Eden, C.; Sempf, M.</t>
  </si>
  <si>
    <t>Simulating Southern Hemisphere extra-tropical climate variability with an idealised coupled atmosphere-ocean model</t>
  </si>
  <si>
    <t>GEOSCIENTIFIC MODEL DEVELOPMENT</t>
  </si>
  <si>
    <t>ANTARCTIC CIRCUMPOLAR CURRENT; CIRCULATION MODEL; DRAKE PASSAGE; PART I; TRANSPORT; ECMWF; WIND; CMIP5; NCEP</t>
  </si>
  <si>
    <t>A quasi-geostrophic model of Southern Hemisphere's wintertime atmospheric circulation with horizontal resolution T21 has been coupled to a global ocean circulation model with a resolution of 2 degrees x 2 degrees and simplified physics. This simplified coupled model reproduces qualitatively some features of the first and the second EOF of atmospheric 833 hPa geopotential height in accordance with NCEP data. The variability patterns of the simplified coupled model have been compared with variability patterns simulated by four complex state-of-the-art coupled CMIP5 models. The first EOF of the simplified model is too zonal and does not reproduce the right position of the centre of action over the Pacific Ocean and its extension to the tropics. The agreement in the second EOF between the simplified and the CMIP5 models is better. The total variance of the simplified model is weaker than the observational variance and those of the CMIP5 models. The transport properties of the Southern Ocean circulation are in qualitative accord with observations. The simplified model exhibits skill in reproducing essential features of decadal and multi-decadal climate variability in the extratropical Southern Hemisphere. Notably, 800 yr long coupled model simulations reveal sea surface temperature fluctuations on the timescale of several decades in the Antarctic Circumpolar Current region.</t>
  </si>
  <si>
    <t>[Kurgansky, M. V.] Russian Acad Sci, AM Obukhov Inst Atmospher Phys, Moscow, Russia; [Olbers, D.] Alfred Wegener Inst Polar &amp; Marine Res, Bremerhaven, Germany; [Eden, C.] Univ Hamburg, Inst Oceanog, Hamburg, Germany; [Sempf, M.] SDA Software Design Ahnert GmbH, Berlin, Germany; [Kurzke, H.; Dethloff, K.; Handorf, D.; Erxleben, S.] Alfred Wegener Inst Polar &amp; Marine Res, Res Unit Potsdam, Potsdam, Germany; [Sempf, M.] Max Planck Inst Plasma Phys, Munich, Germany</t>
  </si>
  <si>
    <t>Russian Academy of Sciences; Obukhov Institute of Atmospheric Physics of Russian Academy of Sciences; Helmholtz Association; Alfred Wegener Institute, Helmholtz Centre for Polar &amp; Marine Research; University of Hamburg; Helmholtz Association; Alfred Wegener Institute, Helmholtz Centre for Polar &amp; Marine Research; Max Planck Society</t>
  </si>
  <si>
    <t>Dethloff, K (corresponding author), Alfred Wegener Inst Polar &amp; Marine Res, Res Unit Potsdam, Potsdam, Germany.</t>
  </si>
  <si>
    <t>klaus.dethloff@awi.de</t>
  </si>
  <si>
    <t>Dethloff, Klaus/B-4879-2014; Kurgansky, Michael/AAT-3531-2021; Kurgansky, Michael/ABG-3991-2021; Handorf, Dorthe/T-1789-2017</t>
  </si>
  <si>
    <t>Kurgansky, Michael/0000-0001-9960-6093; Handorf, Dorthe/0000-0002-3305-6882</t>
  </si>
  <si>
    <t>1991-959X</t>
  </si>
  <si>
    <t>1991-9603</t>
  </si>
  <si>
    <t>GEOSCI MODEL DEV</t>
  </si>
  <si>
    <t>Geosci. Model Dev.</t>
  </si>
  <si>
    <t>10.5194/gmd-5-1161-2012</t>
  </si>
  <si>
    <t>029CE</t>
  </si>
  <si>
    <t>WOS:000310471600007</t>
  </si>
  <si>
    <t>Wang, QF; Hou, YH; Yan, PS</t>
  </si>
  <si>
    <t>Zhu, E; Sambath, S</t>
  </si>
  <si>
    <t>Wang Quan-fu; Hou Yan-hua; Yan Pei-sheng</t>
  </si>
  <si>
    <t>Effect of Cold-Active Protease Treatments on Bigeye Tuna (Thunnus obesus) Meat during Chilled Storage</t>
  </si>
  <si>
    <t>INFORMATION TECHNOLOGY AND AGRICULTURAL ENGINEERING</t>
  </si>
  <si>
    <t>Advances in Intelligent and Soft Computing</t>
  </si>
  <si>
    <t>International Conference on Information Technology and Agricultural Engineering (ICITAE 2011)</t>
  </si>
  <si>
    <t>DEC 01-02, 2011</t>
  </si>
  <si>
    <t>Sanya, PEOPLES R CHINA</t>
  </si>
  <si>
    <t>Cold-active protease; thunnus obesus; free amino acid; taste; shelf-life</t>
  </si>
  <si>
    <t>SEA-ICE; QUALITY; WHOLE</t>
  </si>
  <si>
    <t>The effects of cold-active protease treatments on shelf life and the taste of bigeye Tuna (Thunnus best's) meat during chill storage were examined. The cold-active protease produced by Antarctic sea ice bacteria Pseudoalteromonas sp.NJ276 were sprayed onto the surfaces of fish samples, and then stored at 0 oC for 20 days. The control and the treated fish samples were analyzed periodically for microbiological (total viable count), chemical (pH, TBA, TVB-N and TMA-N), and the amino acids composition. The results indicated that the effect of cold-active protease on fish samples was to extend the shelf life and improve the taste, which had potential application in sea fish processing industry.</t>
  </si>
  <si>
    <t>marry7718@163.com; houyanhua2006@163.com; psyan6@hotmail.com</t>
  </si>
  <si>
    <t>SPRINGER-VERLAG BERLIN</t>
  </si>
  <si>
    <t>HEIDELBERGER PLATZ 3, D-14197 BERLIN, GERMANY</t>
  </si>
  <si>
    <t>1867-5662</t>
  </si>
  <si>
    <t>978-3-642-27536-4</t>
  </si>
  <si>
    <t>ADV INTEL SOFT COMPU</t>
  </si>
  <si>
    <t>Computer Science, Information Systems; Computer Science, Interdisciplinary Applications; Computer Science, Theory &amp; Methods</t>
  </si>
  <si>
    <t>Computer Science</t>
  </si>
  <si>
    <t>BCL99</t>
  </si>
  <si>
    <t>WOS:000310665700106</t>
  </si>
  <si>
    <t>Shuckburgh, EF</t>
  </si>
  <si>
    <t>Simos, TE; Psihoyios, G; Tsitouras, C; Anastassi, Z</t>
  </si>
  <si>
    <t>Shuckburgh, Emily F.</t>
  </si>
  <si>
    <t>Mapping Unstable Manifolds Using Drifters/Floats in a Southern Ocean Field campaign</t>
  </si>
  <si>
    <t>NUMERICAL ANALYSIS AND APPLIED MATHEMATICS (ICNAAM 2012), VOLS A AND B</t>
  </si>
  <si>
    <t>International Conference of Numerical Analysis and Applied Mathematics (ICNAAM)</t>
  </si>
  <si>
    <t>SEP 19-25, 2012</t>
  </si>
  <si>
    <t>Kos, GREECE</t>
  </si>
  <si>
    <t>Lyapunov exponents; mixing processes; ocean eddies; Southern Ocean</t>
  </si>
  <si>
    <t>LAGRANGIAN COHERENT STRUCTURES; TIME LYAPUNOV EXPONENTS; EDDY DIFFUSIVITY; CIRCULATION; TRANSPORT; SINK</t>
  </si>
  <si>
    <t>Ideas from dynamical systems theory have been used in an observational field campaign in the Southern Ocean to provide information on the mixing structure of the flow. Instantaneous snapshops of data from satellite altimetry provide information concerning surface currents at a scale of 100 km or so. We show that by using time-series of satellite altimetry we are able to deduce reliable information about the structure of the surface flow at scales as small as 10 km or so. This information was used in near-real time to provide an estimate of the location of stable and unstable manifolds in the vicinity of the Antarctic Circumpolar Current. As part of a large U.K./U.S. observational field campaign (DIMES: Diapycnal and Isopycnal Mixing Experiment in the Southern Ocean) a number of drifters and floats were then released (at the surface and at a depth of approximately 1 km) close to the estimated hyperbolic point at the intersection of the two manifolds, in several locations with apparently different dynamical characteristics. The subsequent trajectories of the drifters/floats has allowed the unstable manifolds to be tracked, and the relative separation of pairs of floats has allowed an estimation of Lyapunov exponents. The results of these deployments have given insight into the strengths and limitations of the satellite data which does not resolve small scales in the velocity field, and have elucidated the transport and mixing structure of the Southern Ocean at the surface and at depth.</t>
  </si>
  <si>
    <t>Shuckburgh, EF (corresponding author), British Antarctic Survey, Madingley Rd, Cambridge CB3 0ET, England.</t>
  </si>
  <si>
    <t>Shuckburgh, Emily/0000-0001-9206-3444</t>
  </si>
  <si>
    <t>NERC [NE/E005667/1, bas0100028] Funding Source: UKRI</t>
  </si>
  <si>
    <t>NERC(UK Research &amp; Innovation (UKRI)Natural Environment Research Council (NERC))</t>
  </si>
  <si>
    <t>978-0-7354-1091-6</t>
  </si>
  <si>
    <t>10.1063/1.4756218</t>
  </si>
  <si>
    <t>Mathematics, Applied; Physics, Applied</t>
  </si>
  <si>
    <t>Mathematics; Physics</t>
  </si>
  <si>
    <t>BCM17</t>
  </si>
  <si>
    <t>WOS:000310698100159</t>
  </si>
  <si>
    <t>O'Gorman, JP</t>
  </si>
  <si>
    <t>O'Gorman, Jose P.</t>
  </si>
  <si>
    <t>The oldest elasmosaurs (Sauropterygia, Plesiosauria) from Antarctica, Santa Marta Formation (upper Coniacian? Santonian-upper Campanian) and Snow Hill Island Formation (upper Campanian-lower Maastrichtian), James Ross Island</t>
  </si>
  <si>
    <t>Elasmosauridae; Antarctica; Late Cretaceous</t>
  </si>
  <si>
    <t>REPTILIA; STRATIGRAPHY; LAKUMASAURUS; MAUISAURUS; SQUAMATA; BASIN</t>
  </si>
  <si>
    <t>Elasmosaurs are recorded for the first time in the Lachman Crags Member (Beta Member) of the Santa Marta Formation (lower Campanian) and in the Herbert Sound Member of the Snow Hill Island Formation (upper Campanian). These are the first elasmosaurids from James Ross Island, Antarctic Peninsula. These records greatly improve our knowledge of the taxonomic diversity of plesiosaurs of the Santa Marta Formation and Herbert Sound Member of the Snow Hill Island Formation, and extend the lower limit of the record of Elasmosauridae in Antarctica to the lower Campanian, making this the oldest record of an Antarctic elasmosaur.</t>
  </si>
  <si>
    <t>[O'Gorman, Jose P.] Univ Nacl La Plata, Div Paleontol Vertebrados, Museo La Plata, La Plata, Buenos Aires, Argentina; [O'Gorman, Jose P.] Consejo Nacl Invest Cient &amp; Tecn, Buenos Aires, DF, Argentina</t>
  </si>
  <si>
    <t>National University of La Plata; Museo La Plata; Consejo Nacional de Investigaciones Cientificas y Tecnicas (CONICET)</t>
  </si>
  <si>
    <t>O'Gorman, JP (corresponding author), Univ Nacl La Plata, Div Paleontol Vertebrados, Museo La Plata, Paseo Bosque S-N,B1900FWA, La Plata, Buenos Aires, Argentina.</t>
  </si>
  <si>
    <t>joseogorman@fcnym.unlp.edu.ar</t>
  </si>
  <si>
    <t>O’Gorman, José/AAK-6096-2021</t>
  </si>
  <si>
    <t>[PICT 2008-0261]; [PICT 0365/2007]; [PIP 0426]; [UNLP N607]</t>
  </si>
  <si>
    <t>; ; ;</t>
  </si>
  <si>
    <t>This research was supported by funding to projects PICT 2008-0261, PICT 0365/2007, PIP 0426 and UNLP N607. The author thanks Z. Gasparini and L. Salgado for reading an earlier version of the manuscript, and E. Olivero, M. Reguero, N. Cerda, A Paulina-Carabajal and J. Moly for making the Antarctic fieldwork possible and for their comments that improved this manuscript, L. Acosta Burllaile for the preparation of some specimens, Bruno Pianzola for taking the photographs, and C. Deschamps and P. Arregui for improving the English. This contribution would not have been possible without the logistic support from the Instituto Antartico Argentino, as well as from the Argentine Air Force. The author also thanks the MLP, the Museo Nacional de Ciencias Naturales Bernardino Rivadavia, Museo Nacional de Historia Natural de Chile, Museo Paleontologico Egidio Feruglio, the Museo Municipal de Lamarque, the Museo de Cinco Saltos and the Museo de la Universidad del Comahue for permission to review their plesiosaur materials. Finally, the author thanks reviewers Tamaki Sato and Peggy Vincent and anonymous reviewers for comments that improved this manuscript.</t>
  </si>
  <si>
    <t>10.3402/polar.v31i0.11090</t>
  </si>
  <si>
    <t>030MP</t>
  </si>
  <si>
    <t>WOS:000310575100001</t>
  </si>
  <si>
    <t>Zacny, K; Paulsen, G; Mellerowicz, B; Craft, J; McKay, C; Glass, B; Davila, A; Marinova, M; Pollard, W</t>
  </si>
  <si>
    <t>Zacny, Kris; Paulsen, Gale; Mellerowicz, Boleslaw; Craft, Jack; McKay, Chris; Glass, Brian; Davila, Alfonso; Marinova, Margarita; Pollard, Wayne</t>
  </si>
  <si>
    <t>LunarVader: Testing of a 1 meter Lunar Drill in a 3.5 meter Vacuum Chamber and in the Antarctic Lunar Analog Site</t>
  </si>
  <si>
    <t>2012 IEEE AEROSPACE CONFERENCE</t>
  </si>
  <si>
    <t>IEEE Aerospace Conference Proceedings</t>
  </si>
  <si>
    <t>IEEE Aerospace Conference</t>
  </si>
  <si>
    <t>MAR 03-10, 2012</t>
  </si>
  <si>
    <t>Big Sky, MT</t>
  </si>
  <si>
    <t>WATER</t>
  </si>
  <si>
    <t>In this paper we report on the development of a rotary-percussive sampling drill, LunarVader. The purpose of the drill is to penetrate at least 1 meter in icy-regolith and acquire sub-surface sample for science analysis and for the In Situ Resource Utilization (ISRU). The drill was tested in a lunar analog site of the Ross Island, in the Antarctic and inside the 3.5 meter vacuum chamber in ice-bound JSC-1a lunar soil simulant. In both cases, the drill reached similar to 1 meter depth in approximately one hour. The average power was 100 Watts and Weight on Bit was less than 100 Newton. This corresponds to the drilling energy of 100 Whr. In each case approximately 500 grams of sample was recovered and autonomously deposited into a sterile bag.</t>
  </si>
  <si>
    <t>[Zacny, Kris; Paulsen, Gale; Mellerowicz, Boleslaw] Honeybee Robot, 398 W Washington Blvd,Suite 200, Pasadena, CA 91103 USA; [Craft, Jack] Honeybee Robot, New York, NY 10001 USA; [McKay, Chris; Glass, Brian; Davila, Alfonso; Marinova, Margarita] NASA, Ames Res Ctr, Moffett Field, CA 94035 USA; [Pollard, Wayne] McGill Univ, Montreal, PQ, Canada</t>
  </si>
  <si>
    <t>National Aeronautics &amp; Space Administration (NASA); NASA Ames Research Center; McGill University</t>
  </si>
  <si>
    <t>Zacny, K (corresponding author), Honeybee Robot, 398 W Washington Blvd,Suite 200, Pasadena, CA 91103 USA.</t>
  </si>
  <si>
    <t>zacny@honeybeerobotics.com; paulsen@honeybeerobotics.com; mellerowicz@honeybeerobotics.com; craft@honeybeerobotics.com; chris.mckay@nasa.gov; Brian.Glass@nasa.gov; adavila@seti.org; margarita.m.marinova@nasa.gov; wayne.pollard@mcgill.ca</t>
  </si>
  <si>
    <t>Davila, Alfonso F/A-2198-2013</t>
  </si>
  <si>
    <t>US Antarctic Program National Science Foundation Office of Polar Programs</t>
  </si>
  <si>
    <t>The research reported in this manuscript was conducted by Honeybee Robotics under various contracts with the National Aeronautics and Space Administration (NASA), including the Astrobiology Science and Technology for Exploring Planets (ASTEP) and Small Business Innovative Research program. Testing in Antarctica was supported by the US Antarctic Program as part of the National Science Foundation Office of Polar Programs.</t>
  </si>
  <si>
    <t>1095-323X</t>
  </si>
  <si>
    <t>978-1-4577-0557-1</t>
  </si>
  <si>
    <t>AEROSP CONF PROC</t>
  </si>
  <si>
    <t>Engineering, Aerospace</t>
  </si>
  <si>
    <t>BBZ12</t>
  </si>
  <si>
    <t>WOS:000309105300054</t>
  </si>
  <si>
    <t>Weng, T; Tao, NP; Wang, XC; Jin, YZ</t>
  </si>
  <si>
    <t>Wen, YX; Lei, FH</t>
  </si>
  <si>
    <t>Weng, Ting; Tao, Ningping; Wang, Xichang; Jin, Yinzhe</t>
  </si>
  <si>
    <t>Supercritical Carbon Dioxide Extraction of Volatile Compounds from Antarctic krill (Euphausia superba)</t>
  </si>
  <si>
    <t>ADVANCES IN CHEMICAL ENGINEERING, PTS 1-3</t>
  </si>
  <si>
    <t>Advanced Materials Research</t>
  </si>
  <si>
    <t>International Conference on Chemical, Material and Metallurgical Engineering (ICCMME 2011)</t>
  </si>
  <si>
    <t>DEC 23-25, 2011</t>
  </si>
  <si>
    <t>Beihai, PEOPLES R CHINA</t>
  </si>
  <si>
    <t>Antarctic krill; Volatile compounds; Supercritical carbon dioxide (SC-CO2) extraction; Headspace solid phase microextraction (HS-SPME); Gas chromatography/mass spectrometry (GC/MS)</t>
  </si>
  <si>
    <t>FLAVOR COMPONENTS; IDENTIFICATION; PASTE</t>
  </si>
  <si>
    <t>Supercritical carbon dioxide (SC-CO2) extraction and simultaneous distillation extraction (SDE) were used to determine the volatile composition of Antarctic krill (Euphausia superba). The optimal extraction conditions for the oils yield within the experimental range of variables examined were temperature 40 C, pressure 60 MPa, and extraction time 150 min. The maximum measured extraction yield was 12.34 +/- 0.20 %. The chemical composition of the volatile compounds was adsorpted and analyzed by headspace solid phase microextraction (HS-SPME) and gas chromatography/mass spectrometry (GC/MS), respectively. A total of 35 compounds were identified including 2 alcohols, 6 aldehydes, 1 ketone, 2 furans, 4 acids, 2 amines, 5 aromatic compounds, and 13 hydrocarbons.</t>
  </si>
  <si>
    <t>[Weng, Ting; Tao, Ningping; Wang, Xichang; Jin, Yinzhe] Shanghai Ocean Univ, Coll Food Sci &amp; Technol, Shanghai 201306, Peoples R China</t>
  </si>
  <si>
    <t>Shanghai Ocean University</t>
  </si>
  <si>
    <t>Weng, T (corresponding author), Shanghai Ocean Univ, Coll Food Sci &amp; Technol, 999 Hucheng Huan Rd, Shanghai 201306, Peoples R China.</t>
  </si>
  <si>
    <t>wengting@yeah.net; nptao@shou.edu.cn; xcwang@shou.edu.cn; yzjin@shou.edu.cn</t>
  </si>
  <si>
    <t>1022-6680</t>
  </si>
  <si>
    <t>978-3-03785-308-5</t>
  </si>
  <si>
    <t>ADV MATER RES-SWITZ</t>
  </si>
  <si>
    <t>396-398</t>
  </si>
  <si>
    <t>10.4028/www.scientific.net/AMR.396-398.2074</t>
  </si>
  <si>
    <t>Engineering, Chemical; Materials Science, Multidisciplinary</t>
  </si>
  <si>
    <t>BBY63</t>
  </si>
  <si>
    <t>WOS:000308830101072</t>
  </si>
  <si>
    <t>Price, PB; Bay, RC</t>
  </si>
  <si>
    <t>Price, P. B.; Bay, R. C.</t>
  </si>
  <si>
    <t>Marine bacteria in deep Arctic and Antarctic ice cores: a proxy for evolution in oceans over 300 million generations</t>
  </si>
  <si>
    <t>GLACIAL ICE; HIGH-RESOLUTION; SOUTHERN-OCEAN; DUST; PROCHLOROCOCCUS; SYNECHOCOCCUS; GREENLAND; ORIGIN; GENOME; MICROORGANISMS</t>
  </si>
  <si>
    <t>Using fluorescence spectrometry to map autofluorescence of chlorophyll (Chl) and tryptophan (Trp) versus depth in polar ice cores in the US National Ice Core Laboratory, we found that the Chl and Trp concentrations often showed an annual modulation of up to 25 %, with peaks at depths corresponding to local summers. Using epifluorescence microscopy (EFM) and flow cytometry (FCM) triggered on red fluorescence at 670 nm to study microbes from unstained melts of the polar ice, we inferred that picocyanobacteria may have been responsible for the red fluorescence in the cores. Micron-size bacteria in all ice melts from Arctic and Antarctic sites showed FCM patterns of scattering and of red vs. orange fluorescence (interpreted as due to Chl vs. phycoerythrin (PE)) that bore similarities to patterns of cultures of unstained picocyanobacteria Prochlorococcus and Synechococcus. Concentrations in ice from all sites were low, but measurable at similar to 1 to similar to 10(3) cells cm(-3). Calibrations showed that FCM patterns of mineral grains and volcanic ash could be distinguished from microbes with high efficiency by triggering on scattering instead of by red fluorescence. Average Chl and PE autofluorescence intensities showed no decrease per cell with time during up to 150 000 yr of storage in glacial ice. Taking into account the annual modulation of similar to 25% and seasonal changes of ocean temperatures and winds, we suggest that picocyanobacteria are wind-transported year-round from warmer ocean waters onto polar ice. Ice cores offer the opportunity to study evolution of marine microbes over similar to 300 million generations by analysing their genomes vs. depth in glacial ice over the last 700 000 yr as frozen proxies for changes in their genomes in oceans.</t>
  </si>
  <si>
    <t>[Price, P. B.; Bay, R. C.] Univ Calif Berkeley, Dept Phys, Berkeley, CA 94720 USA</t>
  </si>
  <si>
    <t>University of California System; University of California Berkeley</t>
  </si>
  <si>
    <t>Price, PB (corresponding author), Univ Calif Berkeley, Dept Phys, Berkeley, CA 94720 USA.</t>
  </si>
  <si>
    <t>bprice@berkeley.edu</t>
  </si>
  <si>
    <t>NSF [ANT-0738568, ANT-1142178]; Directorate For Geosciences [1142173] Funding Source: National Science Foundation; Directorate For Geosciences; Office of Polar Programs (OPP) [1142178] Funding Source: National Science Foundation; Office of Polar Programs (OPP) [1142173] Funding Source: National Science Foundation</t>
  </si>
  <si>
    <t>NSF(National Science Foundation (NSF)); Directorate For Geosciences(National Science Foundation (NSF)NSF - Directorate for Geosciences (GEO)); Directorate For Geosciences; Office of Polar Programs (OPP)(National Science Foundation (NSF)NSF - Directorate for Geosciences (GEO)); Office of Polar Programs (OPP)(National Science Foundation (NSF)NSF - Directorate for Geosciences (GEO))</t>
  </si>
  <si>
    <t>We thank Nathan Bramall, Robert Rohde and Delia Tosi for construction, operation and analysis of data from the Berkeley Fluorescence Spectrometer; Steve Ruzin for training students in EFM and providing his live/dead stain; Hector Nolla for operating the Cytopeia Influx Sorter; students Tong Liu, Elaine Lee, Lisa Chen and Joyce Lee for laboratory assistance; and Dave Parks for advice on flow cytometry. We thank Kathryn Johnson for cultures of Pro and Syn, Kate Mackey for cultures of five strains of Syn, Alex Worden for cultures of Ostreo, Gustaf Arrhenius for grains of many minerals commonly found in ice cores, Chris McKay for volcanic ash, Mars soil simulant and Dry Valleys soil, the EPICA steering committee for providing ice from Dome C, Joe McConnell for ice from the US-Norwegian traverse and Greenland site D4, Jeff Severinghaus for someWAIS Divide ice core samples, Bess Koffman for her data on particle distributions in the WAIS06A ice core, and the National Ice Core Laboratory staff for the other ice samples. Price thanks Lisa Moore, Alex Glazer, Kate Mackey, Eric Wolff, Alex Worden, Steve Giovannoni, Kevin Vergin, Richard Lenski, Jeffrey Morris, Takahiro Segawa and Hideaki Motoyama for discussions. Price and Bay acknowledge partial support from NSF Grants ANT-0738568 and ANT-1142178.</t>
  </si>
  <si>
    <t>10.5194/bg-9-3799-2012</t>
  </si>
  <si>
    <t>029CG</t>
  </si>
  <si>
    <t>WOS:000310471800007</t>
  </si>
  <si>
    <t>Takao, S; Hirawake, T; Wright, SW; Suzuki, K</t>
  </si>
  <si>
    <t>Takao, S.; Hirawake, T.; Wright, S. W.; Suzuki, K.</t>
  </si>
  <si>
    <t>Variations of net primary productivity and phytoplankton community composition in the Indian sector of the Southern Ocean as estimated from ocean color remote sensing data</t>
  </si>
  <si>
    <t>WESTERN ANTARCTIC PENINSULA; HPLC PIGMENT SIGNATURES; MARGINAL ICE-ZONE; CARBON-DIOXIDE; SEA-ICE; ATLANTIC SECTOR; CHLOROPHYLL-A; BIOLOGICAL PRODUCTIVITY; CIRCUMPOLAR CURRENT; AUSTRALIAN SECTOR</t>
  </si>
  <si>
    <t>Phytoplankton population dynamics play an important role in biogeochemical cycles in the Southern Ocean during austral summer. Recent environmental changes such as a rise in sea surface temperature (SST) are likely to impact on net primary productivity (NPP) and phytoplankton community composition. However, their spatiotemporal relationships are still unclear in the Southern Ocean. Here we assessed the relationships between NPP, dominant phytoplankton groups, and SST in the Indian sector of the Southern Ocean over the past decade (1997-2007) using satellite remote sensing data. As a result, we found a statistically significant reduction in NPP in the polar frontal zone over the past decade during austral summer. Moreover, the decrease in NPP positively correlated with the dominance of diatoms (Kendall's rank correlation tau = 0.60) estimated by a phytoplankton community composition model, but not correlated with SST. In the seasonal ice zone, NPP correlated with not only the dominance of diatoms positively (tau = 0.56), but also the dominance of haptophytes (tau = -0.54) and SST (tau = -0.54) negatively. Our results suggested that summer NPP values were strongly affected by the phytoplankton community composition in the Indian sector of the Southern Ocean.</t>
  </si>
  <si>
    <t>[Takao, S.; Suzuki, K.] Hokkaido Univ, Grad Sch Environm Sci, Kita Ku, Sapporo, Hokkaido 0600810, Japan; [Hirawake, T.] Hokkaido Univ, Fac Fisheries Sci, Hakodate, Hokkaido 0418611, Japan; [Wright, S. W.] Australian Antarctic Div, Kingston, Tas 7050, Australia; [Wright, S. W.] Univ Tasmania, Antarctic Climate &amp; Ecosyst Cooperat Res Ctr, Hobart, Tas 7001, Australia; [Suzuki, K.] Hokkaido Univ, Fac Environm Earth Sci, Kita Ku, Sapporo, Hokkaido 0600810, Japan; [Suzuki, K.] Japan Sci &amp; Technol Agcy, CREST, Kita Ku, Sapporo, Hokkaido 0600810, Japan</t>
  </si>
  <si>
    <t>Hokkaido University; Hokkaido University; Australian Antarctic Division; University of Tasmania; Antarctic Climate &amp; Ecosystems Cooperative Research Centre (ACE CRC); Hokkaido University; Japan Science &amp; Technology Agency (JST)</t>
  </si>
  <si>
    <t>Takao, S (corresponding author), Hokkaido Univ, Grad Sch Environm Sci, Kita Ku, North 10 West 5, Sapporo, Hokkaido 0600810, Japan.</t>
  </si>
  <si>
    <t>takao@ees.hokudai.ac.jp</t>
  </si>
  <si>
    <t>Takao, Shintaro/M-8269-2019; Suzuki, Koji/AAD-2630-2022; Suzuki, Koji/GVS-9807-2022; Suzuki, Koji/A-4349-2013</t>
  </si>
  <si>
    <t>Suzuki, Koji/0000-0001-5354-1044; Suzuki, Koji/0000-0001-5354-1044; Hirawake, Toru/0000-0003-0274-6642</t>
  </si>
  <si>
    <t>Japan Society for the Promotion of Science (JSPS); JARE STAGE program; JAXA GCOM-C program; Australian government's Cooperative Research Centres Programme through the Antarctic Climate and Ecosystems Cooperative Research Centre (ACE CRC); Grants-in-Aid for Scientific Research [24121004, 10J01743, 22310002] Funding Source: KAKEN</t>
  </si>
  <si>
    <t>Japan Society for the Promotion of Science (JSPS)(Ministry of Education, Culture, Sports, Science and Technology, Japan (MEXT)Japan Society for the Promotion of Science); JARE STAGE program; JAXA GCOM-C program; Australian government's Cooperative Research Centres Programme through the Antarctic Climate and Ecosystems Cooperative Research Centre (ACE CRC)(Australian GovernmentDepartment of Industry, Innovation and ScienceCooperative Research Centres (CRC) Programme); Grants-in-Aid for Scientific Research(Ministry of Education, Culture, Sports, Science and Technology, Japan (MEXT)Japan Society for the Promotion of ScienceGrants-in-Aid for Scientific Research (KAKENHI))</t>
  </si>
  <si>
    <t>We would like to thank the captain and crews of the TR/V Umitaka-Maru, and many other colleagues on board for their assistance in collecting samples during the cruises. We thank the Distributed Active Archive Center (DAAC) at the Goddard Space Flight Center and DAAC at the Physical Oceanography for the production and distribution of satellite data. Thanks are also given to Severine Alvain for providing the PHYSAT look-up-table and constructive comments. Finally, we appreciate the editor and an anonymous reviewer for providing valuable comments that improved the manuscript significantly. This work was partly supported by the Japan Society for the Promotion of Science (JSPS), JARE STAGE program, JAXA GCOM-C program and the Australian government's Cooperative Research Centres Programme through the Antarctic Climate and Ecosystems Cooperative Research Centre (ACE CRC).</t>
  </si>
  <si>
    <t>10.5194/bg-9-3875-2012</t>
  </si>
  <si>
    <t>Green Submitted, gold, Green Accepted</t>
  </si>
  <si>
    <t>WOS:000310471800011</t>
  </si>
  <si>
    <t>Gardner, A; Moholdt, G; Arendt, A; Wouters, B</t>
  </si>
  <si>
    <t>Gardner, A.; Moholdt, G.; Arendt, A.; Wouters, B.</t>
  </si>
  <si>
    <t>Accelerated contributions of Canada's Baffin and Bylot Island glaciers to sea level rise over the past half century</t>
  </si>
  <si>
    <t>BARNES-ICE-CAP; INCREASED MASS-LOSS; ELEVATION CHANGES; ACCURACY ASSESSMENT; ARCTIC ARCHIPELAGO; LASER ALTIMETRY; BALANCE; SURFACE; GRACE; SHEET</t>
  </si>
  <si>
    <t>Canadian Arctic glaciers have recently contributed large volumes of meltwater to the world's oceans. To place recently observed glacier wastage into a historical perspective and to determine the region's longer-term (similar to 50 years) contribution to sea level, we estimate mass and volume changes for the glaciers of Baffin and Bylot Islands using digital elevation models generated from airborne and satellite stereoscopic imagery and elevation postings from repeat airborne and satellite laser altimetry. In addition, we update existing glacier mass change records from GRACE satellite gravimetry to cover the period from 2003 to 2011. Using this integrated approach, we find that the rate of mass loss from the region's glaciers increased from 11.1 +/- 3.4 Gt a(-1) (271 +/- 84 kg m(-2) a(-1)) for the period 1963-2006 to 23.8 +/- 6.1 Gt a-1 (581 +/- 149 kgm(-2) a(-1)) for the period 2003-2011. The doubling of the rate of mass loss is attributed to higher temperatures in summer with little change in annual precipitation. Through both direct and indirect effects, changes in summer temperatures accounted for 70-98% of the variance in the rate of mass loss, to which the Barnes Ice Cap was found to be 1.7 times more sensitive than either the Penny Ice Cap or the region's glaciers as a whole. This heightened sensitivity is the result of a glacier hypsometry that is skewed to lower elevations, which are shown to have a higher mass change sensitive to temperature compared to glacier surfaces at higher elevations. Between 2003 and 2011 the glaciers of Baffin and Bylot Islands contributed 0.07 +/- 0.02 mma(-1) to sea level rise accounting for 16% of the total contribution from glaciers outside of Green-land and Antarctica, a rate much higher than the longer-term average of 0.03 +/- 0.01 mma(-1) (1963 to 2006).</t>
  </si>
  <si>
    <t>[Gardner, A.] Clark Univ, Clark Grad Sch Geog, Worcester, MA 01610 USA; [Gardner, A.] Univ Michigan, Dept Atmospher Ocean &amp; Space Sci, Ann Arbor, MI 48109 USA; [Moholdt, G.] Univ Calif San Diego, Scripps Inst Oceanog, Inst Geophys &amp; Planetary Phys, La Jolla, CA 92093 USA; [Arendt, A.] Univ Alaska, Inst Geophys, Fairbanks, AK 99775 USA; [Wouters, B.] Royal Netherlands Meteorol Inst, NL-3730 AE De Bilt, Netherlands</t>
  </si>
  <si>
    <t>Clark University; University of Michigan System; University of Michigan; University of California System; University of California San Diego; Scripps Institution of Oceanography; University of Alaska System; University of Alaska Fairbanks; Royal Netherlands Meteorological Institute</t>
  </si>
  <si>
    <t>Gardner, A (corresponding author), Clark Univ, Clark Grad Sch Geog, Worcester, MA 01610 USA.</t>
  </si>
  <si>
    <t>agardner@clarku.edu</t>
  </si>
  <si>
    <t>Wouters, Bert/AAA-4254-2019</t>
  </si>
  <si>
    <t>Wouters, Bert/0000-0002-1086-2435; Gardner, Alex/0000-0002-8394-8889; Arendt, Anthony/0000-0003-0429-6905</t>
  </si>
  <si>
    <t>NSERC Canada; NASA Cryospheric Sciences [NNH07ZDA001N-CRYO]</t>
  </si>
  <si>
    <t>NSERC Canada(Natural Sciences and Engineering Research Council of Canada (NSERC)); NASA Cryospheric Sciences(National Aeronautics &amp; Space Administration (NASA))</t>
  </si>
  <si>
    <t>We thank A. Beaulieu (Natural Resources Canada) for helping us navigate CDED, E. Berthier (Universite de Toulouse) and N. Barrand (British Antarctic Survey) for helping us with the SPOT DEMs, F. Paul (University of Zurich) for generously sharing glacier outlines, and R. Riva and P. Stocchi (TU Delf) for providing glacial isostatic adjustment models. We thank M. Van den Broeke and two anonymous reviewers for their informed and helpful comments. A. Gardner thanks M. Flanner for his support. We thank the many data providers: National Snow and Ice Data Center (ICESat), the Center for Space Research at University of Texas (GRACE), the IPY-SPIRIT project (SPOT-5 DEMs), the US Geological Survey (Landsat imagery), GeoBase (CDED), NOAA/ESRL/PSD (NCEP/NCAR R1), Environment Canada (station data), W. Krabill and the NASA Airborne Topographic Mapping program (pre-IceBridge ATM data) and the National Snow and Ice Data Center (IceBridge ATM data). This work was supported by funding to A. Gardner from NSERC Canada and by funding from NASA Cryospheric Sciences grant NNH07ZDA001N-CRYO to A. Arendt.</t>
  </si>
  <si>
    <t>10.5194/tc-6-1103-2012</t>
  </si>
  <si>
    <t>028ZW</t>
  </si>
  <si>
    <t>WOS:000310465500013</t>
  </si>
  <si>
    <t>Liu, L; Liu, CC; Li, JL</t>
  </si>
  <si>
    <t>Xu, QJ; Ge, HH; Zhang, JX</t>
  </si>
  <si>
    <t>Liu, Li; Liu, Chengchu; Li, Jiale</t>
  </si>
  <si>
    <t>Comparison of Biochemical Composition and Nutritional Value of Antarctic Krill (Euphausia superb) with Several Species of Shrimps</t>
  </si>
  <si>
    <t>NATURAL RESOURCES AND SUSTAINABLE DEVELOPMENT, PTS 1-3</t>
  </si>
  <si>
    <t>International Conference on Energy, Environment and Sustainable Development (ICEESD 2011)</t>
  </si>
  <si>
    <t>OCT 21-23, 2011</t>
  </si>
  <si>
    <t>Shanghai Univ Elect Power, Shanghai, PEOPLES R CHINA</t>
  </si>
  <si>
    <t>Shanghai Univ Elect Power</t>
  </si>
  <si>
    <t>Antarctic krill; nutritive quality; food safety; protein and essential amino acids; minerals and heavy metals; shrimps</t>
  </si>
  <si>
    <t>CORONARY-HEART-DISEASE; GLUTATHIONE-PEROXIDASE; FATTY-ACIDS; SUPPLEMENTATION</t>
  </si>
  <si>
    <t>Antarctic krill (Euphausia superb) is a species of krill (shrimp-like crustaceans) found in the Antarctic waters of the Southern Ocean. It is the most abundant species of krill, which catchable stock is believed to amount up to 10 million tons per year, and may be the most potential marine resource for utilization as food in the world. This paper compared the nutritional components and heavy metals of edible portions of Antarctic krill, greasy-back shrimp (Metapenaeus ensis), Chinese white prawn (Exopalaemon modestus), and oriental river prawn (Macrobrachium nipponense). Antarctic krill meat contained 76.39% of water, 17.22% of crude proteins, 2.66% of crude lipids, and 1.43% of ashes, respectively. At dry basis, Antarctic krill had relatively lower content of crude protein (72.92%) than oriental river prawn (85.35%), greasy-back shrimp (81.12%), or Chinese white prawn (78.18%). However, it had significantly higher lipid content (11.25%) than the three species of shrimps (4.89%similar to 6.65%). And the total amino acids in dry samples of Antarctic krill meat was 74.46g/100g, which was lower than the shrimps, but the essential amino acid content (45.90g/100g protein) was higher than others. Regarding to minerals, no significant difference was found in Antarctic krill and the shrimps, with exceptions that Antarctic krill contained two to three times higher content of magnesium (458.28mg/100g) and copper (4.96mg/100g) than shrimps. In addition, the heavy metals including lead (Pb), mercury (Hg), arsenic (As), chromium (Cr) in Antarctic krill meat met the limit standard of contaminants in aquatic products. But fluorine content of Antarctic krill meat surpassed the safety limit (2.0mg/kg) and might be a safety concern.</t>
  </si>
  <si>
    <t>[Liu, Li; Liu, Chengchu] Shanghai Ocean Univ, Coll Food Sci &amp; Technol, Shanghai 201306, Peoples R China; [Liu, Chengchu] Shanghai Ocean Univ, Inst Marine Sci, Shanghai 201306, Peoples R China; [Li, Jiale] Shanghai Ocean Univ, Minist Educ, Key Lab Explorat &amp; Utilizat Aquat Genet Resourc, Shanghai 201306, Peoples R China; [Li, Jiale] E Inst Shanghai Univ, Aquaculture Div, Shanghai 201306, Peoples R China</t>
  </si>
  <si>
    <t>Shanghai Ocean University; Shanghai Ocean University; Shanghai Ocean University</t>
  </si>
  <si>
    <t>Liu, CC (corresponding author), Shanghai Ocean Univ, Coll Food Sci &amp; Technol, Shanghai 201306, Peoples R China.</t>
  </si>
  <si>
    <t>liuliniuer@126.com; chengchuliu@yahoo.com; jlli@shou.edu.cn</t>
  </si>
  <si>
    <t>li, jia/GVT-7587-2022</t>
  </si>
  <si>
    <t>Innovative Research Team in Universities in Shanghai; Leading Academic Discipline Project of Shanghai Municipal Education Commission [J50704]</t>
  </si>
  <si>
    <t>Innovative Research Team in Universities in Shanghai; Leading Academic Discipline Project of Shanghai Municipal Education Commission(Shanghai Leading Academic Discipline Project)</t>
  </si>
  <si>
    <t>This work was supported by Program for Innovative Research Team in Universities in Shanghai, and Leading Academic Discipline Project of Shanghai Municipal Education Commission (J50704).</t>
  </si>
  <si>
    <t>978-3-03785-268-2</t>
  </si>
  <si>
    <t>361-363</t>
  </si>
  <si>
    <t>10.4028/www.scientific.net/AMR.361-363.799</t>
  </si>
  <si>
    <t>Energy &amp; Fuels; Engineering, Environmental; Environmental Sciences</t>
  </si>
  <si>
    <t>Energy &amp; Fuels; Engineering; Environmental Sciences &amp; Ecology</t>
  </si>
  <si>
    <t>BCA18</t>
  </si>
  <si>
    <t>WOS:000309373900147</t>
  </si>
  <si>
    <t>Cenizo, MM</t>
  </si>
  <si>
    <t>Cenizo, Marcos M.</t>
  </si>
  <si>
    <t>Review of the putative Phorusrhacidae from the Cretaceous and Paleogene of Antarctica: new records of ratites and pelagornithid birds</t>
  </si>
  <si>
    <t>POLISH POLAR RESEARCH</t>
  </si>
  <si>
    <t>Antarctica; fossil birds; Cretaceous; Eocene</t>
  </si>
  <si>
    <t>BONY-TOOTHED BIRD; MIDDLE EOCENE; PHYLOGENETIC AFFINITIES; SEYMOUR ISLAND; AVES; MIOCENE; PATAGONIA; DIVERSITY; EVOLUTION; PENGUINS</t>
  </si>
  <si>
    <t>Remains referred to Phorusrhacidae from the Cretaceous and Paleogene of the Antarctic Peninsula, and mainly known through informal and succinct descriptions, are reassigned here to other bird lineages recorded in the Antarctic continent. New records of ratites, pelagomithid birds, and penguins are added to the Upper Eocene avifauna of Seymour Island. Moreover, the original allocation for an alleged cursorial seriema-like bird from the Maastrichtian of Vega Island is refuted, and its affinities with foot-propelled diving birds are indicated. The indeterminate Pelagomithidae specimen represents the largest pseudo-toothed bird known so far. It is concluded that there is no empirical evidence for the presence of terror birds in Antarctica.</t>
  </si>
  <si>
    <t>Univ Nacl La Pampa, Fac Ciencias Exactas &amp; Nat, RA-6300 Santa Rosa, La Pampa, Argentina</t>
  </si>
  <si>
    <t>Cenizo, MM (corresponding author), Univ Nacl La Pampa, Fac Ciencias Exactas &amp; Nat, Uruguay 151, RA-6300 Santa Rosa, La Pampa, Argentina.</t>
  </si>
  <si>
    <t>cenizomarcos@yahoo.com.ar</t>
  </si>
  <si>
    <t>Cenizo, Marcos/M-5144-2019</t>
  </si>
  <si>
    <t>Cenizo, Marcos/0000-0001-9301-0205</t>
  </si>
  <si>
    <t>POLSKA AKAD NAUK, POLISH ACAD SCIENCES</t>
  </si>
  <si>
    <t>WARSZAWA</t>
  </si>
  <si>
    <t>PL DEFILAD 1, WARSZAWA, 00-901, POLAND</t>
  </si>
  <si>
    <t>0138-0338</t>
  </si>
  <si>
    <t>2081-8262</t>
  </si>
  <si>
    <t>POL POLAR RES</t>
  </si>
  <si>
    <t>Pol. Polar. Res.</t>
  </si>
  <si>
    <t>10.2478/v10183-012-0014-3</t>
  </si>
  <si>
    <t>028KS</t>
  </si>
  <si>
    <t>WOS:000310421800003</t>
  </si>
  <si>
    <t>Jadwiszczak, P</t>
  </si>
  <si>
    <t>Jadwiszczak, Piotr</t>
  </si>
  <si>
    <t>Partial limb skeleton of a giant penguin Anthropornis from the Eocene of Antarctic Peninsula</t>
  </si>
  <si>
    <t>Antarctica; Seymour Island; Eocene La Meseta Formation; Sphenisciformes; Anthropornis; wing; hind limb</t>
  </si>
  <si>
    <t>LA MESETA FORMATION; MARAMBIO SEYMOUR ISLAND; FOSSIL PENGUINS; AVES; SPHENISCIFORMES; OLIGOCENE; RECORD; STRATA; VALLEY; BIRDS</t>
  </si>
  <si>
    <t>The fossil record of the Antarctic penguins is dated to the late Paleocene of Seymour (Marambio) Island, but the largest sphenisciforms, genera Anthropornis and Palaeeudyptes, originate from the Eocene La Meseta Formation. Here, the most complete large-scale reconstruction of a limb skeleton (a whole wing and a partial hind leg) of a Paleogene Antarctic penguin is reported. All bones are attributable to a single individual identified as Anthropornis sp. The comparative and functional analyses of the material indicate that this bird was most probably well-adapted to land and sea while having a number of intriguing features. The modern-grade carpometacarpal morphology is unique among known Eocene Antarctic species and all but one more northerly taxa.</t>
  </si>
  <si>
    <t>Uniwersytet Bialymstoku, Inst Biol, PL-15950 Bialystok, Poland</t>
  </si>
  <si>
    <t>University of Bialystok</t>
  </si>
  <si>
    <t>Jadwiszczak, P (corresponding author), Uniwersytet Bialymstoku, Inst Biol, Ul Swierkowa 20B, PL-15950 Bialystok, Poland.</t>
  </si>
  <si>
    <t>piotrj@uwb.edu.pl</t>
  </si>
  <si>
    <t>Jadwiszczak, Piotr/P-4336-2019; Jadwiszczak, Piotr/K-5136-2014</t>
  </si>
  <si>
    <t>Jadwiszczak, Piotr/0000-0002-5263-1125;</t>
  </si>
  <si>
    <t>SYNTHESYS; European Community Research Infrastructure Action under FP6; FP7 Structuring the European Research Area Programme [SETAF-4399, GBTAF-987]</t>
  </si>
  <si>
    <t>SYNTHESYS; European Community Research Infrastructure Action under FP6; FP7 Structuring the European Research Area Programme</t>
  </si>
  <si>
    <t>I would like to thank Marcelo Reguero and Carolina Acosta Hospitaleche (Museo de La Plata, Argentina) for their invitation to La Plata and permission to use bones from the Argentine collection. I am thankful to Olavi Gronwall (Department of Vertebrate Zoology, Swedish Museum of Natural History, Stockholm, Sweden) for giving access to the collection of Recent penguins. I am indebted to Steven Emslie (University of North Carolina, Wilmington, U.S.A.) and Carolina Acosta Hospitaleche for their helpful reviews. I appreciate the financial support through SYNTHESYS funding made available by the European Community Research Infrastructure Action under the FP6 and FP7 Structuring the European Research Area Programme; projects SETAF-4399 and GBTAF-987 respectively.</t>
  </si>
  <si>
    <t>10.2478/v10183-012-0017-0</t>
  </si>
  <si>
    <t>WOS:000310421800004</t>
  </si>
  <si>
    <t>Majewski, W; Olempska, E; Kaim, A; Anderson, JB</t>
  </si>
  <si>
    <t>Majewski, Wojciech; Olempska, Ewa; Kaim, Andrzej; Anderson, John B.</t>
  </si>
  <si>
    <t>Rare calcareous microfossils from Middle Miocene strata, Weddell Sea off Antarctic Peninsula</t>
  </si>
  <si>
    <t>West Antarctica; benthic foraminifera; ostracods; gastropods; reworking</t>
  </si>
  <si>
    <t>FORAMINIFERA; GASTROPOD; ISLAND</t>
  </si>
  <si>
    <t>The calcareous microfossil assemblage from Middle Miocene strata of SHALDRIL Site NBP0602A-5D consists of benthic foraminifera, ostracods, bivalves, and gastropods, and is interpreted as shallow-water. It appears to be reworked but its age is probably similar to the age of the host sediment, which contains only rare, fragmented, agglutinated foraminifera. Most of the calcareous taxa are of uncertain taxonomic affiliation, due to the scarcity of Cenozoic microfossils of this age from West Antarctica, and also the very different paleohabitat of this now extinct assemblage.</t>
  </si>
  <si>
    <t>[Majewski, Wojciech; Olempska, Ewa; Kaim, Andrzej] Polish Acad Sci, Inst Paleobiol, PL-00818 Warsaw, Poland; [Anderson, John B.] Rice Univ, Dept Earth Sci, Houston, TX 77251 USA</t>
  </si>
  <si>
    <t>Polish Academy of Sciences; Institute of Paleobiology of the Polish Academy of Sciences; Rice University</t>
  </si>
  <si>
    <t>Majewski, W (corresponding author), Polish Acad Sci, Inst Paleobiol, Ul Twarda 51-55, PL-00818 Warsaw, Poland.</t>
  </si>
  <si>
    <t>wmaj@twarda.pan.pl; olempska@twarda.pan.pl; kaim@twarda.pan.pl; johna@rice.edu</t>
  </si>
  <si>
    <t>Anderson, John/B-1011-2012; Olempska, Ewa/AAX-3914-2020; Kaim, Andrzej/G-6244-2010; Majewski, Wojciech/D-9255-2017</t>
  </si>
  <si>
    <t>Olempska, Ewa/0000-0003-0310-3876; Kaim, Andrzej/0000-0001-6186-5356; Majewski, Wojciech/0000-0002-5407-1782</t>
  </si>
  <si>
    <t>Polish Ministry of Science and Higher Education [2011/01/B/ST10/06956]; Alexander von Humboldt Foundation; JA by NSF-OPP [0125922]</t>
  </si>
  <si>
    <t>Polish Ministry of Science and Higher Education(Ministry of Science and Higher Education, Poland); Alexander von Humboldt Foundation(Alexander von Humboldt Foundation); JA by NSF-OPP</t>
  </si>
  <si>
    <t>These micropaleontological investigations were supported by a grant of the Polish Ministry of Science and Higher Education No. 2011/01/B/ST10/06956. AK research was supported by Alexander von Humboldt Foundation return fellowship and JA by NSF-OPP under Grant No. 0125922. Alexander Nutzel is thanked for discussion on gastropods. We would also like to thank the Florida State University Antarctic Research Facility curatorial staff for their assistance, as well as Alistair Crame and Scott Ishman for their critical reviews.</t>
  </si>
  <si>
    <t>POLISH ACAD SCIENCES COMMITTEE POLAR RESEARCH</t>
  </si>
  <si>
    <t>KSIECIA JANUSZA 64, 01-452 WARSAW, POLAND</t>
  </si>
  <si>
    <t>10.2478/v10183-012-0015-2</t>
  </si>
  <si>
    <t>WOS:000310421800005</t>
  </si>
  <si>
    <t>Kan, GF; Shi, CJ; Wang, MC; Wang, M</t>
  </si>
  <si>
    <t>Pan, W; Ren, JX; Li, YG</t>
  </si>
  <si>
    <t>Kan, Guangfeng; Shi, Cuijuan; Wang, Mingchao; Wang, Min</t>
  </si>
  <si>
    <t>Screening of Antarctic Antagonism against Vibro anguillarum and Preliminary Research of the Antibacterial Substances</t>
  </si>
  <si>
    <t>RENEWABLE AND SUSTAINABLE ENERGY, PTS 1-7</t>
  </si>
  <si>
    <t>Antarctic bacteria; Antibacterial substances; Pseudoalteromonas; Vibro anguillarum</t>
  </si>
  <si>
    <t>PSEUDOMONAS; INHIBITION; LARVAE</t>
  </si>
  <si>
    <t>Vibrio anguillurum is an opportunistic pathogen of aquatic animals, biocontrol agents have been revealed effective in preventing this disease. Antarctic bacteria were used for the screening of antagonism against V. anguillarum and strain AN32 showed highest activity. AN32 was identified as Pseudoalteromonas according to its morphological, physiological and biochemical and 16S rDNA molecular properties. The antibacterial substance in AN32 culture supernatant was sensitive to pH, temperature and proteinases. The substance could not dissolve in organic solvents, but could be precipitated by ammonium sulfate. These characterizations indicated that the bioactive substance of strain AN32 would be some kind of protein or peptide. This study is a potential application in the control of aquiculture diseases.</t>
  </si>
  <si>
    <t>[Kan, Guangfeng; Shi, Cuijuan; Wang, Mingchao; Wang, Min] Harbin Inst Technol, Sch Ocean, Weihai 264209, Peoples R China</t>
  </si>
  <si>
    <t>Harbin Institute of Technology</t>
  </si>
  <si>
    <t>Kan, GF (corresponding author), Harbin Inst Technol, Sch Ocean, Weihai 264209, Peoples R China.</t>
  </si>
  <si>
    <t>kanguangfeng@163.com; shicjwh@126.com; linchao871224@126.com; wangmin.1987@163.com</t>
  </si>
  <si>
    <t>wang, mingchao/GRO-1695-2022; Liu, Liu/JXM-8208-2024</t>
  </si>
  <si>
    <t>STAFA-ZURICH</t>
  </si>
  <si>
    <t>LAUBLSRUTISTR 24, CH-8717 STAFA-ZURICH, SWITZERLAND</t>
  </si>
  <si>
    <t>978-3-03785-265-1</t>
  </si>
  <si>
    <t>347-353</t>
  </si>
  <si>
    <t>1-7</t>
  </si>
  <si>
    <t>10.4028/www.scientific.net/AMR.347-353.635</t>
  </si>
  <si>
    <t>Energy &amp; Fuels; Materials Science, Multidisciplinary</t>
  </si>
  <si>
    <t>Energy &amp; Fuels; Materials Science</t>
  </si>
  <si>
    <t>BBZ32</t>
  </si>
  <si>
    <t>WOS:000309147800125</t>
  </si>
  <si>
    <t>Mayfield, S; Mundy, C; Gorfine, H; Hart, AM; Worthington, D</t>
  </si>
  <si>
    <t>Mayfield, S.; Mundy, C.; Gorfine, H.; Hart, A. M.; Worthington, D.</t>
  </si>
  <si>
    <t>Fifty Years of Sustained Production from the Australian Abalone Fisheries</t>
  </si>
  <si>
    <t>REVIEWS IN FISHERIES SCIENCE</t>
  </si>
  <si>
    <t>molluscs; stock assessment; sustainability; fisheries; Australia; abalone</t>
  </si>
  <si>
    <t>HALIOTIS-RUBRA LEACH; NEW-SOUTH-WALES; BLACKLIP ABALONE; MASS MORTALITY; GENUS-HALIOTIS; MARINE INVERTEBRATE; RED ABALONE; NORTHERN ABALONE; STOCK ASSESSMENT; CLIMATE-CHANGE</t>
  </si>
  <si>
    <t>The sustained production of abalone from the five state-managed (Tasmania, Victoria, South Australia, New South Wales, and Western Australia) Australian abalone fisheries has contrasted with many of those elsewhere that exhibited rapid and sustained declines in production. Australian abalone fisheries are significant at local, regional, state, national, and international scales. Key attributes are (1) harvesting, processing, and reinvestment of profits occur away from major metropolitan centers; (2) they are among the most valuable wild-catch species in all states; (3) the combined Australian abalone harvest in 2011 (&gt;4,500 t) had a landed value of similar to AU$200M and represented 15% of the Australian total wild-catch production; and (4) this level of production made these fisheries the dominant contributor (60%) to global wild-catch abalone production. Unlike many other abalone fisheries, total catches were controlled by limited entry, quotas, size limits, and geographic boundaries, overseen by stringent compliance regimes, early in their history. Subsequently, state-based research programs, explicitly tasked with providing scientific advice to support management decisions, undertook assessments to match harvests with stock productivity. This information upon which to base management decisions contributed to long-term (&gt;20 years) stable harvests and enabled relationships among stakeholders to develop around consideration of the information and advice for management. In general, rights-holders developed stewardship for the resource, and this has led to numerous important outcomes, including evolving resource co-management and a nationally representative industry entity, the Abalone Council of Australia. The Abalone Council of Australia, state-based industry entities, and ongoing relationships among rights-holders, fishery managers, and researchers play vital roles in addressing and overcoming current and impending challenges for these fisheries. These difficulties include (1) urban encroachment into coastal regions (the so-called sea change phenomenon); (2) a growing interest in access to the abalone resource, reflecting the increasing, culturally diverse Australian population; (3) the ever-present threat of illegal fishing; (4) recent total allowable commercial catch reductions, particularly in Victoria and New South Wales, to facilitate stock rebuilding; (5) changing market conditions; (6) declining profitability from increasing operational costs and appreciation of the Australian dollar; and (7) environmental changes, such as prolonged drought and warmer seas associated with shifts in climate. Overall, this review demonstrates that abalone can be harvested sustainably over extended periods, despite aspects of their demography that suggest higher vulnerability to overexploitation, providing the management systems that control harvesting activities and external impacts that encompass several key underpinning elements. This review also identifies likely challenges to sustained production and shows that the future of these stocks and fisheries will require proactive strategies to mitigate current threats to sustainability and to maintain economically viable productivity.</t>
  </si>
  <si>
    <t>[Mayfield, S.] SARDI Aquat Sci, Henley Beach, SA 5022, Australia; [Mundy, C.] Inst Marine &amp; Antarctic Studies, Hobart, Tas, Australia; [Gorfine, H.] Fisheries Victoria, Queenscliff, Vic, Australia; [Hart, A. M.] Fisheries WA, North Beach, WA, Australia; [Worthington, D.] AMBRAD Consulting, Wildes Meadow, NSW, Australia</t>
  </si>
  <si>
    <t>Mayfield, S (corresponding author), SARDI Aquat Sci, POB 120, Henley Beach, SA 5022, Australia.</t>
  </si>
  <si>
    <t>stephen.mayfield@sa.gov.au</t>
  </si>
  <si>
    <t>Gorfine, Harry/GOE-3967-2022; Mundy, Craig/G-3390-2014</t>
  </si>
  <si>
    <t>Gorfine, Harry/0000-0001-6933-3389; Mundy, Craig/0000-0002-1945-3750</t>
  </si>
  <si>
    <t>TAYLOR &amp; FRANCIS INC</t>
  </si>
  <si>
    <t>PHILADELPHIA</t>
  </si>
  <si>
    <t>530 WALNUT STREET, STE 850, PHILADELPHIA, PA 19106 USA</t>
  </si>
  <si>
    <t>1064-1262</t>
  </si>
  <si>
    <t>1547-6553</t>
  </si>
  <si>
    <t>REV FISH SCI</t>
  </si>
  <si>
    <t>Rev. Fish. Sci.</t>
  </si>
  <si>
    <t>10.1080/10641262.2012.725434</t>
  </si>
  <si>
    <t>024VS</t>
  </si>
  <si>
    <t>WOS:000310138800004</t>
  </si>
  <si>
    <t>Frew, JE; Dozier, J</t>
  </si>
  <si>
    <t>Gadgil, A; Liverman, DM</t>
  </si>
  <si>
    <t>Frew, James E.; Dozier, Jeff</t>
  </si>
  <si>
    <t>Environmental Informatics</t>
  </si>
  <si>
    <t>ANNUAL REVIEW OF ENVIRONMENT AND RESOURCES, VOL 37</t>
  </si>
  <si>
    <t>Annual Review of Environment and Resources</t>
  </si>
  <si>
    <t>data-intensive science; data-driven discovery</t>
  </si>
  <si>
    <t>SNOW WATER EQUIVALENT; STRATOSPHERIC OZONE DEPLETION; GEOGRAPHIC INFORMATION; SCIENCE; COVER; ALGORITHM; CHLORINE; MODELS; MODIS; SINK</t>
  </si>
  <si>
    <t>Environmental informatics uses large multidimensional, complex datasets to study environmental problems, which can be both discrete and continuous in space or time. These datasets and their requisite metadata can be managed by queryable databases. Geospatial Web application programming interfaces (APIs) provide remote access to dynamic subsets of environmental information. Persistent identifiers make data citable. The storage-computing trade-off is now heavily skewed in favor of moving calculations to the data. Provenance metadata help determine a data object's reliability and trustworthiness. Rising atmospheric CO2, the Antarctic ozone hole, and Gulf Stream warm-core rings were all discovered by analyzing long-term datasets. Similar work continues on mapping evapotranspiration and snow water equivalent. In these fourth paradigm problems, data (especially data collected operationally) drive hypothesis formation. Making data available requires new discovery mechanisms and policies favoring data sharing. Cloud computing and array-friendly databases will help bring processing to the data. Ubiquitous location sensing and geotagging will help turn citizen scientists into environmental information collectors.</t>
  </si>
  <si>
    <t>[Frew, James E.; Dozier, Jeff] Univ Calif Santa Barbara, Bren Sch Environm Sci &amp; Management, Santa Barbara, CA 93106 USA</t>
  </si>
  <si>
    <t>Frew, JE (corresponding author), Univ Calif Santa Barbara, Bren Sch Environm Sci &amp; Management, Santa Barbara, CA 93106 USA.</t>
  </si>
  <si>
    <t>frew@bren.ucsb.edu; dozier@bren.ucsb.edu</t>
  </si>
  <si>
    <t>Dozier, Jeff/AAL-4783-2021</t>
  </si>
  <si>
    <t>Dozier, Jeff/0000-0001-8542-431X</t>
  </si>
  <si>
    <t>ANNUAL REVIEWS</t>
  </si>
  <si>
    <t>PALO ALTO</t>
  </si>
  <si>
    <t>4139 EL CAMINO WAY, PO BOX 10139, PALO ALTO, CA 94303-0897 USA</t>
  </si>
  <si>
    <t>1543-5938</t>
  </si>
  <si>
    <t>978-0-8243-2337-0</t>
  </si>
  <si>
    <t>ANNU REV ENV RESOUR</t>
  </si>
  <si>
    <t>Annu. Rev. Environ. Resour</t>
  </si>
  <si>
    <t>10.1146/annurev-environ-042711-121244</t>
  </si>
  <si>
    <t>Book Citation Index – Social Sciences &amp; Humanities (BKCI-SSH); Book Citation Index – Science (BKCI-S); Science Citation Index Expanded (SCI-EXPANDED); Social Science Citation Index (SSCI)</t>
  </si>
  <si>
    <t>BCH92</t>
  </si>
  <si>
    <t>WOS:000310224900019</t>
  </si>
  <si>
    <t>Tosh, CA; Steyn, J; Bornemann, H; van den Hoff, J; Stewart, BS; Plötz, J; Bester, MN</t>
  </si>
  <si>
    <t>Tosh, Cheryl A.; Steyn, Jumari; Bornemann, Horst; van den Hoff, John; Stewart, Brent S.; Ploetz, Joachim; Bester, Marthan N.</t>
  </si>
  <si>
    <t>Marine habitats of juvenile southern elephant seals from Marion Island</t>
  </si>
  <si>
    <t>Marion Island; Southern elephant seals; Juveniles; Frontal features</t>
  </si>
  <si>
    <t>CONVERGENCE REGION SOUTH; PRINCE EDWARD ISLANDS; MIROUNGA-LEONINA; FORAGING AREAS; CLIMATE-CHANGE; IN-SITU; OCEAN; VARIABILITY; EDDIES; MOVEMENTS</t>
  </si>
  <si>
    <t>Marine mammals forage in dynamic environments characterized by variables that are continuously changing in relation to large-scale oceanographic processes. In the present study, behavioural states of satellite-tagged juvenile southern elephant seals (n = 16) from Marion Island were assessed for each reliable location, using variation in turning angle and speed in a state-space modelling framework. A mixed modelling approach was used to analyse the behavioural response of juvenile southern elephant seals to sea-surface temperature and proximity to frontal and bathymetric features. The findings emphasised the importance of frontal features as potentially rewarding areas for foraging juvenile southern elephant seals and provided further evidence of the importance of the area west of Marion Island for higher trophic-level predators. The importance of bathymetric features during the transit phase of juvenile southern elephant seal migrations indicates the use of these features as possible navigational cues.</t>
  </si>
  <si>
    <t>[Tosh, Cheryl A.; Steyn, Jumari; Bester, Marthan N.] Univ Pretoria, Mammal Res Inst, Dept Zool &amp; Entomol, ZA-0028 Hatfield, South Africa; [Bornemann, Horst; Ploetz, Joachim] Alfred Wegener Inst Polar &amp; Marine Res, D-27515 Bremerhaven, Germany; [van den Hoff, John] Australian Antarctic Div, Kingston, Tas 7050, Australia; [Stewart, Brent S.] Hubbs SeaWorld Res Inst, San Diego, CA 92109 USA</t>
  </si>
  <si>
    <t>University of Pretoria; Helmholtz Association; Alfred Wegener Institute, Helmholtz Centre for Polar &amp; Marine Research; Australian Antarctic Division</t>
  </si>
  <si>
    <t>Tosh, CA (corresponding author), Univ Pretoria, Mammal Res Inst, Dept Zool &amp; Entomol, Private Bag X20, ZA-0028 Hatfield, South Africa.</t>
  </si>
  <si>
    <t>catosh@zoology.up.ac.za</t>
  </si>
  <si>
    <t>Bester, Marthán N/E-5387-2010; Tosh, Cheryl/D-5623-2016</t>
  </si>
  <si>
    <t>Tosh, Cheryl/0000-0003-0243-5422</t>
  </si>
  <si>
    <t>Alfred Wegener Institute for Polar and Marine Research (Germany); Department of Science and Technology through the National Research Foundation (South Africa); South African National Antarctic Programme</t>
  </si>
  <si>
    <t>G. Hofmeyr, P. Radzilani, T. McIntyre, N. de Buyn, C. Oosthuizen, M. Phalanndwa, R. Reisinger and T. Mufanadzo are gratefully acknowledged for their assistance with the deployments of satellite tags. The Alfred Wegener Institute for Polar and Marine Research (Germany), the Department of Science and Technology through the National Research Foundation (South Africa) and the South African National Antarctic Programme provided financial and logistical support.</t>
  </si>
  <si>
    <t>10.3354/ab00463</t>
  </si>
  <si>
    <t>024ZM</t>
  </si>
  <si>
    <t>WOS:000310151500008</t>
  </si>
  <si>
    <t>Safi, KA; Robinson, KV; Hall, JA; Schwarz, J; Maas, EW</t>
  </si>
  <si>
    <t>Safi, Karl A.; Robinson, Karen V.; Hall, Julie A.; Schwarz, Jill; Maas, Elizabeth W.</t>
  </si>
  <si>
    <t>Ross Sea deep-ocean and epipelagic microzooplankton during the summer-autumn transition period</t>
  </si>
  <si>
    <t>AQUATIC MICROBIAL ECOLOGY</t>
  </si>
  <si>
    <t>Microzooplankton; Protists; Mesopelagic; Bathypelagic; Epipelagic; Ross Sea</t>
  </si>
  <si>
    <t>MICROBIAL FOOD-WEB; SOUTHERN-OCEAN; PHYTOPLANKTON BIOMASS; VERTICAL-DISTRIBUTION; MEDITERRANEAN SEA; COASTAL WATERS; TWILIGHT ZONE; PACIFIC-OCEAN; GRAZING RATES; NEW-ZEALAND</t>
  </si>
  <si>
    <t>Microzooplankton populations are key participants in the transfer, recycling and export of carbon in epipelagic waters, but little is known about their role, abundance and diversity at depth, especially in the Antarctic region. We surveyed microzooplankton populations and their potential prey in the Ross Sea area from 66 degrees S to 77 degrees S during the New Zealand IPY-CAML survey, 12 February to 11 March 2008. Samples were taken throughout the available water column at depths between similar to 5 and 3400 m, allowing us to compare deeper, largely unknown, mesopelagic and bathypelagic waters with the traditionally studied epipelagic zone. Microzooplankton diversity and abundance were highest in the high chlorophyll a, diatom-dominated waters of the epipelagic zone, but occasionally, peaks did occur in the upper mesopelagic before populations declined with depth. Ciliates and dinoflagellates declined more rapidly than heterotrophic nanoflagellates, which led to the latter dominating at depth. Ciliate populations in epipelagic waters were correlated with bacteria, picophytoplankton and chlorophyll a, but these potential prey did not correlate well with heterotrophic nanoflagellates in deeper or low-biomass waters. Despite their rapid decline with depth, due to the large volume of deeper waters, the total integrated microzooplankton biomass exceeded that found in the epipelagic zone. This indicates that the deeper waters of the Ross Sea, at this time, contained a significant pool of microzooplankton biomass. These deeper populations are likely to aid in the recycling and remineralisation of sinking phytoplankton biomass traditionally thought to be exported to the ocean floor.</t>
  </si>
  <si>
    <t>[Safi, Karl A.] Natl Inst Water &amp; Atmospher Res, Hamilton, New Zealand; [Robinson, Karen V.] Natl Inst Water &amp; Atmospher Res, Christchurch, New Zealand; [Hall, Julie A.; Schwarz, Jill; Maas, Elizabeth W.] Natl Inst Water &amp; Atmospher Res, Wellington, New Zealand</t>
  </si>
  <si>
    <t>National Institute of Water &amp; Atmospheric Research (NIWA) - New Zealand; National Institute of Water &amp; Atmospheric Research (NIWA) - New Zealand; National Institute of Water &amp; Atmospheric Research (NIWA) - New Zealand</t>
  </si>
  <si>
    <t>Safi, KA (corresponding author), Natl Inst Water &amp; Atmospher Res, POB 11-115, Hamilton, New Zealand.</t>
  </si>
  <si>
    <t>k.safi@niwa.co.nz</t>
  </si>
  <si>
    <t>Safi, Karl/0000-0002-7785-1909</t>
  </si>
  <si>
    <t>New Zealand Government under the NZ International Polar Year-Census of Antarctic Marine Life Project</t>
  </si>
  <si>
    <t>This research was funded by the New Zealand Government under the NZ International Polar Year-Census of Antarctic Marine Life Project. We thank the officers, crew and scientific staff on RV 'Tangaroa'. We gratefully acknowledge project governance provided by the Ministry of Fisheries Science Team and the Ocean Survey 20/20 CAML Advisory Group (LINZ, MFish, Antarctica NZ, MFAT and NIWA). We also thank C. Stevens for critical comments on the manuscript.</t>
  </si>
  <si>
    <t>0948-3055</t>
  </si>
  <si>
    <t>AQUAT MICROB ECOL</t>
  </si>
  <si>
    <t>Aquat. Microb. Ecol.</t>
  </si>
  <si>
    <t>10.3354/ame01588</t>
  </si>
  <si>
    <t>023AX</t>
  </si>
  <si>
    <t>WOS:000310006400003</t>
  </si>
  <si>
    <t>Van de Vijver, B; Ector, L; Cox, EJ</t>
  </si>
  <si>
    <t>Van de Vijver, Bart; Ector, Luc; Cox, Eileen J.</t>
  </si>
  <si>
    <t>Ultrastructure of Diatomella balfouriana with a discussion of septum-like structures in diatom genera</t>
  </si>
  <si>
    <t>DIATOM RESEARCH</t>
  </si>
  <si>
    <t>ultrastructure; Diatomella; taxonomic position; septum-like structure; scalariform valvocopula</t>
  </si>
  <si>
    <t>GENUS CLIMACONEIS BERKELEYACEAE; MARINE DIATOM; BACILLARIOPHYTA; EVOLUTION; EHRENBERG; VALVE; NOV.</t>
  </si>
  <si>
    <t>The ultrastructure of Diatomella balfouriana Greville collected from Ile de la Possession, a sub-Antarctic island in the Crozet Archipelago, was studied using high-resolution scanning and transmission electron microscopy. The alveolate striae of the genus are subdivided by small vimines, presenting a unique feature never observed before in other diatom genera. The most striking feature of the genus is the presence of the septum-like structures projecting from the girdle bands. The term scalariform valvocopula is introduced for these structures to discriminate them from the septa present in several araphid and (at least one) raphid genera. The taxonomic position of the genus within the family Pinnulariaceae D. G. Mann is discussed based on the study of the structure of the alveolate striae.</t>
  </si>
  <si>
    <t>[Van de Vijver, Bart] Natl Bot Garden Belgium, Dept Bryophyta &amp; Thallophyta, Meise, Belgium; [Ector, Luc] Publ Res Ctr Gabriel Lippmann, Dept Environm &amp; Agrobiotechnol EVA, Belvaux, Luxembourg; [Cox, Eileen J.] Nat Hist Museum, London SW7 5BD, England</t>
  </si>
  <si>
    <t>Luxembourg Institute of Science &amp; Technology; Natural History Museum London</t>
  </si>
  <si>
    <t>Van de Vijver, B (corresponding author), Natl Bot Garden Belgium, Dept Bryophyta &amp; Thallophyta, Meise, Belgium.</t>
  </si>
  <si>
    <t>Ector, Luc/0000-0002-4573-9445</t>
  </si>
  <si>
    <t>EU Synthesys grant</t>
  </si>
  <si>
    <t>This study was supported by an EU Synthesys grant to BVDV to visit the National History Museum in London, UK. We are grateful to A. Ball and the staff of the EMMA laboratory at the Natural History Museum for their assistance with the scanning electron microscopy. The comments of two anonymous reviewers greatly improved this paper.</t>
  </si>
  <si>
    <t>0269-249X</t>
  </si>
  <si>
    <t>DIATOM RES</t>
  </si>
  <si>
    <t>Diatom Res.</t>
  </si>
  <si>
    <t>10.1080/0269249X.2012.720612</t>
  </si>
  <si>
    <t>024XV</t>
  </si>
  <si>
    <t>WOS:000310146000002</t>
  </si>
  <si>
    <t>Arnone, E; Castelli, E; Papandrea, E; Carlotti, M; Dinelli, BM</t>
  </si>
  <si>
    <t>Arnone, E.; Castelli, E.; Papandrea, E.; Carlotti, M.; Dinelli, B. M.</t>
  </si>
  <si>
    <t>Extreme ozone depletion in the 2010-2011 Arctic winter stratosphere as observed by MIPAS/ENVISAT using a 2-D tomographic approach</t>
  </si>
  <si>
    <t>VOLUME MIXING-RATIO; POLAR VORTEX; MICHELSON INTERFEROMETER; CLOUD OBSERVATIONS; NY-ALESUND; MIPAS; RETRIEVAL; CLIMATOLOGY; TEMPERATURE; LIDAR</t>
  </si>
  <si>
    <t>We present observations of the 2010-2011 Arctic winter stratosphere from the Michelson Interferometer for Passive Atmospheric Sounding (MIPAS) onboard ENVISAT. Limb sounding infrared measurements were taken by MIPAS during the Northern polar winter and into the subsequent spring, giving a continuous vertically resolved view of the Arctic dynamics, chemistry and polar stratospheric clouds (PSCs). We adopted a 2-D tomographic retrieval approach to account for the strong horizontal inhomogeneity of the atmosphere present under vortex conditions, self-consistently comparing 2011 to the 2-D analysis of 2003-2010. Unlike most Arctic winters, 2011 was characterized by a strong stratospheric vortex lasting until early April. Lower stratospheric temperatures persistently remained below the threshold for PSC formation, extending the PSC season up to mid-March, resulting in significant chlorine activation leading to ozone destruction. On 3 January 2011, PSCs were detected up to 30.5 +/- 0.9 km altitude, representing the highest PSCs ever reported in the Arctic. Through inspection of MIPAS spectra, 83% of PSCs were identified as supercooled ternary solution (STS) or STS mixed with nitric acid trihydrate (NAT), 17% formed mostly by NAT particles, and only two cases by ice. In the lower stratosphere at potential temperature 450 K, vortex average ozone showed a daily depletion rate reaching 100 ppbv day(-1). In early April at 18 km altitude, 10% of vortex measurements displayed total depletion of ozone, and vortex average values dropped to 0.6 ppmv. This corresponds to a chemical loss from early winter greater than 80 %. Ozone loss was accompanied by activation of ClO, associated depletion of its reservoir ClONO2, and significant denitrification, which further delayed the recovery of ozone in spring. Once the PSC season halted, ClO was reconverted primarily into ClONO2. Compared to MIPAS observed 2003-2010 Arctic average values, the 2010-2011 vortex in late winter had 15K lower temperatures, 40% lower HNO3 and 50% lower ozone, reaching the largest ozone depletion ever observed in the Arctic. The overall picture of this Arctic winter was remarkably closer to conditions typically found in the Antarctic vortex than ever observed before.</t>
  </si>
  <si>
    <t>[Arnone, E.; Castelli, E.; Dinelli, B. M.] Ist Sci Atmosfera &amp; Clima CNR, Bologna, Italy; [Papandrea, E.; Carlotti, M.] Univ Bologna, Dipartimento Chim Fis &amp; Inorgan, I-40136 Bologna, Italy</t>
  </si>
  <si>
    <t>Consiglio Nazionale delle Ricerche (CNR); Istituto di Scienze dell'Atmosfera e del Clima (ISAC-CNR); University of Bologna</t>
  </si>
  <si>
    <t>Arnone, E (corresponding author), Ist Sci Atmosfera &amp; Clima CNR, Bologna, Italy.</t>
  </si>
  <si>
    <t>e.arnone@isac.cnr.it</t>
  </si>
  <si>
    <t>Dinelli, Bianca Maria/C-1212-2015; Arnone, Enrico/AAK-2316-2021; Arnone, Enrico/AHE-6020-2022; Papandrea, Enzo/M-2739-2019; Dinelli, Bianca Maria/L-4235-2019; Papandrea, Enzo/GSO-2158-2022</t>
  </si>
  <si>
    <t>Arnone, Enrico/0000-0001-6740-5051; Papandrea, Enzo/0000-0001-6698-0011; Dinelli, Bianca Maria/0000-0002-1218-0008; Papandrea, Enzo/0000-0001-6698-0011; Castelli, Elisa/0000-0003-2218-5790</t>
  </si>
  <si>
    <t>ESA</t>
  </si>
  <si>
    <t>ESA(European Space Agency)</t>
  </si>
  <si>
    <t>The authors are grateful to A. Dudhia who first pointed them towards the extreme conditions of the 2010-2011 Arctic winter. The authors are grateful to S. Viscardy and Q. Errera for providing the meteorological data and guidance on how to use them. E. A. and E. P. acknowledge the support by ESA within the framework of the Changing Earth Science Network Initiative. The authors wish to thank the anonymous reviewers and the editor for their comments and suggestions, which greatly improved the quality of the paper.</t>
  </si>
  <si>
    <t>10.5194/acp-12-9149-2012</t>
  </si>
  <si>
    <t>020TF</t>
  </si>
  <si>
    <t>WOS:000309836800014</t>
  </si>
  <si>
    <t>Karanovic, I</t>
  </si>
  <si>
    <t>Karanovic, I.</t>
  </si>
  <si>
    <t>Two new Sarsiellinae (Ostracoda: Myodocopa) from Ningaloo Reef (Western Australia), with a cladistic analysis of the subfamily and keys to genera</t>
  </si>
  <si>
    <t>JOURNAL OF NATURAL HISTORY</t>
  </si>
  <si>
    <t>ostracods; coral reefs; biodiversity; taxonomic keys; phylogeny</t>
  </si>
  <si>
    <t>NORTH QUEENSLAND; LIZARD-ISLAND; CRUSTACEA; MAXILLA</t>
  </si>
  <si>
    <t>Two new Sarsiellinae from Ningaloo Reef, Spinacopia ningalooi sp. nov., and Metasarsiella caleyi sp. nov. are described. Spinacopia ningalooi is the first representative of the genus collected from a coral reef. It differs from the other species by its odd looking posterior infold. Metasarsiella caleyi sp. nov. is the first species of the genus reported from Australia. Keys to species of Spinacopia Kornicker, 1969 and Metasarsiella Kornicker, 1991, and to all the genera of Sarsiellinae are given here, together with an inventory of all the species and information on their distributions and biology. The results of two cladistic analyses (with unweighted and with weighted characters) of the subfamily based on 138 species and 34 morphological characters are presented. The first analysis resulted in seven equally parsimonious trees and the second in just one. The majority rule of the first group of trees and the tree from the second analysis are presented here.</t>
  </si>
  <si>
    <t>[Karanovic, I.] Hanyang Univ, Dept Life Sci, Seoul 133791, South Korea; [Karanovic, I.] Univ Tasmania, Inst Marine &amp; Antarctic Studies, Hobart, Tas 7001, Australia</t>
  </si>
  <si>
    <t>Hanyang University; University of Tasmania</t>
  </si>
  <si>
    <t>Karanovic, I (corresponding author), Hanyang Univ, Dept Life Sci, Seoul 133791, South Korea.</t>
  </si>
  <si>
    <t>ivana.karanovic@utas.edu.au</t>
  </si>
  <si>
    <t>Australian Biological Resources Study Grant [RF 210-10]; Australian Institute of Marine Studies (Queensland)</t>
  </si>
  <si>
    <t>Australian Biological Resources Study Grant; Australian Institute of Marine Studies (Queensland)</t>
  </si>
  <si>
    <t>The paper was supported by the Australian Biological Resources Study Grant (RF 210-10). The Australian Institute of Marine Studies (Queensland) provided the material for this study and partly financed it. I am very grateful to Dr Akira Tsukagoshi (Shizuoka Univeristy) for translating the Japanese text in Kajiyama (1912). I would also like to acknowledge Hanyang University (Seoul) for providing the space and facilities during part of this study.</t>
  </si>
  <si>
    <t>0022-2933</t>
  </si>
  <si>
    <t>1464-5262</t>
  </si>
  <si>
    <t>J NAT HIST</t>
  </si>
  <si>
    <t>J. Nat. Hist.</t>
  </si>
  <si>
    <t>37-38</t>
  </si>
  <si>
    <t>10.1080/00222933.2012.708455</t>
  </si>
  <si>
    <t>Biodiversity Conservation; Ecology; Zoology</t>
  </si>
  <si>
    <t>Biodiversity &amp; Conservation; Environmental Sciences &amp; Ecology; Zoology</t>
  </si>
  <si>
    <t>018HR</t>
  </si>
  <si>
    <t>WOS:000309651400002</t>
  </si>
  <si>
    <t>Calcagno, JA; Curelovich, JN; Fernandez, VM; Thatje, S; Lovrich, GA</t>
  </si>
  <si>
    <t>Angel Calcagno, Javier; Natalia Curelovich, Jessica; Fernandez, Vanessa Maribel; Thatje, Sven; Alejandro Lovrich, Gustavo</t>
  </si>
  <si>
    <t>Effects of physical disturbance on a sub-Antarctic middle intertidal bivalve assemblage</t>
  </si>
  <si>
    <t>MARINE BIOLOGY RESEARCH</t>
  </si>
  <si>
    <t>South-Western Atlantic; mussels; Patagonia; Argentina; Mytilus chilensis; Perumytilus purpuratus; Tierra del Fuego; benthic resilience</t>
  </si>
  <si>
    <t>TIERRA-DEL-FUEGO; MYTILUS-EDULIS; PERUMYTILUS-PURPURATUS; STRUCTURAL COMPLEXITY; TEMPORAL VARIABILITY; SPECIES COMPOSITION; COMMUNITY STRUCTURE; SIGNY ISLAND; ROCKY SHORES; RECRUITMENT</t>
  </si>
  <si>
    <t>We present for the first time the vulnerability to disturbance of a bivalve assemblage situated in the middle intertidal zone of the Atlantic coast of the Southern South America (53 degrees 36'S, 67 degrees 58'W). This intertidal zone is characterized by a high level of sand movement preventing any establishment of sessile organisms on the vertical sides of rock outcrops. The coast is prone to potential spills from nearby hydrocarbon marine platforms, but this benthic assemblage has been poorly studied. In February 2001, we exposed the assemblage to two different experimental conditions: a complete removal of bivalves and a physical disturbance and tracked its recovery during the following 4 years. The disturbance lowered the diversity of associated fauna and made the sediment layer trapped among bivalves disappear, which was not restored. Mytilus chilensis was recruited into crevices or between byssi in the following settlement season, i.e. summer 2002. The recuperation of mussel coverage to predisturbance levels took 3 years after the total removal. In April 2004 the size frequency distributions, density and biomass/number ratio of M. chilensis were similar to those at the start of the experiment. Perumytilus purpuratus recovered more slowly than M. chilensis, probably due to its slower growth rate compared to M. chilensis and dependence on an adequate byssus matrix for settlement. The main apparent stressor was the irruption of sand, covering the bivalve assemblage for variable periods of time. This bivalve assemblage is characterized by low predatory pressure and therefore we hypothesize that it is predominantly controlled by competition for space.</t>
  </si>
  <si>
    <t>[Angel Calcagno, Javier; Natalia Curelovich, Jessica] Univ Buenos Aires, Buenos Aires Fac Ciencias Exactas &amp; Nat, Inst Ecol Genet &amp; Evoluc, RA-1053 Buenos Aires, DF, Argentina; [Angel Calcagno, Javier; Natalia Curelovich, Jessica; Fernandez, Vanessa Maribel; Alejandro Lovrich, Gustavo] Consejo Nacl Invest Cient &amp; Tecn CONICET, Buenos Aires, DF, Argentina; [Fernandez, Vanessa Maribel] Univ Buenos Aires, Fac Ciencias Exactas &amp; Nat, Inst Fisiol Biol Mol &amp; Neurociencias, RA-1053 Buenos Aires, DF, Argentina; [Thatje, Sven] Univ Southampton, Natl Oceanog Ctr, Southampton, Hants, England; [Alejandro Lovrich, Gustavo] Ctr Austral Invest Cient, Ushuaia, Tierra del Fueg, Argentina</t>
  </si>
  <si>
    <t>University of Buenos Aires; Consejo Nacional de Investigaciones Cientificas y Tecnicas (CONICET); University of Buenos Aires; University of Southampton; NERC National Oceanography Centre</t>
  </si>
  <si>
    <t>Calcagno, JA (corresponding author), Univ Maimonides, Inst Super Invest, Ctr Estudios Biomed Biotecnol Ambient &amp; Diagnost, Hidalgo 775,C1405BWE, Buenos Aires, DF, Argentina.</t>
  </si>
  <si>
    <t>jkalcagno@gmail.com</t>
  </si>
  <si>
    <t>Lovrich, Gustavo/0000-0001-8424-6566</t>
  </si>
  <si>
    <t>Argentinean Agencia Nacional de Promocion Cientifica y Tecnologica [PICT 1385]; CONICET</t>
  </si>
  <si>
    <t>Argentinean Agencia Nacional de Promocion Cientifica y Tecnologica; CONICET(Consejo Nacional de Investigaciones Cientificas y Tecnicas (CONICET))</t>
  </si>
  <si>
    <t>This study was funded by the Argentinean Agencia Nacional de Promocion Cientifica y Tecnologica (PICT 1385). This paper is part of the work done by J. Curelovich in partial fulfilment of the requirements for the Doctoral degree at the Universidad de Buenos Aires, Argentina, through a doctoral fellowship from CONICET. The authors are grateful to M.C. Avalos, M. Gutierrez, P. Perez-Barros, F. Tapella, and M.C. Romero, for fieldwork assistance. Thanks are due to M. Diez and two anonymous reviewers, who provided critical inputs to the manuscript.</t>
  </si>
  <si>
    <t>TAYLOR &amp; FRANCIS AS</t>
  </si>
  <si>
    <t>OSLO</t>
  </si>
  <si>
    <t>KARL JOHANS GATE 5, NO-0154 OSLO, NORWAY</t>
  </si>
  <si>
    <t>1745-1000</t>
  </si>
  <si>
    <t>1745-1019</t>
  </si>
  <si>
    <t>MAR BIOL RES</t>
  </si>
  <si>
    <t>Mar. Biol. Res.</t>
  </si>
  <si>
    <t>10.1080/17451000.2012.702911</t>
  </si>
  <si>
    <t>017SM</t>
  </si>
  <si>
    <t>WOS:000309611300002</t>
  </si>
  <si>
    <t>Ghigliotti, L; Christiansen, JS; Fevolden, SE; Pisano, E</t>
  </si>
  <si>
    <t>Ghigliotti, Laura; Christiansen, Jorgen Schou; Fevolden, Svein-Erik; Pisano, Eva</t>
  </si>
  <si>
    <t>Biodiversity of Arctic fishes: first karyological information on Gaidropsarus argentatus (Reinhardt, 1837), a new piece to the puzzle</t>
  </si>
  <si>
    <t>Gaidropsarus argentatus; Arctic rockling; karyotype; Arctic fish; biodiversity</t>
  </si>
  <si>
    <t>GADIFORMES</t>
  </si>
  <si>
    <t>Here we provide the first karyological characterization of the Arctic gadoid fish Gaidropsarus argentatus (Arctic rockling), through conventional and molecular cytogenetics. The analysis of six specimens collected along the coasts of Greenland during TUNU-MAFIG (Marine Fishes of North East Greenland - diversity and adaptation) expeditions, consistently indicated 48 chromosomes, with the karyotypic formula 12 m/sm + 36 st/t and Fundamental Number (FN) = 60. The description of the species-specific karyotype for a fish living in Arctic marine waters per se adds a significant piece of information to the necessary biological baseline for monitoring of biodiversity changes in polar regions. In addition, comparison of our data on the Arctic G. argentatus with those of the Mediterranean co-generic G. mediterraneus revealed a surprisingly high level of cytogenetic diversity between the two species (2n = 48 vs. 2n = 28), laying the basis for future analyses aimed at tracing the chromosomal evolution and diversification within this geographically widespread genus.</t>
  </si>
  <si>
    <t>[Ghigliotti, Laura; Pisano, Eva] Univ Genoa, Dipartimento Sci Terra Ambiente &amp; Vita DISTAV, I-16132 Genoa, Italy; [Christiansen, Jorgen Schou; Fevolden, Svein-Erik] Univ Tromso, Fac Biosci Fisheries &amp; Econ, Dept Arctic &amp; Marine Biol, Tromso, Norway</t>
  </si>
  <si>
    <t>University of Genoa; UiT The Arctic University of Tromso</t>
  </si>
  <si>
    <t>Ghigliotti, L (corresponding author), Univ Genoa, DISTAV, Viale Benedetto 15 5, I-16132 Genoa, Italy.</t>
  </si>
  <si>
    <t>laura.ghigliotti@unige.it</t>
  </si>
  <si>
    <t>Ghigliotti, Laura/J-3076-2012; Ghigliotti, Laura/AAN-6843-2021</t>
  </si>
  <si>
    <t>Ghigliotti, Laura/0000-0003-2139-1381</t>
  </si>
  <si>
    <t>Arctic Strategic Project (CNR); Italian National Programme for Antarctic Research (PNRA); TUNU-Programme at the University of Tromso, Norway</t>
  </si>
  <si>
    <t>The research was supported by the Arctic Strategic Project (CNR), the Italian National Programme for Antarctic Research (PNRA) and the TUNU-Programme at the University of Tromso, Norway.</t>
  </si>
  <si>
    <t>10.1080/17451000.2012.708419</t>
  </si>
  <si>
    <t>WOS:000309611300011</t>
  </si>
  <si>
    <t>Ishidoya, S; Morimoto, S; Aoki, S; Taguchi, S; Goto, D; Murayama, S; Nakazawa, T</t>
  </si>
  <si>
    <t>Ishidoya, Shigeyuki; Morimoto, Shinji; Aoki, Shuji; Taguchi, Shoichi; Goto, Daisuke; Murayama, Shohei; Nakazawa, Takakiyo</t>
  </si>
  <si>
    <t>Oceanic and terrestrial biospheric CO2 uptake estimated from atmospheric potential oxygen observed at Ny-Alesund, Svalbard, and Syowa, Antarctica</t>
  </si>
  <si>
    <t>TELLUS SERIES B-CHEMICAL AND PHYSICAL METEOROLOGY</t>
  </si>
  <si>
    <t>atmospheric potential Oxygen (APO); air-sea O-2 (N-2) flux; Oceanic CO2 uptake; terrestrial biospheric CO2 uptake; oceanic heat content; atmospheric transport model</t>
  </si>
  <si>
    <t>CARBON-DIOXIDE; O-2; APO; TRANSPORT; STATIONS; PACIFIC; MODELS; FLUXES; SINKS; RATIO</t>
  </si>
  <si>
    <t>Simultaneous measurements of the atmospheric O-2/N-2 ratio and CO2 concentration were made at Ny-Alesund, Svalbard, and Syowa, Antarctica for the period 2001-2009. Based on these measurements, the observed atmospheric potential oxygen (APO) values were calculated. The APO variations produced by changes in the oceanic heat content were estimated using an atmospheric transport model and heat-driven air-sea O-2 (N-2) fluxes, and then subtracted from observed interannual variations of APO. The oceanic CO2 uptake derived from the resulting 'corrected' secular trend of APO showed interannual variability of less than +/- 0.6 GtC yr(-1), significantly smaller than that derived from the 'uncorrected' trend of APO (+/- 0.9 GtC yr(-1)). The average CO2 uptake during the period 2001-2009 was estimated to be 2.9 +/- 0.7 and 0.8 +/- 0.9 GtC yr(-1) for the ocean and terrestrial biosphere, respectively. By excluding the influence of El Nino around 2002-2003, the terrestrial biospheric CO2 uptake for the period 2004-2009 increased to 1.5 +/- 0.9 GtC yr(-1), while the oceanic uptake decreased slightly to 2.8 +/- 0.8 GtC yr(-1).</t>
  </si>
  <si>
    <t>[Ishidoya, Shigeyuki; Taguchi, Shoichi; Murayama, Shohei] Natl Inst Adv Ind Sci &amp; Technol, Tsukuba, Ibaraki, Japan; [Morimoto, Shinji] Natl Inst Polar Res, Tokyo, Japan; [Aoki, Shuji; Goto, Daisuke; Nakazawa, Takakiyo] Tohoku Univ, Ctr Atmospher &amp; Ocean Studies, Sendai, Miyagi 980, Japan</t>
  </si>
  <si>
    <t>National Institute of Advanced Industrial Science &amp; Technology (AIST); Research Organization of Information &amp; Systems (ROIS); National Institute of Polar Research (NIPR) - Japan; Tohoku University</t>
  </si>
  <si>
    <t>Ishidoya, S (corresponding author), Natl Inst Adv Ind Sci &amp; Technol, Tsukuba, Ibaraki, Japan.</t>
  </si>
  <si>
    <t>s-ishidoya@aist.go.jp</t>
  </si>
  <si>
    <t>Morimoto, Shinji/GQR-1817-2022; Murayama, Shohei/L-2973-2018; Ishidoya, Shigeyuki/L-4307-2018</t>
  </si>
  <si>
    <t>Murayama, Shohei/0000-0003-1923-6059; Ishidoya, Shigeyuki/0000-0001-7448-2899</t>
  </si>
  <si>
    <t>National Institute of Polar Research (NIPR) under the Ministry of Education, Culture, Sports, Science and Technology (MEXT), Japan; NIPR [21-17, KP-10]; MEXT; [2005/17GS0203]; Grants-in-Aid for Scientific Research [23310012, 22710002] Funding Source: KAKEN</t>
  </si>
  <si>
    <t>National Institute of Polar Research (NIPR) under the Ministry of Education, Culture, Sports, Science and Technology (MEXT), Japan; NIPR(National Institute of Polar Research (NIPR) - Japan); MEXT(Ministry of Education, Culture, Sports, Science and Technology, Japan (MEXT)); ; Grants-in-Aid for Scientific Research(Ministry of Education, Culture, Sports, Science and Technology, Japan (MEXT)Japan Society for the Promotion of ScienceGrants-in-Aid for Scientific Research (KAKENHI))</t>
  </si>
  <si>
    <t>This study was made as a part of the Science Program of the Japan Antarctic Research Expedition supported by the National Institute of Polar Research (NIPR) under the Ministry of Education, Culture, Sports, Science and Technology (MEXT), Japan, as well as of the NIPR General Collaboration Projects No. 21-17 and Project Research No. KP-10. This study was also partly supported by the Grants-in-Aid for Creative Scientific Research (2005/17GS0203) and the MEXT subsidised project 'Formation of a virtual laboratory for diagnosing the earth's climate system'. We express our gratitude to the staff of the Norwegian Polar Institute for their cooperation in collecting air samples at Ny-Alesund, Svalbard.</t>
  </si>
  <si>
    <t>STOCKHOLM UNIV PRESS</t>
  </si>
  <si>
    <t>STOCKHOLM</t>
  </si>
  <si>
    <t>STOCKHOLM UNIV LIBRARY, UNIVERSITETSVAGEN 14 D, STOCKHOLM, SE-106 91, SWEDEN</t>
  </si>
  <si>
    <t>1600-0889</t>
  </si>
  <si>
    <t>TELLUS B</t>
  </si>
  <si>
    <t>Tellus Ser. B-Chem. Phys. Meteorol.</t>
  </si>
  <si>
    <t>10.3402/tellusb.v64i0.18924</t>
  </si>
  <si>
    <t>018KP</t>
  </si>
  <si>
    <t>WOS:000309659500001</t>
  </si>
  <si>
    <t>Shelton, AO; Mangel, M</t>
  </si>
  <si>
    <t>Shelton, Andrew O.; Mangel, Marc</t>
  </si>
  <si>
    <t>Estimating von Bertalanffy parameters with individual and environmental variations in growth</t>
  </si>
  <si>
    <t>JOURNAL OF BIOLOGICAL DYNAMICS</t>
  </si>
  <si>
    <t>BAYESIAN HIERARCHICAL METAANALYSIS; MAXIMUM-LIKELIHOOD APPROACH; LIFE-HISTORY STRATEGIES; ANTARCTIC KRILL; COHO SALMON; MODELING GROWTH; DEPENDENT GROWTH; SIZE; POPULATION; VARIABILITY</t>
  </si>
  <si>
    <t>Variation among individuals is an ubiquitous feature of natural populations. However, the relative roles of intrinsic individual differences and stochastic processes in generating variation remain poorly understood. For somatic growth, identifying the contribution of individual and stochastic processes to observed variation in size has important implications both for basic and applied biology. Here we propose and develop methods for estimating individual variation in growth using size-at-age data. We modify the von Bertalanffy growth model to explicitly incorporate individual, environmental, and stochastic variation and provide analytic expressions for the mean and variance of length-at-age in populations. We use a Bayesian statistical model to estimate individual variation from length-at-age data and apply the model to simulated data to test its efficacy. Although a first step towards understanding individual variation, we demonstrate that estimating individual variation from observational samples is possible and provide a platform for future analytical and statistical developments.</t>
  </si>
  <si>
    <t>[Shelton, Andrew O.; Mangel, Marc] Univ Calif Santa Cruz, Ctr Stock Assessment Res, Santa Cruz, CA 95064 USA; [Mangel, Marc] Univ Calif Santa Cruz, Dept Appl Math &amp; Stat, Jack Baskin Sch Engn, Santa Cruz, CA 95064 USA; [Mangel, Marc] Univ Bergen, Dept Biol, N-5020 Bergen, Norway</t>
  </si>
  <si>
    <t>University of California System; University of California Santa Cruz; University of California System; University of California Santa Cruz; University of Bergen</t>
  </si>
  <si>
    <t>Shelton, AO (corresponding author), Univ Calif Santa Cruz, Ctr Stock Assessment Res, Mail Stop SOE-2, Santa Cruz, CA 95064 USA.</t>
  </si>
  <si>
    <t>ole.shelton@noaa.gov; msmangel@ucsc.edu</t>
  </si>
  <si>
    <t>Center for Stock Assessment Research, a partnership between the Fisheries Ecology Division, NOAA Fisheries, Santa Cruz, CA; University of California Santa Cruz; NSF [EF-0924195]; Direct For Biological Sciences; Emerging Frontiers [0924195] Funding Source: National Science Foundation</t>
  </si>
  <si>
    <t>Center for Stock Assessment Research, a partnership between the Fisheries Ecology Division, NOAA Fisheries, Santa Cruz, CA; University of California Santa Cruz(University of California System); NSF(National Science Foundation (NSF)); Direct For Biological Sciences; Emerging Frontiers(National Science Foundation (NSF)NSF - Directorate for Biological Sciences (BIO))</t>
  </si>
  <si>
    <t>This work was supported by the Center for Stock Assessment Research, a partnership between the Fisheries Ecology Division, NOAA Fisheries, Santa Cruz, CA and the University of California Santa Cruz and by NSF grant EF-0924195 to MM. We thank E.J. Dick, S. Munch, W. Satterthwaite, and S. Vincenzi for helpful discussions and comments on the manuscript</t>
  </si>
  <si>
    <t>1751-3758</t>
  </si>
  <si>
    <t>1751-3766</t>
  </si>
  <si>
    <t>J BIOL DYNAM</t>
  </si>
  <si>
    <t>J. Biol. Dyn.</t>
  </si>
  <si>
    <t>10.1080/17513758.2012.697195</t>
  </si>
  <si>
    <t>Ecology; Mathematical &amp; Computational Biology</t>
  </si>
  <si>
    <t>Environmental Sciences &amp; Ecology; Mathematical &amp; Computational Biology</t>
  </si>
  <si>
    <t>019AP</t>
  </si>
  <si>
    <t>WOS:000309709600002</t>
  </si>
  <si>
    <t>Heiligers, J; Ceriotti, M; McInnes, CR; Biggs, JD</t>
  </si>
  <si>
    <t>McAdams, JV; McKinley, DP; Berry, MM; Jenkins, KL</t>
  </si>
  <si>
    <t>Heiligers, Jeannette; Ceriotti, Matteo; McInnes, Colin R.; Biggs, James D.</t>
  </si>
  <si>
    <t>DESIGN OF OPTIMAL TRANSFERS BETWEEN NORTH AND SOUTH POLE-SITTER ORBITS</t>
  </si>
  <si>
    <t>SPACEFLIGHT MECHANICS 2012</t>
  </si>
  <si>
    <t>Advances in the Astronautical Sciences</t>
  </si>
  <si>
    <t>22nd AAS/AIAA Space Flight Mechanics Meeting</t>
  </si>
  <si>
    <t>JAN 29-FEB 02, 2012</t>
  </si>
  <si>
    <t>SOLAR SAIL; MISSION; PROPULSION</t>
  </si>
  <si>
    <t>Recent studies have shown the feasibility of an Earth pole-sitter mission, where a spacecraft follows the Earth's polar axis to have a continuous, hemispherical view of one of the Earth's Poles. However, due to the tilt of the polar axis, the North and South Poles are alternately situated in darkness for long periods during the year. This significantly constrains observations and decreases mission scientific return. This paper therefore investigates transfers between north and south pole-sitter orbits before the start of the Arctic and Antarctic winters to maximize scientific return by observing the polar regions only when lit. Clearly, such a transfer can also be employed for the sole purpose of visiting both the North and South Poles with one single spacecraft during one single mission. To enable such a novel transfer, two types of propulsion are proposed, including solar electric propulsion (SEP) and a hybridization of SEP with solar sailing. A direct optimization method based on pseudospectral transcription is used to find both transfers that minimize the SEP propellant consumption and transfers that trade-off SEP propellant consumption and observation time of the Poles. Also, a feedback control is developed to account for non-ideal properties of the solar sail. It is shown that, for all cases considered, hybrid low-thrust propulsion out-performs the pure SEP case, while enabling a transfer that would not be feasible with current solar sail technology.</t>
  </si>
  <si>
    <t>[Heiligers, Jeannette; Ceriotti, Matteo; McInnes, Colin R.; Biggs, James D.] Univ Strathclyde, Adv Space Concepts Lab, Dept Mech &amp; Aerosp Engn, Glasgow G1 1XJ, Lanark, Scotland</t>
  </si>
  <si>
    <t>University of Strathclyde</t>
  </si>
  <si>
    <t>Heiligers, J (corresponding author), Univ Strathclyde, Adv Space Concepts Lab, Dept Mech &amp; Aerosp Engn, 75 Montrose St, Glasgow G1 1XJ, Lanark, Scotland.</t>
  </si>
  <si>
    <t>Ceriotti, Matteo/O-3128-2013; McInnes, Colin R/H-7794-2012; Biggs, James/AAQ-1385-2020</t>
  </si>
  <si>
    <t>Ceriotti, Matteo/0000-0001-6819-7178;</t>
  </si>
  <si>
    <t>UNIVELT INC</t>
  </si>
  <si>
    <t>PO BOX 28130, SAN DIEGO, CA 92128 USA</t>
  </si>
  <si>
    <t>1081-6003</t>
  </si>
  <si>
    <t>978-0-87703-581-7</t>
  </si>
  <si>
    <t>ADV ASTRONAUT SCI</t>
  </si>
  <si>
    <t>BBY53</t>
  </si>
  <si>
    <t>WOS:000308787200056</t>
  </si>
  <si>
    <t>Fischer, GM; Omotoso, O; Chen, GM; Evans, JW</t>
  </si>
  <si>
    <t>Fischer, Gerd M.; Omotoso, Oluseun; Chen, Guangming; Evans, John W.</t>
  </si>
  <si>
    <t>Availability Estimation for Facilities in Extreme Geographical Locations</t>
  </si>
  <si>
    <t>2012 PROCEEDINGS - ANNUAL RELIABILITY AND MAINTAINABILITY SYMPOSIUM (RAMS)</t>
  </si>
  <si>
    <t>Annual Reliability and Maintainability Symposium (RAMS)</t>
  </si>
  <si>
    <t>JAN 23-26, 2012</t>
  </si>
  <si>
    <t>Reno, NV</t>
  </si>
  <si>
    <t>Reliability Block Diagram; Logistic Analysis</t>
  </si>
  <si>
    <t>A value added analysis for the Reliability, Availability and Maintainability of McMurdo Ground Station was developed, which will be a useful tool for system managers in sparing, maintenance planning and determining vital performance metrics needed for readiness assessment of the upgrades to the McMurdo System. Output of this study can also be used as inputs and recommendations for the application of Reliability Centered Maintenance (RCM) for the system. ReliaSoft's BlockSim [1], a commercial Reliability Analysis software package, has been used to model the availability of the system upgrade to the National Aeronautics and Space Administration (NASA) Near Earth Network (NEN) Ground Station at McMurdo Station [2] in the Antarctica. The logistics challenges due to the closure of access to McMurdo Station during the Antarctic winter was modeled using a weighted composite of four Weibull distributions, one of the possible choices for statistical distributions throughout the software program and usually used to account for failure rates of components supplied by different manufacturers. The inaccessibility of the antenna site on a hill outside McMurdo Station throughout one year due to severe weather was modeled with a Weibull distribution for the repair crew availability. The Weibull distribution is based on an analysis of the available weather data for the antenna site for 2007 in combination with the rules for travel restrictions due to severe weather imposed by the administrating agency, the National Science Foundation (NSF). The simulations resulted in an upper bound for the system availability and allowed for identification of components that would improve availability based on a higher on- site spare count than initially planned.</t>
  </si>
  <si>
    <t>chen, guan-ming/ISA-0910-2023</t>
  </si>
  <si>
    <t>Evans, John/0000-0002-9895-1634</t>
  </si>
  <si>
    <t>978-1-4577-1851-9</t>
  </si>
  <si>
    <t>Engineering, Industrial; Engineering, Electrical &amp; Electronic</t>
  </si>
  <si>
    <t>BBZ45</t>
  </si>
  <si>
    <t>WOS:000309184100053</t>
  </si>
  <si>
    <t>Shi, R; Han, D; Ni, B; Hu, ZJ; Zhou, C; Gu, X</t>
  </si>
  <si>
    <t>Shi, R.; Han, D.; Ni, B.; Hu, Z. -J.; Zhou, C.; Gu, X.</t>
  </si>
  <si>
    <t>Intensification of dayside diffuse auroral precipitation: contribution of dayside Whistler-mode chorus waves in realistic magnetic fields</t>
  </si>
  <si>
    <t>ANNALES GEOPHYSICAE</t>
  </si>
  <si>
    <t>Magnetospheric physics; Auroral phenomena</t>
  </si>
  <si>
    <t>PITCH-ANGLE DIFFUSION; ELECTRONS; SIMULATIONS</t>
  </si>
  <si>
    <t>Compared to the recently improved understanding of nightside diffuse aurora, the mechanism(s) responsible for dayside diffuse aurora remains poorly understood. While dayside chorus has been thought as a potential major contributor to dayside diffuse auroral precipitation, quantitative analyses of the role of chorus wave scattering have not been carefully performed. In this study we investigate a dayside diffuse auroral intensification event observed by the Chinese Arctic Yellow River Station (YRS) all-sky imagers (ASI) on 7 January 2005 and capture a substantial increase in diffuse auroral intensity at the 557.7 nm wavelength that occurred over almost the entire ASI field-of-view near 09:24 UT, i.e., similar to 12:24 MLT. Computation of bounce-averaged resonant scattering rates by dayside chorus emissions using realistic magnetic field models demonstrates that dayside chorus scattering can produce intense precipitation losses of plasma sheet electrons on timescales of hours (even approaching the strong diffusion limit) over a broad range of both energy and pitch angle, specifically, from similar to 1 keV to 50 keV with equatorial pitch angles from the loss cone to up to similar to 85A degrees depending on electron energy. Subsequent estimate of loss cone filling index indicates that the loss cone can be substantially filled, due to dayside chorus driven pitch angle scattering, at a rate of a parts per thousand yen0.8 for electrons from similar to 500 eV to 50 keV that exactly covers the precipitating electrons for the excitation of green-line diffuse aurora. Estimate of electron precipitation flux at different energy levels, based on loss cone filling index profile and typical dayside electron distribution observed by THEMIS spacecraft under similar conditions, gives a total precipitation electron energy flux of the order of 0.1 erg cm(-2) s(-1) with similar to 1 keV characteristic energy (especially when using T01s), which can be very likely to cause intense green-line diffuse aurora activity on the dayside. Therefore, dayside chorus scattering in the realistic magnetic field can greatly contribute to the YRS ASI observed intensification of dayside green-line aurora. Besides wave induced scattering and changes in the ambient magnetic field, variations in associated electron flux can also contribute to enhanced diffuse aurora emissions, the possibility of which we cannot exactly rule out due to lack of simultaneous observations of magnetospheric particles. Since the geomagnetic activity level was rather low during the period of interest, it is reasonable to infer that changes in the associated electron flux in the magnetosphere should be small, and consequently its contribution to the observed enhanced diffuse auroral activity should be small as well. Our results support the scenario that dayside chorus could play a major role in the production of dayside diffuse aurora, and also demonstrate that changes in magnetospheric magnetic field should be considered to reasonably interpret observations of dayside diffuse aurora.</t>
  </si>
  <si>
    <t>[Shi, R.; Han, D.; Hu, Z. -J.] Polar Res Inst China, SOA Key Lab Polar Sci, Shanghai, Peoples R China; [Shi, R.] Kyushu Univ, Dept Earth &amp; Planetary Sci, Fukuoka 812, Japan; [Ni, B.] Univ Calif Los Angeles, Dept Atmospher &amp; Ocean Sci, Los Angeles, CA USA; [Zhou, C.] Wuhan Univ, Dept Space Phys, Sch Elect Informat, Wuhan 430072, Hubei, Peoples R China; [Gu, X.] Univ Calif Los Angeles, Inst Geophys &amp; Planetary Sci, Los Angeles, CA 90024 USA</t>
  </si>
  <si>
    <t>Polar Research Institute of China; Kyushu University; University of California System; University of California Los Angeles; Wuhan University; University of California System; University of California Los Angeles</t>
  </si>
  <si>
    <t>Shi, R (corresponding author), Polar Res Inst China, SOA Key Lab Polar Sci, Shanghai, Peoples R China.</t>
  </si>
  <si>
    <t>shirun0317@gmail.com</t>
  </si>
  <si>
    <t>Hu, Ze-Jun/X-8090-2019; Han, Desheng/P-2663-2017; Ni, Binbin/I-5244-2013; Han, Desheng/H-6971-2018</t>
  </si>
  <si>
    <t>Hu, Ze-Jun/0000-0003-2448-2094; Han, Desheng/0000-0002-6635-9214</t>
  </si>
  <si>
    <t>National Natural Science Foundation of China [41004061, 41031064, 40904041, 40974083, 40974103, 40890164, 41274164]; Public Science and Technology Research Funds Projects of Ocean [201005017]; Chinese Arctic and Antarctic Administration [IC201205]; NASA [NNX12AD12G]; NICT International Exchange Program</t>
  </si>
  <si>
    <t>National Natural Science Foundation of China(National Natural Science Foundation of China (NSFC)); Public Science and Technology Research Funds Projects of Ocean; Chinese Arctic and Antarctic Administration; NASA(National Aeronautics &amp; Space Administration (NASA)); NICT International Exchange Program</t>
  </si>
  <si>
    <t>This work was supported by the National Natural Science Foundation of China (41004061, 41031064, 40904041, 40974083, 40974103, 40890164, 41274164), Public Science and Technology Research Funds Projects of Ocean (201005017). Thanks are also given for the financial support of the Chinese Arctic and Antarctic Administration (IC201205). We thank Wen Li for providing us the THEMIS ESA electron distribution data. We also thank the reviewers for very constructive and valuable comments and suggestions to improve the quality of this study. BN acknowledges the support by NASA grant NNX12AD12G. RS thanks the financial support by the NICT International Exchange Program.</t>
  </si>
  <si>
    <t>0992-7689</t>
  </si>
  <si>
    <t>1432-0576</t>
  </si>
  <si>
    <t>ANN GEOPHYS-GERMANY</t>
  </si>
  <si>
    <t>Ann. Geophys.</t>
  </si>
  <si>
    <t>10.5194/angeo-30-1297-2012</t>
  </si>
  <si>
    <t>Astronomy &amp; Astrophysics; Geosciences, Multidisciplinary; Meteorology &amp; Atmospheric Sciences</t>
  </si>
  <si>
    <t>Astronomy &amp; Astrophysics; Geology; Meteorology &amp; Atmospheric Sciences</t>
  </si>
  <si>
    <t>015BZ</t>
  </si>
  <si>
    <t>WOS:000309421400001</t>
  </si>
  <si>
    <t>Mihalikova, M; Kirkwood, S; Arnault, J; Mikhaylova, D</t>
  </si>
  <si>
    <t>Mihalikova, M.; Kirkwood, S.; Arnault, J.; Mikhaylova, D.</t>
  </si>
  <si>
    <t>Observation of a tropopause fold by MARA VHF wind-profiler radar and ozonesonde at Wasa, Antarctica: comparison with ECMWF analysis and a WRF model simulation</t>
  </si>
  <si>
    <t>Meteorology and atmospheric dynamics; Mesoscale meteorology; Polar meteorology; Instruments and techniques</t>
  </si>
  <si>
    <t>STRATOSPHERE-TROPOSPHERE EXCHANGE; CLIMATOLOGY; TRANSPORT</t>
  </si>
  <si>
    <t>Tropopause folds are one of the mechanisms of stratosphere-troposphere exchange, which can bring ozone rich stratospheric air to low altitudes in the extra-tropical regions. They have been widely studied at northern mid- or high latitudes, but so far almost no studies have been made at mid- or high southern latitudes. The Moveable Atmospheric Radar for Antarctica (MARA), a 54.5 MHz wind-profiler radar, has operated at the Swedish summer station Wasa, Antarctica (73A degrees S, 13.5A degrees W) during austral summer seasons from 2007 to 2011 and has observed on several occasions signatures similar to those caused by tropopause folds at comparable Arctic latitudes. Here a case study is presented of one of these events when an ozonesonde successfully sampled the fold. Analysis from European Center for Medium Range Weather Forecasting (ECMWF) is used to study the circumstances surrounding the event, and as boundary conditions for a mesoscale simulation using the Weather Research and Forecasting (WRF) model. The fold is well resolved by the WRF simulation, and occurs on the poleward side of the polar jet stream. However, MARA resolves fine-scale layering associated with the fold better than the WRF simulation.</t>
  </si>
  <si>
    <t>[Mihalikova, M.; Kirkwood, S.; Arnault, J.; Mikhaylova, D.] Swedish Inst Space Phys, S-98128 Kiruna, Sweden; [Mihalikova, M.; Kirkwood, S.] Lulea Univ Technol, Div Space Technol, Kiruna, Sweden</t>
  </si>
  <si>
    <t>Lulea University of Technology</t>
  </si>
  <si>
    <t>Mihalikova, M (corresponding author), Swedish Inst Space Phys, Box 812, S-98128 Kiruna, Sweden.</t>
  </si>
  <si>
    <t>maria.mihalikova@irf.se</t>
  </si>
  <si>
    <t>Arnault, Joël/AAV-2282-2021</t>
  </si>
  <si>
    <t>Arnault, Joël/0000-0001-8859-5173</t>
  </si>
  <si>
    <t>Swedish Research Council [621-2010-3218]; Graduate School of Space Technology, Lulea University of Technology; Knut and Alice Wallenberg's foundation; Swedish Polar Research Secretariat [SWEDARP2010]; Finnish Antarctic Research Programme [FINNARP2010]</t>
  </si>
  <si>
    <t>Swedish Research Council(Swedish Research Council); Graduate School of Space Technology, Lulea University of Technology; Knut and Alice Wallenberg's foundation(Knut &amp; Alice Wallenberg Foundation); Swedish Polar Research Secretariat; Finnish Antarctic Research Programme</t>
  </si>
  <si>
    <t>We gratefully acknowledge support for this research from Swedish Research Council (621-2010-3218). M. Mihalikova is supported by the Graduate School of Space Technology, Lulea University of Technology. MARA radar was financed by Knut and Alice Wallenberg's foundation and supported in its operation in Antarctica by Swedish Polar Research Secretariat (SWEDARP2010) and the Finnish Antarctic Research Programme (FINNARP2010).</t>
  </si>
  <si>
    <t>10.5194/angeo-30-1411-2012</t>
  </si>
  <si>
    <t>WOS:000309421400011</t>
  </si>
  <si>
    <t>Flament, T; Rémy, F</t>
  </si>
  <si>
    <t>Flament, Thomas; Remy, Frederique</t>
  </si>
  <si>
    <t>Dynamic thinning of Antarctic glaciers from along-track repeat radar altimetry</t>
  </si>
  <si>
    <t>PINE ISLAND GLACIER; SHEET MASS-BALANCE; ICE STREAM-C; WEST ANTARCTICA; SEA-LEVEL; ACCUMULATION VARIABILITY; SNOW ACCUMULATION; GREENLAND; ELEVATION; FLOW</t>
  </si>
  <si>
    <t>Since 2002, the Envisat radar altimeter has measured the elevation of the Antarctic ice sheet with a repeat cycle of 35 days. This long and regular time series is processed using an along-track algorithm to depict in detail the spatial and temporal pattern of elevation change for the whole ice sheet. We use this dataset to examine the spatial and temporal pattern of Pine Island Glacier (PIG) thinning and compare it to the neighbouring glaciers. We also examine additional areas, especially in East Antarctica whose mass balance is poorly known. One advantage of the finer along-track spacing of measurements is that it reveals places of dynamic thinning in regions of rapid ice flow. We observe the acceleration of thinning on PIG. Over the entire basin, the volume loss increased from 7 km(3) a(-1) during 2002-06 to similar to 48 km(3) a(-1) during 2006-10. We also observe accelerated thinning on the lower tens of kilometres of Thwaites Glacier, with a mean thinning of 0.18 m a(-1) over its entire basin during our observation period. We confirm the dynamic thinning of Totten Glacier but we do not detect significantly accelerated thinning on any glacier elsewhere than on the coast of the Amundsen Sea.</t>
  </si>
  <si>
    <t>[Flament, Thomas; Remy, Frederique] Legos, Toulouse, France</t>
  </si>
  <si>
    <t>Flament, T (corresponding author), Legos, Toulouse, France.</t>
  </si>
  <si>
    <t>thomas.flament@legos.obs-mip.fr</t>
  </si>
  <si>
    <t>Flament, Thomas/0000-0001-9702-302X</t>
  </si>
  <si>
    <t>ADAGe project [ANR-09-SYSC-001]; Agence National de la Recherche (ANR); French Space Agency (CNES) through the TOSCA programme; CNES; French National Research Centre (CNRS)</t>
  </si>
  <si>
    <t>ADAGe project; Agence National de la Recherche (ANR)(Agence Nationale de la Recherche (ANR)); French Space Agency (CNES) through the TOSCA programme; CNES(Centre National D'etudes Spatiales); French National Research Centre (CNRS)(Centre National de la Recherche Scientifique (CNRS))</t>
  </si>
  <si>
    <t>We thank F. Blarel for preprocessing the data, and E. Berthier for insightful comments. This work was supported by the ADAGe project (ANR-09-SYSC-001) funded by the Agence National de la Recherche (ANR) and by the French Space Agency (CNES) through the TOSCA programme. T. Flament acknowledges a PhD fellowship from CNES and the French National Research Centre (CNRS). Comments from two anonymous referees greatly improved the paper.</t>
  </si>
  <si>
    <t>10.3189/2012JoG11J118</t>
  </si>
  <si>
    <t>012PG</t>
  </si>
  <si>
    <t>WOS:000309248400002</t>
  </si>
  <si>
    <t>Engel, Z; Nyvlt, D; Láska, K</t>
  </si>
  <si>
    <t>Engel, Zbynek; Nyvlt, Daniel; Laska, Kamil</t>
  </si>
  <si>
    <t>Ice thickness, areal and volumetric changes of Davies Dome and Whisky Glacier (James Ross Island, Antarctic Peninsula) in 1979-2006</t>
  </si>
  <si>
    <t>KING-GEORGE-ISLAND; LIVINGSTON ISLAND; CLIMATE VARIABILITY; ANNULAR MODE; MASS-BALANCE; IMPACT; HISTORY; CAP</t>
  </si>
  <si>
    <t>This study calculates area, volume and elevation changes of two glaciers on James Ross Island, Antarctica, during the period 1979-2006. Davies Dome is a small ice cap. Whisky Glacier is a valley glacier. Ground-penetrating radar surveys indicate ice thickness, which was used for calculations of the bed topography and volume of both glaciers. Maximum measured ice thicknesses of Davies Dome and Whisky Glacier are 83 +/- 2 and 157 +/- 2 m, respectively. Between 1979 and 2006, the area of the ice cap decreased from 6.23 +/- 0.05 km(2) to 4.94 +/- 0.01 km(2) (-20.7%), while the area of the valley glacier reduced from 2.69 +/- 0.02 km(2) to 2.40 +/- 0.01 km(2) (-10.6%). Over the same period the volume of the ice cap and valley glacier reduced from 0.23 +/- 0.03 km(3) to 0.16 +/- 0.02 km(3) (-30.4%) and from 0.27 +/- 0.02 km(3) to 0.24 +/- 0.01 km(3) (-10.6%), respectively. The mean surface elevation decreased by 8.5 +/- 2.8 and 10.1 +/- 2.8 m. The average areal (similar to 0.048-0.011 km(2) a(-1)) and volumetric (similar to 0.003-0.001 km(3) a(-1)) changes are higher than the majority of other estimates from Antarctic Peninsula glaciers.</t>
  </si>
  <si>
    <t>[Engel, Zbynek] Charles Univ Prague, Dept Phys Geog &amp; Geoecol, Prague, Czech Republic; [Engel, Zbynek; Nyvlt, Daniel] Czech Geol Survey, Brno, Czech Republic; [Laska, Kamil] Masaryk Univ, Dept Geog, Brno, Czech Republic</t>
  </si>
  <si>
    <t>Charles University Prague; Czech Geological Survey; Masaryk University Brno</t>
  </si>
  <si>
    <t>Engel, Z (corresponding author), Charles Univ Prague, Dept Phys Geog &amp; Geoecol, Prague, Czech Republic.</t>
  </si>
  <si>
    <t>engel@natur.cuni.cz</t>
  </si>
  <si>
    <t>Nyvlt, Daniel/J-6504-2019; Engel, Zbyněk/S-2954-2016; Laska, Kamil/L-7875-2013</t>
  </si>
  <si>
    <t>Nyvlt, Daniel/0000-0002-6876-490X; Engel, Zbyněk/0000-0002-5209-7823; Laska, Kamil/0000-0002-5199-9737</t>
  </si>
  <si>
    <t>Czech Science Foundation [205/09/1876]; Ministry of Environments of the Czech Republic [VaV SP II 1a9/23/07]</t>
  </si>
  <si>
    <t>Czech Science Foundation(Grant Agency of the Czech Republic); Ministry of Environments of the Czech Republic</t>
  </si>
  <si>
    <t>This work was funded by the Czech Science Foundation (project No. 205/09/1876) and by the Ministry of Environments of the Czech Republic (VaV SP II 1a9/23/07). Topographic data were provided by the Czech Geological Survey. The study was undertaken in January and February 2010 during a fieldwork stay at the Johann Gregor Mendel Base. We thank P. Vaczi, J. Poboril and P. Palka for field and logistic support. Constructive comments and language editing by Jonathan L. Carrivick were highly appreciated. Helpful comments and suggestions from the scientific editor, David M. Rippin, and two anonymous reviewers are also acknowledged.</t>
  </si>
  <si>
    <t>10.3189/2012JoG11J156</t>
  </si>
  <si>
    <t>WOS:000309248400009</t>
  </si>
  <si>
    <t>Krafft, BA; Skaret, G; Knutsen, T; Melle, W; Klevjer, T; Soiland, H</t>
  </si>
  <si>
    <t>Krafft, Bjorn A.; Skaret, Georg; Knutsen, Tor; Melle, Webjorn; Klevjer, Thor; Soiland, Henrik</t>
  </si>
  <si>
    <t>Antarctic krill swarm characteristics in the Southeast Atlantic sector of the Southern Ocean</t>
  </si>
  <si>
    <t>Euphausia superba; Aggregation; Acoustics; Swarm; Bouvetoya</t>
  </si>
  <si>
    <t>EUPHAUSIA-SUPERBA; AGGREGATION CHARACTERISTICS; IMPROVED PARAMETERIZATION; ACOUSTIC OBSERVATIONS; SOCIAL AGGREGATION; TARGET STRENGTHS; SEA-ICE; BEHAVIOR; SUMMER; VARIABILITY</t>
  </si>
  <si>
    <t>Knowledge about swarm dynamics and underlying causes is essential to understand the ecology and distribution of Antarctic krill Euphausia superba. We collected acoustic data and key environmental data continuously across extensive gradients in the little-studied Southeast Atlantic sector of the Southern Ocean. A total of 4791 krill swarms with swarm descriptors including swarm height and length, packing density, swimming depth and inter-swarm distance were extracted. Through multivariate statistics, swarms were categorized into 4 groups. Group 2 swarms were largest (median length 108 m and thickness 18 m), whereas swarms in both Groups 1 and 4 were on average small, but differed markedly in depth distribution (median: 52 m for Group 1 vs. 133 m for Group 4). There was a strong spatial autocorrelation in the occurrence of swarms, and an autologistic regression model found no prediction of swarm occurrence from environmental variables for any of the Groups 1, 2 or 4. Probability of occurrence of Group 3 swarms, however, increased with increasing depth and temperature. Group 3 was the most distinctive swarm group with an order of magnitude higher packing density (median: 226 ind. m(-3)) than swarms from any of the other groups and about twice the distance to nearest neighbor swarm (median: 493 m). The majority of the krill were present in Group 3 swarms, and the absence of association with hydrographic or topographic concentrating mechanisms strongly suggests that these swarms aggregate through their own locomotion, possibly associated with migration.</t>
  </si>
  <si>
    <t>[Krafft, Bjorn A.; Skaret, Georg; Knutsen, Tor; Melle, Webjorn; Soiland, Henrik] Inst Marine Res, N-5870 Bergen, Norway; [Klevjer, Thor] Univ Oslo, Dept Biol, N-0316 Oslo, Norway; [Klevjer, Thor] King Abdullah Univ Sci &amp; Technol, Thuwal 239556900, Saudi Arabia</t>
  </si>
  <si>
    <t>Institute of Marine Research - Norway; University of Oslo; King Abdullah University of Science &amp; Technology</t>
  </si>
  <si>
    <t>Krafft, BA (corresponding author), Inst Marine Res, N-5870 Bergen, Norway.</t>
  </si>
  <si>
    <t>bjorn.krafft@imr.no</t>
  </si>
  <si>
    <t>Knutsen, Tor/0000-0003-3531-5611</t>
  </si>
  <si>
    <t>Norsk Hydro (StatoilHydro); Norwegian Petroleum Directorate; ABB Norway</t>
  </si>
  <si>
    <t>Norsk Hydro (StatoilHydro)(Norsk Hydro ASA); Norwegian Petroleum Directorate; ABB Norway</t>
  </si>
  <si>
    <t>The Royal Norwegian Ministry of Fisheries and Coastal Affairs commissioned and contributed to the AKES expedition. In addition the survey and project were made possible due to contributions by the Institute of Marine Research, The University of Bergen, Norwegian Antarctic Research Expeditions (NARE), The Research Council of Norway, and was also sponsored by Norsk Hydro (StatoilHydro), the Norwegian Petroleum Directorate and ABB Norway. We also extend our gratitude to the crew of the RV 'G. O. Sars' and Elin Hjelset (IMR) for advice regarding the use of ArcGis software.</t>
  </si>
  <si>
    <t>10.3354/meps09876</t>
  </si>
  <si>
    <t>014HR</t>
  </si>
  <si>
    <t>WOS:000309366300006</t>
  </si>
  <si>
    <t>Satheesan, K</t>
  </si>
  <si>
    <t>Satheesan, K.</t>
  </si>
  <si>
    <t>Tracer-tracer relation in the Arctic stratosphere using fuzzy logic</t>
  </si>
  <si>
    <t>stratosphere; arctic; trace gases; tracer relation; fuzzy logic</t>
  </si>
  <si>
    <t>NORTH INDIAN-OCEAN; GENETIC ALGORITHM; ILAS-II; SATELLITE; OZONE; IDENTIFICATION; SYSTEMS</t>
  </si>
  <si>
    <t>Potential of finding a robust tracer-tracer relation using an approach based on fuzzy logic in the Arctic stratosphere using satellite observations of O-3 and N2O has been demonstrated. Using this tracer-tracer relation, O-3 is predicted in terms of N2O, latitude, longitude, altitude and day of the year. The model for O-3 based on this approach has been validated with independent observations and has been found to be superior to those based on regression. This method has the potential to generate long time series of chemical species data from different satellite sensors in a self-consistent manner. These data have use in model evaluations and data assimilation.</t>
  </si>
  <si>
    <t>Natl Ctr Antarctic &amp; Ocean Res, Vasco Da Gama, Goa, India</t>
  </si>
  <si>
    <t>Satheesan, K (corresponding author), Natl Ctr Antarctic &amp; Ocean Res, Vasco Da Gama, Goa, India.</t>
  </si>
  <si>
    <t>satheesan.k@gmail.com</t>
  </si>
  <si>
    <t>K, Satheesan/B-8495-2009</t>
  </si>
  <si>
    <t>K, Satheesan/0000-0003-1456-7203</t>
  </si>
  <si>
    <t>Ministry of the Environment, Japan</t>
  </si>
  <si>
    <t>Ministry of the Environment, Japan(Ministry of the Environment, Japan)</t>
  </si>
  <si>
    <t>The author thanks the Director, National Centre for Antarctic and Ocean Research (NCAOR), Goa, for supporting this study. The ILAS-II data were processed at the ILAS-II Data Handling Facility of the National Institute for Environmental Studies, Japan. The ILAS-II project was funded by the Ministry of the Environment, Japan. This is NCAOR contribution 29/2012.</t>
  </si>
  <si>
    <t>CO-ACTION PUBLISHING</t>
  </si>
  <si>
    <t>JARFALLA</t>
  </si>
  <si>
    <t>RIPVAGEN 7, JARFALLA, SE-175 64, SWEDEN</t>
  </si>
  <si>
    <t>0280-6509</t>
  </si>
  <si>
    <t>10.3402/tellusb.v64i0.17164</t>
  </si>
  <si>
    <t>016LN</t>
  </si>
  <si>
    <t>WOS:000309520000001</t>
  </si>
  <si>
    <t>Dou, T; Xiao, C; Shindell, DT; Liu, J; Eleftheriadis, K; Ming, J; Qin, D</t>
  </si>
  <si>
    <t>Dou, T.; Xiao, C.; Shindell, D. T.; Liu, J.; Eleftheriadis, K.; Ming, J.; Qin, D.</t>
  </si>
  <si>
    <t>The distribution of snow black carbon observed in the Arctic and compared to the GISS-PUCCINI model</t>
  </si>
  <si>
    <t>GODDARD-INSTITUTE; SEA-ICE; CLIMATE; EMISSIONS; SOOT; SIMULATIONS; POLLUTANTS; TRANSPORT; AEROSOLS; COVER</t>
  </si>
  <si>
    <t>In this study, we evaluate the ability of the latest NASA GISS composition-climate model, GISS-E2-PUCCINI, to simulate the spatial distribution of snow BC (sBC) in the Arctic relative to present-day observations. Radiative forcing due to BC deposition onto Arctic snow and sea ice is also estimated. Two sets of model simulations are analyzed, where meteorology is linearly relaxed towards National Centers for Environmental Prediction (NCEP) and towards NASA Modern Era Reanalysis for Research and Applications (MERRA) reanalyses. Results indicate that the modeled concentrations of sBC are comparable with present-day observations in and around the Arctic Ocean, except for apparent underestimation at a few sites in the Russian Arctic. That said, the model has some biases in its simulated spatial distribution of BC deposition to the Arctic. The simulations from the two model runs are roughly equal, indicating that discrepancies between model and observations come from other sources. Underestimation of biomass burning emissions in Northern Eurasia may be the main cause of the low biases in the Russian Arctic. Comparisons of modeled aerosol BC (aBC) with long-term surface observations at Barrow, Alert, Zeppelin and Nord stations show significant underestimation in winter and spring concentrations in the Arctic (most significant in Alaska), although the simulated seasonality of aBC has been greatly improved relative to earlier model versions. This is consistent with simulated biases in vertical profiles of aBC, with underestimation in the lower and middle troposphere but overestimation in the upper troposphere and lower stratosphere, suggesting that the wet removal processes in the current model may be too weak or that vertical transport is too rapid, although the simulated BC lifetime seems reasonable. The combination of observations and modeling provides a comprehensive distribution of sBC over the Arctic. On the basis of this distribution, we estimate the decrease in snow and sea ice albedo and the resulting radiative forcing. We suggest that the albedo reduction due to BC deposition presents significant space-time variations, with highest mean reductions of 1.25% in the Russian Arctic, which are much larger than those in other Arctic regions (0.39% to 0.64 %). The averaged value over the Arctic north of 66 degrees N is 0.4-0.6% during spring, leading to regional surface radiative forcings of 0.7, 1.1 and 1.0 W m(-2) in spring 2007, 2008 and 2009, respectively.</t>
  </si>
  <si>
    <t>[Dou, T.; Xiao, C.; Ming, J.; Qin, D.] Chinese Acad Sci, Cold &amp; Arid Reg Environm &amp; Engn Res Inst, State Key Lab Cryospher Sci, Lanzhou 730000, Peoples R China; [Dou, T.] Univ Chinese Acad Sci, Coll Resources &amp; Environm, Beijing 100049, Peoples R China; [Dou, T.; Xiao, C.] Chinese Acad Meteorol Sci, Inst Climate Syst, Beijing 100081, Peoples R China; [Shindell, D. T.] Columbia Univ, Columbia Earth Inst, New York, NY 10025 USA; [Shindell, D. T.] NASA, Goddard Inst Space Studies, New York, NY 10025 USA; [Liu, J.] Chinese Acad Sci, Inst Atmospher Phys, State Key Lab Numer Modeling Atmospher Sci &amp; Geop, Beijing 100029, Peoples R China; [Eleftheriadis, K.] Natl Ctr Sci Res Demokritos, IN Ra STES, Environm Radioact Lab, Athens 15310, Greece; [Ming, J.] China Meteorol Adm, Natl Climate Ctr, Beijing 100081, Peoples R China</t>
  </si>
  <si>
    <t>Chinese Academy of Sciences; Cold &amp; Arid Regions Environmental &amp; Engineering Research Institute, CAS; Chinese Academy of Sciences; University of Chinese Academy of Sciences, CAS; China Meteorological Administration; Chinese Academy of Meteorological Sciences (CAMS); Columbia University; National Aeronautics &amp; Space Administration (NASA); NASA Goddard Space Flight Center; Goddard Institute for Space Studies; Chinese Academy of Sciences; Institute of Atmospheric Physics, CAS; National Centre of Scientific Research Demokritos; China Meteorological Administration</t>
  </si>
  <si>
    <t>Xiao, C (corresponding author), Chinese Acad Sci, Cold &amp; Arid Reg Environm &amp; Engn Res Inst, State Key Lab Cryospher Sci, Lanzhou 730000, Peoples R China.</t>
  </si>
  <si>
    <t>cdxiao@cams.cma.gov.cn</t>
  </si>
  <si>
    <t>Shindell, Drew/D-4636-2012; Ming, Jing/C-2975-2008; Eleftheriadis, Konstantinos/G-2814-2011</t>
  </si>
  <si>
    <t>Shindell, Drew/0000-0003-1552-4715; Ming, Jing/0000-0001-5527-3768; Eleftheriadis, Konstantinos/0000-0003-2265-4905</t>
  </si>
  <si>
    <t>Opening Founding of State Key Laboratory of Cryospheric Sciences [SKLCS 09-07]; National Basic Research Program of China [2011CB403401, 2010CB955608]; NSFC [41121001]; key project of CAMS [2010Z002]</t>
  </si>
  <si>
    <t>Opening Founding of State Key Laboratory of Cryospheric Sciences; National Basic Research Program of China(National Basic Research Program of China); NSFC(National Natural Science Foundation of China (NSFC)); key project of CAMS</t>
  </si>
  <si>
    <t>We especially thank S. J. Doherty who supplied most of the sBC observations and gave valuable comments on this study. We would like to thank the anonymous referee for their valuable comments greatly improving the paper. We also would like to thank Chinese Arctic and Antarctic Administration for providing the opportunities of participating in the Arctic expeditions and the kindly help of all staff in the 3rd Chinese Arctic expedition and the 1st Korean Arctic expedition. We also acknowledge Sharma Sangeeta and Anne Jefferson for sharing long-term BC observations at Alert and Barrow station, and Joshua Schwarz for his positive help in the comparison of vertical profiles of BC from GISS model with aircraft measurement data obtained during HIPPO1 campaign. Discussion with Q. Wang has been very valuable for the estimation of albedo reduction. The concentrations of sBC reported in this study are measured in Center for Atmosphere Watch and Service, Chinese Academy of Meteorological Sciences. This work was funded by the Opening Founding of State Key Laboratory of Cryospheric Sciences (SKLCS 09-07), National Basic Research Program of China (2011CB403401, 2010CB955608), NSFC(41121001), and key project of CAMS (2010Z002).</t>
  </si>
  <si>
    <t>10.5194/acp-12-7995-2012</t>
  </si>
  <si>
    <t>005MF</t>
  </si>
  <si>
    <t>WOS:000308753800009</t>
  </si>
  <si>
    <t>Tomaselli, KG</t>
  </si>
  <si>
    <t>Tomaselli, Keyan G.</t>
  </si>
  <si>
    <t>Consuming nature: Antarctica, penguins and pollution</t>
  </si>
  <si>
    <t>CRITICAL ARTS-SOUTH-NORTH CULTURAL AND MEDIA STUDIES</t>
  </si>
  <si>
    <t>Antarctica; auto-ethnography; environmental impact; smoking; tourism</t>
  </si>
  <si>
    <t>OZONE; COSTS</t>
  </si>
  <si>
    <t>Non-smokers' responses towards smokers on an Antarctic cruise provide the narrative thread against which broader environmental issues and passenger behaviour are debated. The study, conducted over a two-week period in 2009, applies auto-ethnography in examining contradictory tourist and crew behaviour with regard to the ship's internal and external environments. The ways in which designated smoking areas functioned to exclude the majority of passengers from common spaces, is examined. Simultaneously, the narrative takes the reader on a journey of how the study of responses to smoking gained in momentum as it began to address much broader issues of environmental degradation, environmental law and sustainable tourism.</t>
  </si>
  <si>
    <t>tomasell@ukzn.ac.za</t>
  </si>
  <si>
    <t>ROUTLEDGE JOURNALS, TAYLOR &amp; FRANCIS LTD</t>
  </si>
  <si>
    <t>2-4 PARK SQUARE, MILTON PARK, ABINGDON OX14 4RN, OXON, ENGLAND</t>
  </si>
  <si>
    <t>0256-0046</t>
  </si>
  <si>
    <t>1992-6049</t>
  </si>
  <si>
    <t>CRIT ARTS</t>
  </si>
  <si>
    <t>Crit. Arts</t>
  </si>
  <si>
    <t>10.1080/02560046.2012.705460</t>
  </si>
  <si>
    <t>Cultural Studies</t>
  </si>
  <si>
    <t>Social Science Citation Index (SSCI); Arts &amp; Humanities Citation Index (A&amp;HCI)</t>
  </si>
  <si>
    <t>008TW</t>
  </si>
  <si>
    <t>WOS:000308980500007</t>
  </si>
  <si>
    <t>Sjunneskog, C; Riesselman, C; Winter, D; Scherer, R</t>
  </si>
  <si>
    <t>Sjunneskog, Charlotte; Riesselman, Christina; Winter, Diane; Scherer, Reed</t>
  </si>
  <si>
    <t>Fragilariopsis diatom evolution in Pliocene and Pleistocene Antarctic shelf sediments</t>
  </si>
  <si>
    <t>SOUTHERN-OCEAN SURFACE; ATLANTIC SECTOR; ICE-SHEET; PRYDZ BAY; ROSS SEA; HISTORY</t>
  </si>
  <si>
    <t>The late Pliocene - early Pleistocene sediment record in the AND-1B core from the McMurdo Sound, Ross Sea, Antarctica, displays a rich diversity and high abundance of diatoms, including several new morphologies within the genus Fragilariopsis. These new morphologies exhibit similarities to the extinct late Miocene/early Pliocene species Fragilariopsis aurica Gersonde and Fragilariopsis praecurta Gersonde, as well as to the modern sea ice-associated species Fragilariopsis ritscheri Hustedt and Fragilariopsis obliquecostata van Heurck. From the diverse morphologies present, we use light microscopy and scanning electron microscopy to identify and describe the characteristics of three new taxa, Fragilariopsis laqueata Riesselman, Fragilariopsis bohatyi Sjunneskog et Riesselman, and Fragilariopsis robusta Sjunneskog, which are common in the diatom-bearing intervals from similar to 3.2 to 1.95 Ma. Comparisons with extant and extinct species are made to assess possible environmental affinities, evolutionary relationships, and potential for future biostratigraphic utility. This complex of new morphologies diversified as conditions cooled during the Pliocene, then went into decline as heavy sea ice conditions of the Pleistocene were established. Only the lineage of F. robusta appears to continue into the late Pleistocene, where it is interpreted to have evolved into F obliquecostata.</t>
  </si>
  <si>
    <t>[Sjunneskog, Charlotte] Louisiana State Univ, Dept Geol &amp; Geophys, Baton Rouge, LA 70803 USA; [Riesselman, Christina] Stanford Univ, Dept Geol &amp; Environm Sci, Stanford, CA 94305 USA; [Winter, Diane] Univ Nebraska, Dept Geosci, Lincoln, NE 68588 USA; [Scherer, Reed] No Illinois Univ, Dept Geol &amp; Environm Geosci, De Kalb, IL 60115 USA</t>
  </si>
  <si>
    <t>Louisiana State University System; Louisiana State University; Stanford University; University of Nebraska System; University of Nebraska Lincoln; Northern Illinois University</t>
  </si>
  <si>
    <t>Sjunneskog, C (corresponding author), AMGRF Florida State Univ, Tallahassee, FL 32306 USA.</t>
  </si>
  <si>
    <t>csjunneskog@fsu.edu</t>
  </si>
  <si>
    <t>U.S. National Science Foundation; NZ Foundation for Research; Italian Antarctic Research Program; German Science Foundation; Alfred Wegener Institute; National Science Foundation; ANDRILL Science Management Office [0342484]</t>
  </si>
  <si>
    <t>U.S. National Science Foundation(National Science Foundation (NSF)); NZ Foundation for Research; Italian Antarctic Research Program; German Science Foundation(German Research Foundation (DFG)); Alfred Wegener Institute; National Science Foundation(National Science Foundation (NSF)); ANDRILL Science Management Office</t>
  </si>
  <si>
    <t>The authors thank Dr. John Barron, Dr. Sherwood Wise, and two anonymous reviewers for their comments and insights, which have significantly improved this manuscript. The ANDRILL Program is a multinational collaboration between the Antarctic Programs of Germany, Italy, New Zealand and the United States. Scientific studies are jointly supported by the U.S. National Science Foundation, NZ Foundation for Research, the Italian Antarctic Research Program, the German Science Foundation and the Alfred Wegener Institute. This study is based upon work supported by the National Science Foundation and the ANDRILL Science Management Office under Cooperative Agreement No. 0342484. Samples for this investigation were provided by the Antarctic Marine Geology Research Facility, Florida State University, Tallahassee, FL.</t>
  </si>
  <si>
    <t>994DU</t>
  </si>
  <si>
    <t>WOS:000307911900004</t>
  </si>
  <si>
    <t>Weis, A; Melzer, RR</t>
  </si>
  <si>
    <t>Weis, Andrea; Melzer, Roland R.</t>
  </si>
  <si>
    <t>How did sea spiders recolonize the Chilean fjords after glaciation? DNA barcoding of Pycnogonida, with remarks on phylogeography of Achelia assimilis (Haswell, 1885)</t>
  </si>
  <si>
    <t>SYSTEMATICS AND BIODIVERSITY</t>
  </si>
  <si>
    <t>Ammotheidae; biogeography; COI; cryptic species; Pantopoda; Subantarctic</t>
  </si>
  <si>
    <t>GREAT-BARRIER-REEF; MITOCHONDRIAL LINEAGES; ARTHROPODA; DIVERGENCE; COLLECTION; CRUSTACEA; TAXONOMY; ISLANDS; WATERS</t>
  </si>
  <si>
    <t>The present paper reports on a first attempt at resolving the taxonomy of Chilean Pycnogonida using a combination of DNA sequence and morphological data. In a subproject of the Marine Barcode of Life (MarBoL) campaign we analysed a fragment (about 657 base pairs) of the mitochondrial protein-coding gene COI (cytochrome c oxidase subunit 1) from 76 Chilean/Subantarctic pycnogonids. Since most molecular data on pycnogonids are from the Antarctic region, the new information constitutes a significant extension. The phylogenetic consensus tree displays 10 distinct, well-supported branches corresponding to the studied species, namely Achelia assimilis (Haswell, 1885), Ammothea spinosa (Hodgson, 1907), Tanystylum cavidorsum Stock, 1957, T. neorhetum Marcus, 1940, Colossendeis macerrima Wilson, 1881, C. megalonyx Hoek, 1881, C. scoresbii Gordon, 1932, Callipallene margarita (Gordon, 1932), Pallenopsis patagonica (Hoek, 1881), and Anoplodactylus californicus Hall, 1912. These represent four superfamilies, and five of the 11 existing pycnogonid families (Bamber &amp; El Nagar, 2011): Ammotheidae Dohrn, 1881, Colossendeidae Hoek, 1881, Callipallenidae Hilton, 1942, Pallenopsidae Fry, 1978 and Phoxichilidiidae Sars, 1891. Within Achelia assimilis, four distinct subbranches correspond to the different geographic regions represented in our samples. While these include a total of 11 distinct haplotypes, the morphological differences among the corresponding specimens lie well within the variation described in the literature for this cosmopolitan species. Therefore, the four branches of A. assimilis might represent geographically limited subspecies rather than cryptic species. Repeated drastic glaciation of the fjord region during the Cenozoic resulting in alternating extinction and recolonization phases and the holobenthic lifecycle of sea spiders are discussed as the main factors resulting in the observed phylogeographic pattern. Standard barcoding sequences are confirmed as a suitable tool in addition to morphology for taxonomic analyses in Pycnogonida. The corresponding haplotype distribution patterns allow inferences on the biogeographical history of the relatively unexplored Chilean fjord region.</t>
  </si>
  <si>
    <t>[Weis, Andrea; Melzer, Roland R.] Zool Staatssammlung Munchen, D-81247 Munich, Germany</t>
  </si>
  <si>
    <t>Weis, A (corresponding author), Zool Staatssammlung Munchen, Munchhausenstr 21, D-81247 Munich, Germany.</t>
  </si>
  <si>
    <t>andreaweis@gmx.net</t>
  </si>
  <si>
    <t>Genome Canada through the Ontario Genomics Institute; BayEFG</t>
  </si>
  <si>
    <t>Genome Canada through the Ontario Genomics Institute(Genome Canada); BayEFG</t>
  </si>
  <si>
    <t>We have to thank first and foremost Dr Dirk Steinke from the Canadian Centre for Barcoding at the Department of Zoology, University of Guelph, Ontario, Canada (financed by Genome Canada through the Ontario Genomics Institute), for processing, coordination and providing the sequence data. We are also grateful to the following colleagues who kindly provided pycnogonid samples: Gunther Forsterra and Dr Verena Haussermann (Huinay Scientific Field Station, Chile), Dr Javier Sellanes Lopez (Universidad Catolica del Norte, Facultad de Ciencias del Mar, Coquimbo, Chile), Dr Vladimir Laptikhovsky (Falkland Islands Fisheries Department), Enriko Schwabe, Roland Meyer and Tobias Lehmann (ZSM). We thank Stefan Friedrich (ZSM) for expert technical assistance and collection management and Isabella Stoger (ZSM) for assistance with the DNA analyses. Special thanks to Martin Spies (ZSM) for English language editing. This study was supported by a graduate student stipend (Graduiertenstipendium; BayEFG) to A. Weis.</t>
  </si>
  <si>
    <t>1477-2000</t>
  </si>
  <si>
    <t>1478-0933</t>
  </si>
  <si>
    <t>SYST BIODIVERS</t>
  </si>
  <si>
    <t>Syst. Biodivers.</t>
  </si>
  <si>
    <t>10.1080/14772000.2012.716462</t>
  </si>
  <si>
    <t>Biodiversity Conservation; Biology</t>
  </si>
  <si>
    <t>Biodiversity &amp; Conservation; Life Sciences &amp; Biomedicine - Other Topics</t>
  </si>
  <si>
    <t>010YL</t>
  </si>
  <si>
    <t>WOS:000309130300009</t>
  </si>
  <si>
    <t>Karanovic, I; Eberhard, S; Perina, G</t>
  </si>
  <si>
    <t>Karanovic, Ivana; Eberhard, Stefan; Perina, Giulia</t>
  </si>
  <si>
    <t>Austromesocypris bluffensis sp n. (Crustacea, Ostracoda, Cypridoidea, Scottiinae) from subterranean aquatic habitats in Tasmania, with a key to world species of the subfamily</t>
  </si>
  <si>
    <t>Ostracods; biodiversity; Cyprididae; Australia</t>
  </si>
  <si>
    <t>TERRESTRIAL OSTRACODS; DARWINULIDAE; GENUS; MORPHOLOGY; ROSSETTI; MARTENS; ORIGIN; BRAZIL</t>
  </si>
  <si>
    <t>Austromesocypris bluffensis sp. n. is described and we report another species, Austromesocypris sp., both collected from subterranean aquatic habitats in Tasmania. This discovery adds a major taxonomic group to the already diverse invertebrate cave fauna of Tasmania, and is of interest because, globally, obligate subterranean aquatic species (stygobites) are poorly represented within the family Cyprididae. The genus Austromesocypris Martens, De Deckker &amp; Rossetti, 2004 is otherwise known to comprise entirely terrestrial or semi-terrestrial species. The second species is not described because only juvenile specimens were collected. Both species stand apart from their congeners by the carapace shape, which is rectangular in A. bluffensis and triangular and asymmetrical in the unnamed species. Another unique feature of the new species is the almost symmetrical uropodal rami. We also identify some broader systematic issues within the Scottiinae including the position of two New Zealand species, Scottia audax (Chapman, 1961) and S. insularis Chapman, 1963 in the genus, and point out their closer relationship to the Gondwana genera of Scottiinae, Austromesocypris and Mesocypris Daday, 1910, than to the Palearctic genus Scottia Brady &amp; Norman, 1889, based on the morphology of the maxillula and mandibula. The identity of the Australian records of Scottia audax (Chapman, 1961), Austromesocypris australiensis (De Deckker, 1983) and the Boreal records of Scottia pseudobrowniana Kempf, 1971 are all considered doubtful. A key to the world species of Scottiinae is provided.</t>
  </si>
  <si>
    <t>[Karanovic, Ivana] Hanyang Univ, Dept Life Sci, Seoul 133791, South Korea; [Karanovic, Ivana] Univ Tasmania, Inst Marine &amp; Antarctic Studies, Hobart, Tas 7001, Australia; [Perina, Giulia] Sci Environm Serv, Stirling, WA 6021, Australia</t>
  </si>
  <si>
    <t>10.3897/zookeys.215.2987</t>
  </si>
  <si>
    <t>010FR</t>
  </si>
  <si>
    <t>WOS:000309080600001</t>
  </si>
  <si>
    <t>Bersani, A</t>
  </si>
  <si>
    <t>Steadman, SG; Stephans, GSF; Taylor, FE</t>
  </si>
  <si>
    <t>Bersani, Andrea</t>
  </si>
  <si>
    <t>KM3NeT Consortium</t>
  </si>
  <si>
    <t>The KM3NeT Consortium and the Northern Hemisphere Neutrino Telescope</t>
  </si>
  <si>
    <t>19TH PARTICLES AND NUCLEI INTERNATIONAL CONFERENCE (PANIC11)</t>
  </si>
  <si>
    <t>19th Particles and Nuclei International Conference (PANIC)</t>
  </si>
  <si>
    <t>JUL 24-29, 2011</t>
  </si>
  <si>
    <t>Massachusetts Inst Technol, Cambridge, MA</t>
  </si>
  <si>
    <t>Massachusetts Inst Technol</t>
  </si>
  <si>
    <t>Neutrino Detector; Cherenkov Radiation; High Energy Astrophysics</t>
  </si>
  <si>
    <t>PROJECT</t>
  </si>
  <si>
    <t>The KM3NeT Consortium is currently carrying on a research and development activity to build a cubic kilometer-scale neutrino telescope in the deep Mediterranean Sea. The KM3NeT Consortium follows on from the NEMO and NESTOR pilot projects, which have produced several prototypes and the ANTARES collaboration, which has built and is operating a 0.1 cubic kilometer volume deep-sea neutrino telescope. The KM3NeT Mediterranean neutrino telescope will complement the Antarctic Icecube observatory, allowing the complete survey of the sky using neutrinos as a probe. The main physics goals of KM3NeT include the detection of neutrinos from astrophysical sources such as active galactic nuclei, supernova remnants and gamma-ray bursts as well as the search for new physics, such as neutrino signals from neutralino annihilation. To achieve the best performance, an extensive optimisation process is underway, looking for the best geometrical configuration of the detector for maximum sensitivity, and evaluating the most reliable technical solutions to allow long-term, low-maintenance operations.</t>
  </si>
  <si>
    <t>[Bersani, Andrea; KM3NeT Consortium] Ist Nazl Fis Nucl, Sez Genova, I-16146 Genoa, Italy</t>
  </si>
  <si>
    <t>Istituto Nazionale di Fisica Nucleare (INFN)</t>
  </si>
  <si>
    <t>Bersani, A (corresponding author), Ist Nazl Fis Nucl, Sez Genova, Via Dodecaneso 33, I-16146 Genoa, Italy.</t>
  </si>
  <si>
    <t>Bersani, Andrea/AAZ-7440-2021; Riccobene, Giorgio/A-4502-2010; Orlando, Angelo/B-5146-2015</t>
  </si>
  <si>
    <t>Bersani, Andrea/0000-0003-3276-5713; Riccobene, Giorgio/0000-0002-0600-2774; Orlando, Angelo/0000-0002-0631-4436</t>
  </si>
  <si>
    <t>978-0-7354-1036-7</t>
  </si>
  <si>
    <t>10.1063/1.3700575</t>
  </si>
  <si>
    <t>Physics, Applied; Physics, Particles &amp; Fields</t>
  </si>
  <si>
    <t>BBI40</t>
  </si>
  <si>
    <t>WOS:000306963900101</t>
  </si>
  <si>
    <t>Pierrat, B; Saucède, T; Festeau, M; David, B</t>
  </si>
  <si>
    <t>Pierrat, Benjamin; Saucede, Thomas; Festeau, Main; David, Bruno</t>
  </si>
  <si>
    <t>Antarctic, Sub-Antarctic and cold temperate echinoid database</t>
  </si>
  <si>
    <t>Southern Ocean; echinoids; Antarctic species; Sub-Antarctic species; cold temperate species</t>
  </si>
  <si>
    <t>MAGELLAN; CHILE; ECHINODERMATA; DIVERSITY; AUSTRALIA; SEA</t>
  </si>
  <si>
    <t>This database includes spatial data of Antarctic, Sub-Antarctic and cold temperate echinoid distribution (Echinodermata: Echinoidea) collected during many oceanographic campaigns led in the Southern Hemisphere from 1872 to 2010. The dataset lists occurrence data of echinoid distribution south of 35 degrees S latitude, together with information on taxonomy (from species to genus level), sampling sources (cruise ID, sampling dates, ship names) and sampling sites (geographic coordinates and depth). Echinoid occurrence data were compiled from the Antarctic Echinoid Database (David et al. 2005a), which integrates records from oceanographic cruises led in the Southern Ocean until 2003. This database has been upgraded to take into account data from oceanographic cruises led after 2003. The dataset now reaches a total of 6160 occurrence data that have been checked for systematics reliability and consistency. It constitutes today the most complete database on Antarctic and Sub-Antarctic echinoids.</t>
  </si>
  <si>
    <t>[Pierrat, Benjamin; Saucede, Thomas; Festeau, Main; David, Bruno] Univ Bourgogne, UMR CNRS 6282 Biogeosci, F-21000 Dijon, France</t>
  </si>
  <si>
    <t>Centre National de la Recherche Scientifique (CNRS); Universite de Bourgogne</t>
  </si>
  <si>
    <t>Pierrat, B (corresponding author), Univ Bourgogne, UMR CNRS 6282 Biogeosci, 6 Blvd Gabriel, F-21000 Dijon, France.</t>
  </si>
  <si>
    <t>benjamin.pierrat@u-bourgogne.fr</t>
  </si>
  <si>
    <t>DAVID, Bruno/N-8798-2013</t>
  </si>
  <si>
    <t>Phd school E2S Dijon research allowance; CAML/TOTAL; ANR ANTFLOCKS [07-BLAN-0213-01]; EGOS project [C06B02]; BIANZO I project; BIANZO II project</t>
  </si>
  <si>
    <t>Phd school E2S Dijon research allowance; CAML/TOTAL; ANR ANTFLOCKS(Agence Nationale de la Recherche (ANR)); EGOS project; BIANZO I project; BIANZO II project</t>
  </si>
  <si>
    <t>Phd school E2S Dijon research allowance, CAML/TOTAL, ANR ANTFLOCKS (no07-BLAN-0213-01), EGOS project (noC06B02) and BIANZO I and II projects.</t>
  </si>
  <si>
    <t>10.3897/zookeys.204.3134</t>
  </si>
  <si>
    <t>000HX</t>
  </si>
  <si>
    <t>WOS:000308378400003</t>
  </si>
  <si>
    <t>Melton, JR; Schaefer, H; Whiticar, MJ</t>
  </si>
  <si>
    <t>Melton, J. R.; Schaefer, H.; Whiticar, M. J.</t>
  </si>
  <si>
    <t>Enrichment in 13C of atmospheric CH4 during the Younger Dryas termination</t>
  </si>
  <si>
    <t>ABRUPT CLIMATE-CHANGE; LAST GLACIAL TERMINATION; ISOTOPIC COMPOSITION; THERMAL-DIFFUSION; METHANE SOURCES; WEST GREENLAND; RAPID CHANGES; FIRE REGIMES; ICE MARGIN; CARBON</t>
  </si>
  <si>
    <t>The abrupt warming across the Younger Dryas termination (similar to 11 600 yr before present) was marked by a large increase in the global atmospheric methane mixing ratio. The debate over sources responsible for the rise in methane centers on the roles of global wetlands, marine gas hydrates, and thermokarst lakes. We present a new, higher-precision methane stable carbon isotope ratio (delta(CH4)-C-13) dataset from ice sampled at Pakitsoq, Greenland that shows distinct C-13-enrichment associated with this rise. We investigate the validity of this finding in face of known anomalous methane concentrations that occur at Pakitsoq. Comparison with previously published datasets to determine the robustness of our results indicates a similar trend in ice from both an Antarctic ice core and previously published Pakitsoq data measured using four different extraction and analytical techniques. The delta(CH4)-C-13 trend suggests that C-13-enriched CH4 sources played an important role in the concentration increase. In a first attempt at quantifying the various contributions from our data, we apply a methane triple mass balance of stable carbon and hydrogen isotope ratios and radiocarbon. The mass balance results suggest biomass burning (42-66% of total methane flux increase) and thermokarst lakes (27-59%) as the dominant contributing sources. Given the high uncertainty and low temporal resolution of the (CH4)-C-14 dataset used in the triple mass balance, we also performed a mass balance test using just delta C-13 and delta D. These results further support biomass burning as a dominant source, but do not allow distinguishing of thermokarst lake contributions from boreal wetlands, aerobic plant methane, or termites. Our results in both mass balance tests do not suggest as large a role for tropical wetlands or marine gas hydrates as commonly proposed.</t>
  </si>
  <si>
    <t>[Melton, J. R.; Whiticar, M. J.] Univ Victoria, Sch Earth &amp; Ocean Sci, Victoria, BC V8W 3V6, Canada; [Schaefer, H.] Natl Inst Water &amp; Atmospher Res Ltd, Wellington 6021, New Zealand</t>
  </si>
  <si>
    <t>University of Victoria; National Institute of Water &amp; Atmospheric Research (NIWA) - New Zealand</t>
  </si>
  <si>
    <t>Melton, JR (corresponding author), Environm Canada, Canadian Ctr Climate Modelling &amp; Anal, Victoria, BC V8W 2Y2, Canada.</t>
  </si>
  <si>
    <t>joe.melton.sci@gmail.com</t>
  </si>
  <si>
    <t>Melton, Joe R./H-6803-2019</t>
  </si>
  <si>
    <t>Melton, Joe R./0000-0002-9414-064X; Schaefer, Hinrich/0000-0002-1163-2818</t>
  </si>
  <si>
    <t>Canadian Foundation for Climate and Atmospheric Sciences MAMMOTH [GR-417]; NSERC [OGP010538998]; NSERC-IPY [350737-2007]; New Zealand Foundation for Research, Science and Technology [C01X0703]; NSF [OPP0221470, OPP0221410]; American Chemical Society [PRF 42551-AC2]</t>
  </si>
  <si>
    <t>Canadian Foundation for Climate and Atmospheric Sciences MAMMOTH; NSERC(Natural Sciences and Engineering Research Council of Canada (NSERC)); NSERC-IPY; New Zealand Foundation for Research, Science and Technology(New Zealand Foundation for Research, Science and Technology); NSF(National Science Foundation (NSF)); American Chemical Society(American Chemical Society)</t>
  </si>
  <si>
    <t>This work was supported by Canadian Foundation for Climate and Atmospheric Sciences MAMMOTH Grant GR-417 (M. J. W.), NSERC Discovery Grant OGP010538998 (M. J. W.), NSERC-IPY Grant 350737-2007 (M. J. W.) and by the New Zealand Foundation for Research, Science and Technology contract C01X0703 (H. S.). Fieldwork was supported by NSF grants OPP0221470 (to J. Severinghaus) and OPP0221410 (to E. Brook), as well as American Chemical Society grant PRF 42551-AC2 (H. S.). We thank V. Petrenko, E. Brook, and J. Severinghaus for sharing their Pakitsoq gas records; P. Eby for lab assistance; and M. Arsenault, P. Rose, N. Ness for assistance in the field; and K. Lassey for his isotope disequilibrium model.</t>
  </si>
  <si>
    <t>10.5194/cp-8-1177-2012</t>
  </si>
  <si>
    <t>998MT</t>
  </si>
  <si>
    <t>WOS:000308244600005</t>
  </si>
  <si>
    <t>Pedro, JB; Rasmussen, SO; van Ommen, TD</t>
  </si>
  <si>
    <t>Pedro, J. B.; Rasmussen, S. O.; van Ommen, T. D.</t>
  </si>
  <si>
    <t>Tightened constraints on the time-lag between Antarctic temperature and CO2 during the last deglaciation</t>
  </si>
  <si>
    <t>ABRUPT CLIMATE-CHANGE; ICE CORES; ATMOSPHERIC CO2; SOUTHERN-OCEAN; BIPOLAR SEESAW; CARBON-DIOXIDE; GLACIAL PERIOD; SIPLE DOME; POLAR ICE; GREENLAND</t>
  </si>
  <si>
    <t>Antarctic ice cores provide clear evidence of a close coupling between variations in Antarctic temperature and the atmospheric concentration of CO2 during the glacial/interglacial cycles of at least the past 800-thousand years. Precise information on the relative timing of the temperature and CO2 changes can assist in refining our understanding of the physical processes involved in this coupling. Here, we focus on the last deglaciation, 19 000 to 11 000 yr before present, during which CO2 concentrations increased by similar to 80 parts per million by volume and Antarctic temperature increased by similar to 10 degrees C. Utilising a recently developed proxy for regional Antarctic temperature, derived from five near-coastal ice cores and two ice core CO2 records with high dating precision, we show that the increase in CO2 likely lagged the increase in regional Antarctic temperature by less than 400 yr and that even a short lead of CO2 over temperature cannot be excluded. This result, consistent for both CO2 records, implies a faster coupling between temperature and CO2 than previous estimates, which had permitted up to millennial-scale lags.</t>
  </si>
  <si>
    <t>[Pedro, J. B.] Univ Tasmania, Antarctic Climate &amp; Ecosyst Cooperat Res Ctr, Hobart, Tas, Australia; [Pedro, J. B.; van Ommen, T. D.] Univ Tasmania, Inst Marine &amp; Antarctic Studies, Hobart, Tas, Australia; [Rasmussen, S. O.] Univ Copenhagen, Ctr Ice &amp; Climate, Copenhagen, Denmark; [van Ommen, T. D.] Australian Antarctic Div, Kingston, Tas, Australia</t>
  </si>
  <si>
    <t>Antarctic Climate &amp; Ecosystems Cooperative Research Centre (ACE CRC); University of Tasmania; University of Tasmania; University of Copenhagen; Australian Antarctic Division</t>
  </si>
  <si>
    <t>Pedro, JB (corresponding author), Univ Tasmania, Antarctic Climate &amp; Ecosyst Cooperat Res Ctr, Hobart, Tas, Australia.</t>
  </si>
  <si>
    <t>jbpedro@utas.edu.au</t>
  </si>
  <si>
    <t>Rasmussen, Sune/B-5560-2008; Pedro, Joel Benjamin/L-8918-2019; Rasmussen, Sune Olander/AAA-3190-2021; Pedro, Joel/M-5632-2014; van Ommen, Tas/B-5020-2012</t>
  </si>
  <si>
    <t>Pedro, Joel Benjamin/0000-0002-0728-2712; Rasmussen, Sune Olander/0000-0002-4177-3611; Pedro, Joel/0000-0002-0728-2712; van Ommen, Tas/0000-0002-2463-1718</t>
  </si>
  <si>
    <t>Inge Lehmann grant; Australian Institute of Nuclear Science and Engineering Post-Graduate Award</t>
  </si>
  <si>
    <t>This work was assisted by the Australian Government's Cooperative Research Centres Programme, through the Antarctic Climate and Ecosystems Cooperative Research Centre (ACE CRC). Travel support from an Inge Lehmann grant (SOR), the Trans-Antarctic Association and INQUA/INTIMATE (JBP) made this collaboration possible. J. B. P. also acknowledges support from an Australian Institute of Nuclear Science and Engineering Post-Graduate Award. We thank the editor, E. Brook, an anonymous reviewer and F. Parrenin for their comments which helped to strengthen the manuscript.</t>
  </si>
  <si>
    <t>10.5194/cp-8-1213-2012</t>
  </si>
  <si>
    <t>WOS:000308244600007</t>
  </si>
  <si>
    <t>Parrenin, F; Barker, S; Blunier, T; Chappellaz, J; Jouzel, J; Landais, A; Masson-Delmotte, V; Schwander, J; Veres, D</t>
  </si>
  <si>
    <t>Parrenin, F.; Barker, S.; Blunier, T.; Chappellaz, J.; Jouzel, J.; Landais, A.; Masson-Delmotte, V.; Schwander, J.; Veres, D.</t>
  </si>
  <si>
    <t>On the gas-ice depth difference (Δdepth) along the EPICA Dome C ice core</t>
  </si>
  <si>
    <t>ANTARCTIC ICE; POLAR ICE; ATMOSPHERIC CO2; CLIMATE-CHANGE; AIR CONTENT; VOLCANIC SYNCHRONIZATION; ISOTOPIC COMPOSITION; AGE DIFFERENCE; FIRN; CHRONOLOGY</t>
  </si>
  <si>
    <t>We compare a variety of methods for estimating the gas/ice depth offset (Delta depth) at EPICA Dome C (EDC, East Antarctica). (1) Purely based on modelling efforts, Delta depth can be estimated combining a firn densification with an ice flow model. (2) The diffusive column height can be estimated from delta N-15 and converted to Delta depth using an ice flow model and assumptions about past average firn density and thickness of the convective zone. (3) Ice and gas synchronisation of the EDC ice core to the GRIP, EDML and TALDICE ice cores shifts the ice/gas offset problem into higher accumulation ice cores where it can be more accurately evaluated. (4) Finally, the bipolar seesaw hypothesis allows us to synchronise the ice isotopic record with the gas CH4 record, the later being taken as a proxy of Greenland temperature. The general agreement of method 4 with methods 2 and 3 confirms that the bipolar seesaw antiphase happened during the last 140 kyr. Applying method 4 to the deeper section of the EDC core confirms that the ice flow is complex and can help to improve our reconstruction of the thinning function and thus, of the EDC age scale. We confirm that method 1 overestimates the glacial Delta depth at EDC and we suggest that it is due to an overestimation of the glacial lock-in depth (LID) by the firn densification model. In contrast, we find that method 1 very likely underestimates Delta depth during Termination II, due either to an underestimated thinning function or to an underestimated LID. Finally, method 2 gives estimates within a few metres of methods 3 and 4 during the last deglacial warming, suggesting that the convective zone at Dome C cannot have been very large at this time, if it existed at all.</t>
  </si>
  <si>
    <t>[Parrenin, F.] Lab Chronoenvironm, Besancon, France; [Parrenin, F.; Chappellaz, J.; Veres, D.] UJF Grenoble 1, CNRS, LGGE, UMR5183, F-38041 Grenoble, France; [Barker, S.] Cardiff Univ, Sch Earth &amp; Ocean Sci, Cardiff, Wales; [Blunier, T.] Univ Copenhagen, Niels Bohr Inst, Ctr Ice &amp; Climate, DK-2100 Copenhagen, Denmark; [Jouzel, J.; Landais, A.; Masson-Delmotte, V.] Lab Sci Climat &amp; Environm, Gif Sur Yvette, France; [Schwander, J.] Univ Bern, Inst Phys, Bern, Switzerland; [Veres, D.] Romanian Acad, Inst Speleol, Cluj Napoca, Romania</t>
  </si>
  <si>
    <t>Universite de Franche-Comte; Centre National de la Recherche Scientifique (CNRS); Communaute Universite Grenoble Alpes; Universite Grenoble Alpes (UGA); Cardiff University; University of Copenhagen; Niels Bohr Institute; CEA; Centre National de la Recherche Scientifique (CNRS); Universite Paris Saclay; University of Bern; Emil Racovita Institute of Speleology; Romanian Academy of Sciences</t>
  </si>
  <si>
    <t>Parrenin, F (corresponding author), Lab Chronoenvironm, Besancon, France.</t>
  </si>
  <si>
    <t>parrenin@ujf-grenoble.fr</t>
  </si>
  <si>
    <t>Veres, Daniel S/GNH-2578-2022; Stephen, Barker/C-2770-2009; Chappellaz, Jérôme A./A-4872-2011; Masson-Delmotte, Valerie L/G-1995-2011; Veres, Daniel/AAX-3319-2020; Parrenin, Frédéric/H-3054-2014; Veres, Daniel/GNH-2718-2022; Blunier, Thomas/M-4609-2014</t>
  </si>
  <si>
    <t>Masson-Delmotte, Valerie L/0000-0001-8296-381X; Veres, Daniel/0000-0003-3932-577X; Parrenin, Frédéric/0000-0002-9489-3991; Barker, Stephen/0000-0001-7870-6431; LANDAIS, Amaelle/0000-0002-5620-5465; Blunier, Thomas/0000-0002-6065-7747</t>
  </si>
  <si>
    <t>French Agence Nationale de la Recherche [R-07-BLAN-0125, ANR-09-SYSC-001]; EU; IPEV; PNRA at Dome</t>
  </si>
  <si>
    <t>French Agence Nationale de la Recherche(Agence Nationale de la Recherche (ANR)); EU(European Union (EU)); IPEV; PNRA at Dome</t>
  </si>
  <si>
    <t>We thank E. Lefebvre, J. M. Barnola and L. Arnaud for the EDC firn temperature data (INSU-CNRS program Meso Equipement Glaciologie Concordia and IPEV program 902 Glaciologie), G. Dreyfus for measuring the delta15N data and for helpful comments to the manuscript, E. Capron for helpful comments to the manuscript and M. Sacchettini for computing support. This work benefited from support from the French Agence Nationale de la Recherche (project ANR-07-BLAN-0125 Dome A and ANR-09-SYSC-001 ADAGE). This work is a contribution to the European Project for Ice Coring in Antarctica (EPICA), a joint European Science Foundation/European Commission scientific program, funded by the EU and by national contributions from Belgium, Denmark, France, Germany, Italy, the Netherlands, Norway, Sweden, Switzerland and the United Kingdom. The main logistic support was provided by IPEV and PNRA at Dome C. We thank the technical teams in the field and at the labs. This is EPICA publication no. xx.</t>
  </si>
  <si>
    <t>10.5194/cp-8-1239-2012</t>
  </si>
  <si>
    <t>WOS:000308244600009</t>
  </si>
  <si>
    <t>Lescarmontier, L; Legrésy, B; Coleman, R; Perosanz, F; Mayet, C; Testut, L</t>
  </si>
  <si>
    <t>Lescarmontier, L.; Legresy, B.; Coleman, R.; Perosanz, F.; Mayet, C.; Testut, L.</t>
  </si>
  <si>
    <t>Vibrations of Mertz Glacier ice tongue, East Antarctica</t>
  </si>
  <si>
    <t>FLEXURAL WAVES; TIDAL FLEXURE; MCMURDO SOUND; OCEAN TIDE; SHELF; RESOLUTION; BENEATH; MODEL</t>
  </si>
  <si>
    <t>At the time of its calving in February 2010, Mertz Glacier, East Antarctica, was characterized by a 145 km long, 35 km wide floating tongue. In this paper, we use GPS data from the Collaborative Research into Antarctic Calving and Iceberg Evolution (CRAC-ICE) 2007/08 and 2009/10 field seasons to investigate the dynamics of Mertz Glacier. Two months of data were collected at the end of the 2007/08 field season from two kinematic GPS stations situated on each side of the main rift of the glacier tongue and from rock stations located around the ice tongue during 2008/09. Using Precise Point Positioning with integer ambiguity fixing, we observe that the two GPS stations recorded vibrations of the ice tongue with several dominant periods. We compare these results with a simple elastic model of the ice tongue and find that the natural vibration frequencies are similar to those observed. This information provides a better understanding of their possible effects on rift propagation and hence on the glacier calving processes.</t>
  </si>
  <si>
    <t>[Lescarmontier, L.; Legresy, B.; Mayet, C.; Testut, L.] Lab Etud Geophys &amp; Oceanog Spatiale, Toulouse, France; [Lescarmontier, L.; Coleman, R.] Univ Tasmania, Inst Marine &amp; Antarctic Studies, Hobart, Tas, Australia; [Coleman, R.] Antarctic Climate &amp; Ecosyst CRC, Hobart, Tas, Australia; [Perosanz, F.] Ctr Natl Etud Spatiales, F-31055 Toulouse, France</t>
  </si>
  <si>
    <t>Universite de Toulouse; Universite Toulouse III - Paul Sabatier; Centre National de la Recherche Scientifique (CNRS); Institut de Recherche pour le Developpement (IRD); Laboratoire d'Etudes en Geophysique et oceanographie spatiales; University of Tasmania; University of Tasmania</t>
  </si>
  <si>
    <t>Lescarmontier, L (corresponding author), Lab Etud Geophys &amp; Oceanog Spatiale, Toulouse, France.</t>
  </si>
  <si>
    <t>lydie.lescarmontier@legos.obs-mip.fr</t>
  </si>
  <si>
    <t>Perosanz, Felix/H-6549-2016; Coleman, Richard/H-4425-2012; legresy, benoit/K-6673-2018</t>
  </si>
  <si>
    <t>Coleman, Richard/0000-0002-9731-7498; legresy, benoit/0000-0002-1909-1630; Testut, Laurent/0000-0002-3969-2919</t>
  </si>
  <si>
    <t>CNES; ANR (Agence Nationale de la Recherche) DACOTA grant; IPEV; CNRS/INSU (Centre National de la Recherche Scientifique/Institut National des Sciences de l'Univers); University of Tasmania</t>
  </si>
  <si>
    <t>CNES(Centre National D'etudes Spatiales); ANR (Agence Nationale de la Recherche) DACOTA grant(Agence Nationale de la Recherche (ANR)); IPEV; CNRS/INSU (Centre National de la Recherche Scientifique/Institut National des Sciences de l'Univers); University of Tasmania</t>
  </si>
  <si>
    <t>This study is part of the CRAC-ICE project, supported by the CNES, ANR (Agence Nationale de la Recherche) DACOTA grant, IPEV, CNRS/INSU (Centre National de la Recherche Scientifique/Institut National des Sciences de l'Univers) and the University of Tasmania. We thank the GINS development team and in particular Sylvain Loyer and Flavien Mercier for their help in using the software. We thank Pascal Lacroix who participated in the early development of the project and in the deployment of the GPS stations, the data from which are used in this study. We thank Tom Herring for the TRACK processing.</t>
  </si>
  <si>
    <t>10.3189/2012JoG11J089</t>
  </si>
  <si>
    <t>984RE</t>
  </si>
  <si>
    <t>WOS:000307208200004</t>
  </si>
  <si>
    <t>Landais, A; Ekaykin, A; Barkan, E; Winkler, R; Luz, B</t>
  </si>
  <si>
    <t>Landais, A.; Ekaykin, A.; Barkan, E.; Winkler, R.; Luz, B.</t>
  </si>
  <si>
    <t>Seasonal variations of 17O-excess and d-excess in snow precipitation at Vostok station, East Antarctica</t>
  </si>
  <si>
    <t>DEUTERIUM EXCESS; ICE CORES; DOME-FUJI; ISOTOPIC COMPOSITION; STABLE-ISOTOPES; VAPOR-PRESSURE; SURFACE SNOW; O-18; RECORD; OXYGEN</t>
  </si>
  <si>
    <t>The use of water isotopes in polar regions is essential for reconstructing past climate over glacial interglacial cycles. In addition to delta D or delta O-18, linearly related to condensation temperature, the second-order parameters, d-excess and O-17-excess, provide important information on the climatic conditions of the source of precipitations. In order to best interpret the glacial interglacial records of d-excess and O-17-excess in polar ice cores, it is important to document their present variability, especially in remote and cold regions of East Antarctica. Indeed, the current climatic conditions encountered in these regions provide a good analogy with glacial climatic conditions in a large part of Antarctica. Here we present the first seasonal variations of O-17-excess and d-excess at Vostok station on an event basis (i.e. samples were collected immediately after each precipitation event) over 1 year. These records show strong correlation between O-17-excess and delta O-18 over the course of the year, with an amplitude 40 per meg (10(-3)parts per thousand) in the O-17-excess seasonal cycle, and strong anticorrelation between d-excess and delta O-18, with d-excess variations up to 20 parts per thousand. The d-excess and O-17-excess variations can be explained by the influence of kinetic fractionation at very low temperatures. The comparison with simple isotopic models confirms this explanation, but cannot explain the link between O-17-excess, d-excess and temperature without (1) a particular relationship between condensation and surface temperature and/or (2) seasonal changes in the climatic conditions of the source regions.</t>
  </si>
  <si>
    <t>[Landais, A.; Winkler, R.] UVSQ, CNRS, CEA, LSCE,IPSL, Gif Sur Yvette, France; [Ekaykin, A.] Arctic &amp; Antarctic Res Inst, St Petersburg 199226, Russia; [Barkan, E.; Luz, B.] Hebrew Univ Jerusalem, Inst Earth Sci, IL-91904 Jerusalem, Israel</t>
  </si>
  <si>
    <t>Universite Paris Cite; Universite Paris Saclay; CEA; Centre National de la Recherche Scientifique (CNRS); Arctic &amp; Antarctic Research Institute; Hebrew University of Jerusalem</t>
  </si>
  <si>
    <t>Landais, A (corresponding author), UVSQ, CNRS, CEA, LSCE,IPSL, Gif Sur Yvette, France.</t>
  </si>
  <si>
    <t>alandais@lsce.ipsl.fr</t>
  </si>
  <si>
    <t>Ekaykin, Alexey A./K-9894-2015; Lipenkov, Vladimir/Q-8262-2016</t>
  </si>
  <si>
    <t>LANDAIS, Amaelle/0000-0002-5620-5465; Lipenkov, Vladimir/0000-0003-4221-5440</t>
  </si>
  <si>
    <t>Russian Foundation for Basic Research [10-05-93106]; Israel Science Foundation [26/10]; ANR CITRONNIER; Marie Curie Initial Training Network INTRAMIF (FP7)</t>
  </si>
  <si>
    <t>Russian Foundation for Basic Research(Russian Foundation for Basic Research (RFBR)Spanish Government); Israel Science Foundation(Israel Science Foundation); ANR CITRONNIER(Agence Nationale de la Recherche (ANR)); Marie Curie Initial Training Network INTRAMIF (FP7)(Marie Curie ActionsEuropean Union (EU))</t>
  </si>
  <si>
    <t>We are grateful to M. Miller for his suggestion to carry out 17O-excess measurements of the samples collected over 1 year at Vostok. We thank Viktor Persky, the meteorologist of the 44th Russian Antarctic Expedition, for careful work collecting the precipitation samples in the harsh winter conditions of Vostok station. The two reviewers (James Farquhar and an anonymous reviewer) are warmly thanked for useful comments. A.E. was supported by Russian Foundation for Basic Research grant 10-05-93106. The work at Hebrew University was supported by Israel Science Foundation grant No. 26/10. The work at LSCE was supported by the ANR CITRONNIER and the Marie Curie Initial Training Network INTRAMIF (FP7). This is LSCE publication No. 4722.</t>
  </si>
  <si>
    <t>10.3189/2012JoG11J237</t>
  </si>
  <si>
    <t>WOS:000307208200009</t>
  </si>
  <si>
    <t>Catania, G; Hulbe, C; Conway, H; Scambos, TA; Raymond, CF</t>
  </si>
  <si>
    <t>Catania, Ginny; Hulbe, Christina; Conway, Howard; Scambos, T. A.; Raymond, C. F.</t>
  </si>
  <si>
    <t>Variability in the mass flux of the Ross ice streams, West Antarctica, over the last millennium</t>
  </si>
  <si>
    <t>GROUNDING-LINE RETREAT; SIPLE COAST; SUBGLACIAL SEDIMENTS; SEISMIC OBSERVATIONS; SURFACE-MORPHOLOGY; EAST ANTARCTICA; FLOW SPEED; SHEET; BENEATH; SHELF</t>
  </si>
  <si>
    <t>We synthesize previously published remote-sensing observations, radar data and model output to obtain a similar to 1000 year ice flow history for the Siple Coast ice-stream system in West Antarctica to investigate the timing and magnitude of changes in mass flux. The synthesized history shows significant short-term variability in ice-stream shear margin and grounding line position due to internal variability of the coupled system. The chronology highlights the interplay between adjacent ice streams, which implies that the behavior of any individual ice stream should not be examined in isolation. Furthermore, individual events cannot be fully interpreted without an understanding of the broad-scale, long-term variability in the ice sheet. In the context of this millennium-scale history, we interpret the relatively recent stagnation of Kamb Ice Stream (KIS) as just one stage in the thermodynamic cycle of an ice stream in this region. The changes in mass balance that result from the KIS stagnation may thus be viewed as century-scale 'noise' relative to the longer-term trend. Understanding and characterizing this noise is a necessary step before accurate model-based predictions of ice-sheet mass balance for the next century can be made.</t>
  </si>
  <si>
    <t>[Catania, Ginny] Univ Texas Austin, Inst Geophys, Austin, TX 78712 USA; [Catania, Ginny] Univ Texas Austin, Dept Geol, Austin, TX 78712 USA; [Hulbe, Christina] Portland State Univ, Dept Geol, Portland, OR 97207 USA; [Conway, Howard; Raymond, C. F.] Univ Washington, Dept Earth &amp; Space Sci, Seattle, WA 98195 USA; [Scambos, T. A.] Univ Colorado, Natl Snow &amp; Ice Data Ctr, Boulder, CO 80309 USA</t>
  </si>
  <si>
    <t>University of Texas System; University of Texas Austin; University of Texas System; University of Texas Austin; Portland State University; University of Washington; University of Washington Seattle; University of Colorado System; University of Colorado Boulder</t>
  </si>
  <si>
    <t>Catania, G (corresponding author), Univ Texas Austin, Inst Geophys, Austin, TX 78712 USA.</t>
  </si>
  <si>
    <t>gcatania@ig.utexas.edu</t>
  </si>
  <si>
    <t>; Catania, Ginny/B-9787-2008</t>
  </si>
  <si>
    <t>Conway, Howard/0000-0003-4634-3474; Catania, Ginny/0000-0002-7561-5902; SCAMBOS, Ted A./0000-0003-4268-6322; Hulbe, Christina/0000-0003-4765-7037</t>
  </si>
  <si>
    <t>US National Science Foundation [OPP-0538120, OPP-9909518, OPP-0296099]</t>
  </si>
  <si>
    <t>Imagery for this work was provided through the Antarctic Glaciological Data Center at the US National Snow and Ice Data Center. This work was supported by the US National Science Foundation (grants OPP-0538120 to Catania, OPP-9909518 to Raymond and OPP-0296099 to Hulbe). We appreciate the helpful comments from two anonymous reviewers and our scientific editor, Helen Fricker, which greatly improved the manuscript.</t>
  </si>
  <si>
    <t>10.3189/2012JoG11J219</t>
  </si>
  <si>
    <t>WOS:000307208200011</t>
  </si>
  <si>
    <t>Weikusat, C; Freitag, J; Kipfstuhl, S</t>
  </si>
  <si>
    <t>Weikusat, Christian; Freitag, Johannes; Kipfstuhl, Sepp</t>
  </si>
  <si>
    <t>Raman spectroscopy of gaseous inclusions in EDML ice core: first results - microbubbles</t>
  </si>
  <si>
    <t>NONBASAL GLIDE; VOID FORMATION; LASER-LIGHT; POLAR ICE; DOME FUJI; AIR; FRACTIONATION; RELAXATION; SCATTERING; FEATURES</t>
  </si>
  <si>
    <t>Measurements of N-2/O-2 ratios inside individual air bubbles at various depths in the EDML (Antarctic) ice core are presented here. The small bubbles (diameter less than similar to 200 mu m) in deeper ice are significantly enriched in O-2 compared to the larger bubbles. The N-2/O-2 ratios show a systematic dependence on bubble size which is not the case for bubbles in shallower ice. This is interpreted as an effect of pressure relaxation during storage of the cores.</t>
  </si>
  <si>
    <t>[Weikusat, Christian; Freitag, Johannes; Kipfstuhl, Sepp] Alfred Wegener Inst Polar &amp; Marine Res AWI, Bremerhaven, Germany</t>
  </si>
  <si>
    <t>Weikusat, C (corresponding author), Alfred Wegener Inst Polar &amp; Marine Res AWI, Bremerhaven, Germany.</t>
  </si>
  <si>
    <t>christian.weikusat@awi.de</t>
  </si>
  <si>
    <t>Weikusat, Christian/0000-0002-3812-6325</t>
  </si>
  <si>
    <t>German Research Foundation (DFG) [WE4771/1]</t>
  </si>
  <si>
    <t>We thank G. Nehrke and E. Dunker for planning and construction of the cooling cell, and two anonymous reviewers for constructive remarks. This work was funded by German Research Foundation (DFG) grant WE4771/1.</t>
  </si>
  <si>
    <t>10.3189/2012JoG11J222</t>
  </si>
  <si>
    <t>WOS:000307208200013</t>
  </si>
  <si>
    <t>Hughes, T</t>
  </si>
  <si>
    <t>Hughes, T.</t>
  </si>
  <si>
    <t>Are ice-stream tributaries the surface expression of thermal convection rolls in the Antarctic ice sheet?</t>
  </si>
  <si>
    <t>Univ Maine, Ft Pierre, SD USA</t>
  </si>
  <si>
    <t>Hughes, T (corresponding author), Univ Maine, Ft Pierre, SD USA.</t>
  </si>
  <si>
    <t>terry.hughes@maine.edu</t>
  </si>
  <si>
    <t>10.3189/2012JoG12J068</t>
  </si>
  <si>
    <t>WOS:000307208200018</t>
  </si>
  <si>
    <t>Rao, NVC; Wu, FY; Srinivas, M</t>
  </si>
  <si>
    <t>Mazumder, R; Saha, D</t>
  </si>
  <si>
    <t>Rao, N. V. Chalapathi; Wu, Fu-Yuan; Srinivas, M.</t>
  </si>
  <si>
    <t>Mesoproterozoic emplacement and enriched mantle derivation of the Racherla alkali syenite, Palaeo-Mesoproterozoic Cuddapah Basin, southern India: insights from in situ Sr-Nd isotopic analysis on apatite</t>
  </si>
  <si>
    <t>PALAEOPROTEROZOIC OF INDIA</t>
  </si>
  <si>
    <t>Geological Society Special Publication</t>
  </si>
  <si>
    <t>EASTERN GHATS BELT; DHARWAR CRATON; MOBILE BELT; PROTEROZOIC LAMPROITES; KIMBERLITES; EVOLUTION; PETROGENESIS; MAGMATISM; AGE; DEFORMATION</t>
  </si>
  <si>
    <t>We report an in situ Sm-Nd isochron age of 1326 +/- 73 Ma, determined by LA-MC-ICP- MS (laser ablation-multiple collector-inductively coupled plasma-mass spectrometry), on crystalline apatite grains from the Racherla alkali syenite occurring in the Palaeo-Mesoproterozoic Cuddapah Basin, southern India. The obtained Mesoproterozoic age necessitates the Racherla syenite to be an intrusive into the sedimentary rocks of the Cuddapah Basin contrary to some previous suggestion that it represents an inlier of the basement pluton. Age of the dated syenite, within its error limits, is also coeval with that of the nearby Chelima lamproite (1354 +/- 52 Ma) and other syenite complexes (c. 1352 Ma) located elsewhere within the Eastern Ghats Mobile Belt, southern India, thereby implying a common geotectonic control in all of their generation. Incompatible trace element signatures (high La/Nb, Zr/Nb and La/Yb), Sr-87/Sr-86 (0.70432 +/- 10) and the lower Nd isotopic ratio (epsilon(Nd)(t) - 8.9) of the apatite suggest derivation of the Racherla syenite parent magma from an enriched mantle source. Our findings provide compelling evidence for the existence of ancient (c. 2.6 Ga) metasomatized lithospheric mantle, at the Archaean-Palaeoproterozoic boundary, beneath the Cuddapah Basin. This enriched mantle appears to have had played a dominant role in the generation of co-spatial and coeval lamproites within and around the Cuddapah Basin and a plethora of alkaline and sub-alkaline syenites within the Eastern Ghats Mobile Belt. Implications of our study in the context of Indo-Antarctic collisional tectonics are also explored.</t>
  </si>
  <si>
    <t>[Rao, N. V. Chalapathi] Banaras Hindu Univ, Ctr Adv Study Geol, Varanasi 221005, Uttar Pradesh, India; [Wu, Fu-Yuan] Chinese Acad Sci, State Key Lab Lithospher Evolut, Inst Geol &amp; Geophys, Beijing 100029, Peoples R China; [Srinivas, M.] Osmania Univ, Dept Geol, PG Coll Sci, Hyderabad 500004, Andhra Pradesh, India</t>
  </si>
  <si>
    <t>Banaras Hindu University (BHU); Chinese Academy of Sciences; Institute of Geology &amp; Geophysics, CAS; Osmania University</t>
  </si>
  <si>
    <t>Rao, NVC (corresponding author), Banaras Hindu Univ, Ctr Adv Study Geol, Varanasi 221005, Uttar Pradesh, India.</t>
  </si>
  <si>
    <t>nvcr100@gmail.com</t>
  </si>
  <si>
    <t>Wu, Fu-Yuan/HPG-2301-2023</t>
  </si>
  <si>
    <t>CHALAPATHI RAO, N.V./0000-0003-0476-5302; wu, fu yuan/0000-0002-2281-7885</t>
  </si>
  <si>
    <t>GEOLOGICAL SOC PUBLISHING HOUSE</t>
  </si>
  <si>
    <t>UNIT 7, BRASSMILL ENTERPRISE CTR, BRASSMILL LANE, BATH BA1 3JN, AVON, ENGLAND</t>
  </si>
  <si>
    <t>0305-8719</t>
  </si>
  <si>
    <t>978-1-86239-345-5</t>
  </si>
  <si>
    <t>GEOL SOC SPEC PUBL</t>
  </si>
  <si>
    <t>Geol. Soc. Spec. Publ.</t>
  </si>
  <si>
    <t>10.1144/SP365.10</t>
  </si>
  <si>
    <t>10.1144/SP365.0</t>
  </si>
  <si>
    <t>BBX38</t>
  </si>
  <si>
    <t>WOS:000308558700010</t>
  </si>
  <si>
    <t>Kuttippurath, J; Godin-Beekmann, S; Lefèvre, F; Nikulin, G; Santee, ML; Froidevaux, L</t>
  </si>
  <si>
    <t>Kuttippurath, J.; Godin-Beekmann, S.; Lefevre, F.; Nikulin, G.; Santee, M. L.; Froidevaux, L.</t>
  </si>
  <si>
    <t>Record-breaking ozone loss in the Arctic winter 2010/2011: comparison with 1996/1997</t>
  </si>
  <si>
    <t>POLAR STRATOSPHERIC CLOUDS; MODEL SIMULATIONS; MLS OBSERVATIONS; VORTEX; DEPLETION; ATMOSPHERE; CHEMISTRY; HNO3</t>
  </si>
  <si>
    <t>We present a detailed discussion of the chemical and dynamical processes in the Arctic winters 1996/1997 and 2010/2011 with high resolution chemical transport model (CTM) simulations and space-based observations. In the Arctic winter 2010/2011, the lower stratospheric minimum temperatures were below 195K for a record period of time, from December to mid-April, and a strong and stable vortex was present during that period. Simulations with the Mimosa-Chim CTM show that the chemical ozone loss started in early January and progressed slowly to 1 ppmv (parts per million by volume) by late February. The loss intensified by early March and reached a record maximum of similar to 2.4 ppmv in the late March-early April period over a broad altitude range of 450-550 K. This coincides with elevated ozone loss rates of 2-4 ppbv sh(-1) (parts per billion by volume/sunlit hour) and a contribution of about 30-55% and 30-35% from the ClO-ClO and ClO-BrO cycles, respectively, in late February and March. In addition, a contribution of 30-50% from the HOx cycle is also estimated in April. We also estimate a loss of about 0.7-1.2 ppmv contributed (75%) by the NOx cycle at 550-700 K. The ozone loss estimated in the partial column range of 350-550K exhibits a record value of similar to 148DU (Dobson Unit). This is the largest ozone loss ever estimated in the Arctic and is consistent with the remarkable chlorine activation and strong denitrification (40-50%) during the winter, as the modeled ClO shows similar to 1.8 ppbv in early January and similar to 1 ppbv in March at 450-550 K. These model results are in excellent agreement with those found from the Aura Microwave Limb Sounder observations. Our analyses also show that the ozone loss in 2010/2011 is close to that found in some Antarctic winters, for the first time in the observed history. Though the winter 1996/1997 was also very cold in March-April, the temperatures were higher in December-February, and, therefore, chlorine activation was moderate and ozone loss was average with about 1.2 ppmv at 475-550K or 42DU at 350-550 K, as diagnosed from the model simulations and measurements.</t>
  </si>
  <si>
    <t>[Kuttippurath, J.; Godin-Beekmann, S.; Lefevre, F.] Univ Paris 06, UPMC, LATMOS IPSL, CNRS INSU,UMR8190, F-75005 Paris, France; [Nikulin, G.] Swedish Meteorol Hydrol Inst, Kiruna, Sweden; [Santee, M. L.; Froidevaux, L.] CALTECH, JPL NASA, Pasadena, CA 91125 USA</t>
  </si>
  <si>
    <t>Sorbonne Universite; Centre National de la Recherche Scientifique (CNRS); CNRS - National Institute for Earth Sciences &amp; Astronomy (INSU); Universite Paris Saclay; Swedish Meteorological &amp; Hydrological Institute; California Institute of Technology; National Aeronautics &amp; Space Administration (NASA); NASA Jet Propulsion Laboratory (JPL)</t>
  </si>
  <si>
    <t>Kuttippurath, J (corresponding author), Univ Paris 06, UPMC, LATMOS IPSL, CNRS INSU,UMR8190, F-75005 Paris, France.</t>
  </si>
  <si>
    <t>jayanarayanan.kuttippurath@latmos.ipsl.fr</t>
  </si>
  <si>
    <t>Kuttippurath, Jayanarayanan/E-6441-2017; Santee, MIchelle/R-5762-2019; Kuttippurath, Jayanarayanan/M-2878-2019</t>
  </si>
  <si>
    <t>Kuttippurath, Jayanarayanan/0000-0003-4073-8918; Kuttippurath, Jayanarayanan/0000-0003-4073-8918</t>
  </si>
  <si>
    <t>European Commission [RECONCILE-226365-FP7-ENV-2008-1]; CNRS-INSU</t>
  </si>
  <si>
    <t>European Commission(European Union (EU)European Commission Joint Research Centre); CNRS-INSU(Centre National de la Recherche Scientifique (CNRS))</t>
  </si>
  <si>
    <t>The ECMWF data are taken from the NADIR/NILU data base and are greatly acknowledged. J. K. thanks Cathy Boonne, IPSL, Paris for the REPROBUS model code for the simulations and Slimane Bekki and Marion Marchand for their support during this study. Participation of Jayanarayanan Kuttippurath and Franck Lefevre in this work was supported by the European Commission as a part of the FP7 RECONCILE project under the Grant number: RECONCILE-226365-FP7-ENV-2008-1. Work at the Jet Propulsion Laboratory, California Institute of Technology, was done under contract to NASA.; The publication of this article is financed by CNRS-INSU.</t>
  </si>
  <si>
    <t>10.5194/acp-12-7073-2012</t>
  </si>
  <si>
    <t>999CP</t>
  </si>
  <si>
    <t>gold, Green Submitted, Green Accepted</t>
  </si>
  <si>
    <t>WOS:000308287000021</t>
  </si>
  <si>
    <t>Nagashima, K; Morishita, I; Fujii, Z; Mori, S; Kondo, I; Jacklyn, RM</t>
  </si>
  <si>
    <t>Nagashima, K.; Morishita, I.; Fujii, Z.; Mori, S.; Kondo, I.; Jacklyn, R. M.</t>
  </si>
  <si>
    <t>The existence of cosmic ray sidereal anisotropies of galactic and solar origins with energies lower than 104 GeV and their modulation caused by the presumed behavior pattern of the heliomagnetosphere and of its neighboring gaseous matter in interstellar magnetic field</t>
  </si>
  <si>
    <t>Cosmic rays (CR); sidereal anisotropy; heliomagnetosphere (HMS); interstellar matter (ISM); Compton-Getting effect; motion of the HMS; motion of ISM; acceleration of CRs; cosmic ray lens effect</t>
  </si>
  <si>
    <t>HELIOTAIL-IN ANISOTROPIES; INTENSITY VARIATIONS; TAIL BOUNDARIES; DEPENDENCE; NOSE; HARMONICS; TRANSPORT; HYDROGEN; REGION; SPACE</t>
  </si>
  <si>
    <t>It is shown that the sidereal anisotropy (S(i)A) of cosmic rays (CRs) with energies smaller than 10(4) GeV consists of three kinds: one (GA) is of galactic origin from the direction Phi(G) (alpha(G) = 0 hr; delta(G) = -20 degrees), and the other two (tail-in TA and nose-in HA) are of solar origin from the respective directions Phi(T) (alpha(T) = 6 hr; delta(T) similar to -24 degrees) and Phi(H) (alpha(H) = 18 hr; delta(H) &gt; 0 degrees) and supposed to be produced by the acceleration of CRs on the tail and nose boundaries of the heliomagnetosphere (HMS). This conclusion was arrived at in 1995 after a long-term delay since the beginning of CR observations in the early 20-th century. This delay was mainly due to the inconsistency among observations caused by the belief that the sidereal anisotropy must be unidirectional in space. The inconsistency has been solved at least qualitatively by the discovery of GA and TA. These anisotropies, including also HA, are subject, respectively, to their proper solar modulations in the HMS characterized by a polarity reversal every 11 years of the solar polar magnetic field and solar activity dependence with an 11-year periodicity. By using these modulation patterns, the origins of the three anisotropies have been determined. TA and HA thus determined inversely produce the following kinds of evidence and problems in the HMS: (1) the structure of the HMS, (2) acceleration of CRs on the boundary of the HMS, (3) CR Lens Effect of the HMS for the sharp concentration of TA and HA, (4) the proper motion (V-HMS) of the HMS relative to neighboring stars, (5) the proper motion of interstellar gaseous matter (including the magnetic field) relative to neighboring stars, and (6) the existence of the Subordinate HMS surrounding the HMS for the explanation of the duality of the motion of the HMS and also of the absence of the Compton-Getting (C-G) effect on the HMS. The present paper not only presents a brief summary of the studies of CR sidereal anisotropy made by many researchers during the 20th century leading to the present understanding, but also presents some problems to open up a new vista of the future.</t>
  </si>
  <si>
    <t>[Nagashima, K.; Fujii, Z.] Nagoya Univ, Solar Terr Environm Lab, Chikusa Ku, Nagoya, Aichi 4648601, Japan; [Morishita, I.] Asahi Univ, Dept Informat Management, Mizuho Ku, Gifu 5010296, Japan; [Mori, S.] Shinshu Univ, Dept Phys, Nagano 3908621, Japan; [Kondo, I.] Univ Tokyo, Inst Cosm Ray Res, Kashiwa, Chiba 2778582, Japan; [Jacklyn, R. M.] Dept Sci &amp; Technol, Antarctic Div, Kingston, Tas, Australia</t>
  </si>
  <si>
    <t>Nagoya University; Asahi University; Shinshu University; University of Tokyo; Australian Antarctic Division</t>
  </si>
  <si>
    <t>Nagashima, K (corresponding author), Nagoya Univ, Solar Terr Environm Lab, Chikusa Ku, Nagoya, Aichi 4648601, Japan.</t>
  </si>
  <si>
    <t>isao@alice.asahi-u.ac.jp</t>
  </si>
  <si>
    <t>SPRINGEROPEN</t>
  </si>
  <si>
    <t>1880-5981</t>
  </si>
  <si>
    <t>10.5047/eps.2012.02.004</t>
  </si>
  <si>
    <t>996ZM</t>
  </si>
  <si>
    <t>WOS:000308133500006</t>
  </si>
  <si>
    <t>Simpson, A; Maynard, V</t>
  </si>
  <si>
    <t>Simpson, Alistair; Maynard, Veronica</t>
  </si>
  <si>
    <t>A longitudinal study of the effect of Antarctic residence on energy dynamics and aerobic fitness</t>
  </si>
  <si>
    <t>INTERNATIONAL JOURNAL OF CIRCUMPOLAR HEALTH</t>
  </si>
  <si>
    <t>Antarctica; energy dynamics; fitness; Antarctic residence</t>
  </si>
  <si>
    <t>BODY-WEIGHT; FOOD; MEN; REQUIREMENTS; EXPEDITION; WALKING</t>
  </si>
  <si>
    <t>Objectives: To investigate the effect of Antarctic residence on energy dynamics and aerobic fitness over the course of a year in over-wintering personnel. Study design: A prospective longitudinal observational study. Methods: A convenience sample of personnel over-wintering at Rothera Research Station in Antarctica was studied. Body weight, body fat, food intake, activity and aerobic fitness were recorded every 30 days for 1 year. Body weight, body fat and food intake were measured using weighing scales, skinfold callipers and diet records, respectively; activity was measured using accelerometer-based activity trackers and aerobic fitness using a treadmill protocol. Climate markers of temperature and sunlight hours were also recorded. Results: Twenty-one subjects took part in the study over the 12-month period. A statistically significant increase in body weight and body fat in winter was observed (p = 0.012 and p = 0.049, respectively). There were no statistically significant trends in activity, food intake or aerobic fitness. Conclusions: There were significant seasonal changes in body weight and body fat, with both measures increasing in winter but no significant changes in the other main outcome measures.</t>
  </si>
  <si>
    <t>[Simpson, Alistair] Royal Infirm Edinburgh NHS Trust, Dept Anaesthesia &amp; Pain Med, Edinburgh EH16 4SA, Midlothian, Scotland; [Maynard, Veronica] Univ Plymouth, Peninsula Coll Med &amp; Dent, Plymouth PL4 8AA, Devon, England</t>
  </si>
  <si>
    <t>Royal Infirmary of Edinburgh; University of Edinburgh; University of Plymouth</t>
  </si>
  <si>
    <t>Simpson, A (corresponding author), Royal Infirm Edinburgh NHS Trust, Dept Anaesthesia &amp; Pain Med, 51 Little France Crescent,Old Dalkeith Rd, Edinburgh EH16 4SA, Midlothian, Scotland.</t>
  </si>
  <si>
    <t>alistair@altitude.org</t>
  </si>
  <si>
    <t>British Antarctic Survey Medical Unit</t>
  </si>
  <si>
    <t>No conflict of interest is reported. Partial funding was provided by the British Antarctic Survey Medical Unit; this unit had no influence on study design, implementation or results.</t>
  </si>
  <si>
    <t>1239-9736</t>
  </si>
  <si>
    <t>INT J CIRCUMPOL HEAL</t>
  </si>
  <si>
    <t>Int. J. Circumpolar Health</t>
  </si>
  <si>
    <t>10.3402/ijch.v71i0.17227</t>
  </si>
  <si>
    <t>Public, Environmental &amp; Occupational Health</t>
  </si>
  <si>
    <t>998GJ</t>
  </si>
  <si>
    <t>WOS:000308225200001</t>
  </si>
  <si>
    <t>Banks, JL; Ross, DJ; Keough, MJ; Macleod, CK; Eyre, BD</t>
  </si>
  <si>
    <t>Banks, Joanne L.; Ross, D. Jeff; Keough, Michael J.; Macleod, Catriona K.; Eyre, Bradley D.</t>
  </si>
  <si>
    <t>Influence of small-scale patchiness on resilience of nutrient cycling to extended hypoxia in estuarine sediments</t>
  </si>
  <si>
    <t>Hypoxia; Anoxia; Denitrification; DNRA; Organic enrichment; Benthic macrofauna</t>
  </si>
  <si>
    <t>DISSIMILATORY NITRATE REDUCTION; SECONDARY-TREATED PAPER; FRESH-WATER; COASTAL HYPOXIA; DENITRIFICATION; NITROGEN; AMMONIUM; FLUXES; CARBON; ECOSYSTEMS</t>
  </si>
  <si>
    <t>Although much work has been done to predict the effects of hypoxia (dissolved oxygen &lt; 2 mg l(-1)) at regional scales, individual estuaries consist of a patchwork of micro-environments that can have different responses. We followed the effects of extended dissolved oxygen (DO) depletion on benthic fluxes of CO2, O-2, NO3-, NH4+, N-2, PO43- and Fe from estuarine sediments from 3 shallow sites with different macrofauna communities and levels of organic enrichment. DO depletion was achieved by a prolonged (40 d) dark incubation of sealed sediment cores. There were no discernible differences in NO3- and N-2 fluxes between sites, but the effects of hypoxia on sediment metabolism, and on bioavailable nutrient release, NH4+ and PO43-, were modified by the initial macrofauna communities. The DO in cores containing sediments from a site dominated by small epifauna declined significantly faster than in cores containing a greater portion of burrowing infauna; burrows may provide an oxic reservoir within the sediments. Macrofauna mortality led to a more rapid efflux of mineralization products (CO2, NH4+ and PO43-) in the epifaunadominated sites, as the small surface-dwelling animals decomposed more quickly. However, the cores were sealed, preventing migration of mobile epifauna away from the hypoxic conditions. The site with the lowest abundance of macrofauna also contained a large amount of refractory organic matter. Decomposition of this material was slow, with little release of nutrients. The study highlights the fact that environmental patchiness can modify the effects of hypoxia and stresses the importance of deeper burrowing fauna as a buffer against declining DO conditions.</t>
  </si>
  <si>
    <t>[Banks, Joanne L.; Keough, Michael J.] Univ Melbourne, Dept Zool, Melbourne, Vic 3010, Australia; [Ross, D. Jeff; Macleod, Catriona K.] Inst Marine &amp; Antarctic Studies, Taroona, Tas 7053, Australia; [Eyre, Bradley D.] So Cross Univ, Sch Environm Sci &amp; Management, Ctr Coastal Biogeochem, Lismore, NSW 2480, Australia</t>
  </si>
  <si>
    <t>jlbanks@student.unimelb.edu.au</t>
  </si>
  <si>
    <t>ARC Linkage grant [LP0770222]; ARC Discovery Grant [DP0878568]; Norske-Skog Boyer; Derwent Estuary Program</t>
  </si>
  <si>
    <t>ARC Linkage grant(Australian Research Council); ARC Discovery Grant(Australian Research Council); Norske-Skog Boyer; Derwent Estuary Program</t>
  </si>
  <si>
    <t>This work was made possible owing to funding support from an ARC Linkage grant (LP0770222) to D.J.R., B.D.E. and M.J.K., and an ARC Discovery Grant (DP0878568) awarded to B.D.E. Norske-Skog Boyer and the Derwent Estuary Program provided financial and in-kind assistance. We thank A. Pender of Tasmanian Aquaculture and Fisheries Institute (TAFI) for excellent field and laboratory assistance and G. Napthali of Analytical Services Tasmania (AST) for nutrient sample processing.</t>
  </si>
  <si>
    <t>10.3354/meps09686</t>
  </si>
  <si>
    <t>997AH</t>
  </si>
  <si>
    <t>WOS:000308135800005</t>
  </si>
  <si>
    <t>Tang, B; Tian, M; Lee, YR; Row, KH</t>
  </si>
  <si>
    <t>Tang, B.; Tian, M.; Lee, Y. R.; Row, K. H.</t>
  </si>
  <si>
    <t>OPTIMIZED ANALYTICAL CONDITIONS FOR EICOSAPENTAENOIC AND DOCOSAHEXAENOIC ACIDS IN Antarctic krill USING GAS CHROMATOGRAPHY</t>
  </si>
  <si>
    <t>ANALYTICAL LETTERS</t>
  </si>
  <si>
    <t>Antarctic krill; Eicosapentaenoic and docosahexaenoic acids; Esterification; Methyl esters</t>
  </si>
  <si>
    <t>FREE FATTY-ACIDS; PERFORMANCE LIQUID-CHROMATOGRAPHY; CRAB PLEURONCODES-PLANIPES; EUPHAUSIA-SUPERBA; BIODIESEL PRODUCTION; VEGETABLE-OILS; SHELLFISH; ESTERS; EXTRACTION; MICROALGAE</t>
  </si>
  <si>
    <t>A simple method for the esterification of EPA and DHA in Antarctic krill was developed. When EPA and DHA standard solution (1.0 mg/mL in acetonitrile) reacted with equal volumes of 0.5% sulfuric acid-methanol at 60 degrees C for 30 min, approximately 100% esterification conversion of EPA and DHA was achieved. Based on the esterification of EPA and DHA in Antarctic krill extraction solutions under these optimization conditions, the concentrations of EPA and DHA in fresh Antarctic krill were, respectively, 4.87 and 4.26 mg/g in the head, and 2.79 and 2.62 mg/g in the pleon. In the freeze-dried Antarctic krill, the amount of EPA and DHA were, respectively, 27.80 and 24.68 mg/g in the head, and 19.89 and 18.46 mg/g in the pleon.</t>
  </si>
  <si>
    <t>[Tang, B.; Tian, M.; Lee, Y. R.; Row, K. H.] Inha Univ, Dept Chem Engn, Inchon 402751, South Korea</t>
  </si>
  <si>
    <t>Inha University</t>
  </si>
  <si>
    <t>Row, KH (corresponding author), Inha Univ, Dept Chem Engn, Inchon 402751, South Korea.</t>
  </si>
  <si>
    <t>rowkho@inha.ac.kr</t>
  </si>
  <si>
    <t>Kyung Ho, Row/AGB-8348-2022; LEE, YU/JXY-2338-2024</t>
  </si>
  <si>
    <t>Tian, Minglei/0000-0003-4880-3139</t>
  </si>
  <si>
    <t>Ministry of Land, Transport, and Maritime Affairs, Korea</t>
  </si>
  <si>
    <t>Ministry of Land, Transport, and Maritime Affairs, Korea(Ministry of Land, Transport and Maritime Affairs (MLTM), Republic of Korea)</t>
  </si>
  <si>
    <t>This research was a part of the project entitled Korea Sea Grant Program (Gyeong-gi Sea Grant)'' funded by the Ministry of Land, Transport, and Maritime Affairs, Korea.</t>
  </si>
  <si>
    <t>325 CHESTNUT ST, SUITE 800, PHILADELPHIA, PA 19106 USA</t>
  </si>
  <si>
    <t>0003-2719</t>
  </si>
  <si>
    <t>ANAL LETT</t>
  </si>
  <si>
    <t>Anal. Lett.</t>
  </si>
  <si>
    <t>10.1080/00032719.2012.677978</t>
  </si>
  <si>
    <t>000BP</t>
  </si>
  <si>
    <t>WOS:000308361800012</t>
  </si>
  <si>
    <t>Dalin, P; Kirkwood, S; Hervig, M; Mihalikova, M; Mikhaylova, D; Wolf, I; Osepian, A</t>
  </si>
  <si>
    <t>Dalin, P.; Kirkwood, S.; Hervig, M.; Mihalikova, M.; Mikhaylova, D.; Wolf, I.; Osepian, A.</t>
  </si>
  <si>
    <t>Wave influence on polar mesosphere summer echoes above Wasa: experimental and model studies</t>
  </si>
  <si>
    <t>Atmospheric composition and structure; Middle atmosphere; composition and chemistry</t>
  </si>
  <si>
    <t>COMMON-VOLUME OBSERVATIONS; NOCTILUCENT CLOUDS; GRAVITY-WAVE; MIDDLE ATMOSPHERE; RADAR MEASUREMENTS; LOWER IONOSPHERE; PLANETARY-WAVES; 2-DAY WAVE; PMSE; TURBULENCE</t>
  </si>
  <si>
    <t>Comprehensive analysis of the wave activity in the Antarctic summer mesopause is performed using polar mesospheric summer echoes (PMSE) measurements for December 2010-January 2011. The 2-day planetary wave is a statistically significant periodic oscillation in the power spectrum density of PMSE power. The strongest periodic oscillation in the power spectrum belongs to the diurnal solar tide; the semi-diurnal solar tide is found to be a highly significant harmonic oscillation as well. The inertial-gravity waves are extensively studied by means of PMSE power and wind components. The strongest gravity waves are observed at periods of about 1, 1.4, 2.5 and 4 h, with characteristic horizontal wavelengths of 28, 36, 157 and 252 km, respectively. The gravity waves propagate approximately in the west-east direction over Wasa (Antarctica). A detailed comparison between theoretical and experimental volume reflectivity of PMSE, measured at Wasa, is made. It is demonstrated that a new expression for PMSE reflectivity derived by Varney et al. (2011) is able to adequately describe PMSE profiles both in the magnitude and in height variations. The best agreement, within 30%, is achieved when mean values of neutral atmospheric parameters are utilized. The largest contribution to the formation and variability of the PMSE layer is explained by the ice number density and its height gradient, followed by wave-induced perturbations in buoyancy period and the turbulent energy dissipation rate.</t>
  </si>
  <si>
    <t>[Dalin, P.; Kirkwood, S.; Mihalikova, M.; Mikhaylova, D.; Wolf, I.] Swedish Inst Space Phys, S-98128 Kiruna, Sweden; [Hervig, M.] GATS Inc, Driggs, ID 83422 USA; [Osepian, A.] Polar Geophys Inst, Murmansk 183023, Russia</t>
  </si>
  <si>
    <t>Russian Academy of Sciences; Polar Geophysical Institute</t>
  </si>
  <si>
    <t>Dalin, P (corresponding author), Swedish Inst Space Phys, Box 812, S-98128 Kiruna, Sweden.</t>
  </si>
  <si>
    <t>pdalin@irf.se</t>
  </si>
  <si>
    <t>Wallenberg Foundation, Sweden; Swedish Research Council [621-2007-4812, 621-2010-3218]; NASA [NAS5-03132]</t>
  </si>
  <si>
    <t>Wallenberg Foundation, Sweden; Swedish Research Council(Swedish Research Council); NASA(National Aeronautics &amp; Space Administration (NASA))</t>
  </si>
  <si>
    <t>The paper benefited from constructive comments and suggestions made by reviewer R. H. Varney and one anonymous reviewer. Measurements with MARA were part of the SWEDARP and FINNARP expeditions to Queen Maud Land, Antarctica in 2007/2008 and 2010/2011. Funding for the MARA radar was provided by the Wallenberg Foundation, Sweden. The research has otherwise been supported by the Swedish Research Council (grants 621-2007-4812 and 621-2010-3218), with logistical support from Swedish Polar Research Secretariat and Finnish Academy of Science. Many thanks to the SOFIE/AIM team, AIM is funded by NASA's Small Explorers Program under contract NAS5-03132.</t>
  </si>
  <si>
    <t>10.5194/angeo-30-1143-2012</t>
  </si>
  <si>
    <t>999DG</t>
  </si>
  <si>
    <t>WOS:000308288800004</t>
  </si>
  <si>
    <t>Schönhardt, A; Begoin, M; Richter, A; Wittrock, F; Kaleschke, L; Martín, JCG; Burrows, JP</t>
  </si>
  <si>
    <t>Schoenhardt, A.; Begoin, M.; Richter, A.; Wittrock, F.; Kaleschke, L.; Gomez Martin, J. C.; Burrows, J. P.</t>
  </si>
  <si>
    <t>Simultaneous satellite observations of IO and BrO over Antarctica</t>
  </si>
  <si>
    <t>MARINE BOUNDARY-LAYER; NEAR-ULTRAVIOLET SPECTROSCOPY; GROUND-BASED MEASUREMENTS; RADIATIVE-TRANSFER MODEL; IODINE MONOXIDE; SEA-ICE; GEOPHYSICAL APPLICATIONS; OZONE DESTRUCTION; TROPOSPHERIC BRO; MCMURDO STATION</t>
  </si>
  <si>
    <t>This article reports on satellite observations of iodine monoxide (IO) and bromine monoxide (BrO). The region of interest is Antarctica in the time between spring and autumn. Both molecules, IO and BrO, are reactive halogen species and strongly influence tropospheric composition. As a result, a better understanding of their spatial distribution and temporal evolution is necessary to assess accurately their role in tropospheric chemistry. Especially in the case of IO, information on its present magnitude, spatial distribution patterns and source regions is still sparse. The present study is based on six years of SCIAMACHY (SCanning Imaging Absorption spectroMeter for Atmospheric CartograpHY) data recorded in nadir viewing geometry. Multi-year averages of monthly mean IO columns are presented and compared to the distributions of BrO. Influences of the IO air mass factor and the IO absorption cross section temperature dependence on the absolute vertical columns are discussed. The long-term observations of IO and BrO columns yield new insight into the temporal and spatial variation of IO above the Antarctic region. The occurrence of IO on Antarctic sea ice in late spring (November) is discovered and presented. In addition, the comparison between IO and BrO distributions show many differences, which argues for different mechanisms and individual nature of the release of the two halogen oxide precursors. The state of the ecosystem, in particular the changing condition of the sea ice in late spring, is used to explain the observations of the IO behaviour over Antarctica and the differences between IO and BrO distributions.</t>
  </si>
  <si>
    <t>[Schoenhardt, A.; Begoin, M.; Richter, A.; Wittrock, F.; Burrows, J. P.] Univ Bremen, IUP, D-28359 Bremen, Germany; [Kaleschke, L.] Univ Hamburg, Inst Oceanog, Hamburg, Germany; [Gomez Martin, J. C.] CSIC, Lab Atmospher &amp; Climate Sci, Toledo, Spain</t>
  </si>
  <si>
    <t>University of Bremen; University of Hamburg; Consejo Superior de Investigaciones Cientificas (CSIC)</t>
  </si>
  <si>
    <t>Schönhardt, A (corresponding author), Univ Bremen, IUP, D-28359 Bremen, Germany.</t>
  </si>
  <si>
    <t>schoenhardt@iup.physik.uni-bremen.de</t>
  </si>
  <si>
    <t>Burrows, John Philip/AAF-8468-2019; Martin, Juan Carlos Gomez/G-9366-2012; Wittrock, Folkard/B-6959-2008; Richter, Andreas/C-4971-2008</t>
  </si>
  <si>
    <t>Burrows, John Philip/0000-0002-6821-5580; Martin, Juan Carlos Gomez/0000-0001-7972-085X; Schonhardt, Anja/0009-0008-6088-3374; Kaleschke, Lars/0000-0001-7086-3299; Wittrock, Folkard/0000-0002-3024-0211; Richter, Andreas/0000-0003-3339-212X</t>
  </si>
  <si>
    <t>ESA through TIBAGS project within CESN framework; State and University of Bremen; German Aerospace (DLR); European Union</t>
  </si>
  <si>
    <t>ESA through TIBAGS project within CESN framework; State and University of Bremen; German Aerospace (DLR)(Helmholtz AssociationGerman Aerospace Centre (DLR)); European Union(European Union (EU))</t>
  </si>
  <si>
    <t>This study has been financially supported by ESA through the TIBAGS project within the CESN framework. Further financial support was received from the State and University of Bremen, the German Aerospace (DLR), and the European Union.</t>
  </si>
  <si>
    <t>10.5194/acp-12-6565-2012</t>
  </si>
  <si>
    <t>979HO</t>
  </si>
  <si>
    <t>WOS:000306808300032</t>
  </si>
  <si>
    <t>Shagimuratov, II; Krankowski, A; Ephishov, I; Cherniak, Y; Wielgosz, P; Zakharenkova, I</t>
  </si>
  <si>
    <t>Shagimuratov, I. I.; Krankowski, A.; Ephishov, I.; Cherniak, Yu; Wielgosz, P.; Zakharenkova, I.</t>
  </si>
  <si>
    <t>High latitude TEC fluctuations and irregularity oval during geomagnetic storms</t>
  </si>
  <si>
    <t>GPS; TEC fluctuations; modeling of ionosphere; polar cap patches</t>
  </si>
  <si>
    <t>POLAR-CAP; PATCHES; NETWORK</t>
  </si>
  <si>
    <t>GPS measurements obtained by the global IGS network were used to study the occurrence of TEC fluctuations in the northern and southern high-latitude ionosphere during severe geomagnetic storms. In the northern hemisphere, GPS stations located higher than 55N Corrected Geomagnetic Latitude (CGL) at different longitudes were selected. In the southern hemisphere, Antarctic permanent GPS stations were used. Dual-frequency GPS measurements for individual satellite passes served as raw data. As a measure of fluctuation activity the rate of TEC (ROT) was used, and the fluctuation intensity was evaluated using the ROTI index. Using daily GPS measurements from all selected stations, images of the spatial and temporal behavior of TEC fluctuations were formed (in Corrected Geomagnetic Coordinates-CGC and geomagnetic local time-GLT). Similarly to the auroral oval, these images demonstrate an irregularity oval. The occurrence of the irregularity oval relates to the auroral oval, cusp and polar cap. During a storm, the intensity of TEC fluctuations essentially increased. The irregularity oval expands equatorward with an increase of magnetic activity. The study showed that the existing high-latitude GPS stations can provide a permanent monitoring tool for the irregularity oval in near real-time. In this paper, the features of the development of phase fluctuations at the geomagnetic conjugate points, and inter-hemispheric differences and similarities during winter and summer conditions, are discussed.</t>
  </si>
  <si>
    <t>[Shagimuratov, I. I.; Ephishov, I.; Cherniak, Yu; Zakharenkova, I.] IZMIRAN, West Dept, Kaliningrad, Russia; [Krankowski, A.; Wielgosz, P.; Zakharenkova, I.] Univ Warmia &amp; Mazury, Geodynam Res Lab, Olsztyn, Poland</t>
  </si>
  <si>
    <t>Russian Academy of Sciences; Pushkov Institute of Terrestrial Magnetism, Ionosphere &amp; Radio Wave Propagation; University of Warmia &amp; Mazury</t>
  </si>
  <si>
    <t>Shagimuratov, II (corresponding author), IZMIRAN, West Dept, Kaliningrad, Russia.</t>
  </si>
  <si>
    <t>kand@uwm.edu.pl</t>
  </si>
  <si>
    <t>Cherniak, Iurii/F-7131-2014; Wielgosz, Pawel/B-9966-2012</t>
  </si>
  <si>
    <t>Cherniak, Iurii/0000-0002-0288-7675; Krankowski, Andrzej/0000-0003-2812-6222; Zakharenkova, Irina/0000-0002-7878-7275; Wielgosz, Pawel/0000-0002-5542-1481</t>
  </si>
  <si>
    <t>10.5047/eps.2011.10.015</t>
  </si>
  <si>
    <t>984WU</t>
  </si>
  <si>
    <t>WOS:000307224500013</t>
  </si>
  <si>
    <t>Tan, B; Lu, P; Li, ZJ; Feng, EM; Wang, J</t>
  </si>
  <si>
    <t>Tan, Bing; Lu, Peng; Li, Zhijun; Feng, Enmin; Wang, Juan</t>
  </si>
  <si>
    <t>Simulation and Domain Identification of Sea Ice Thermodynamic System</t>
  </si>
  <si>
    <t>JOURNAL OF APPLIED MATHEMATICS</t>
  </si>
  <si>
    <t>MODEL</t>
  </si>
  <si>
    <t>Based on the measured data and characteristics of sea ice temperature distribution in space and time, this study is intended to consider a parabolic partial differential equation of the thermodynamic field of sea ice (coupled by snow, ice, and sea water layers) with a time-dependent domain and its parameter identification problem. An optimal model with state constraints is presented with the thicknesses of snow and sea ice as parametric variables and the deviation between the calculated and measured sea ice temperatures as the performance criterion. The unique existence of the weak solution of the thermodynamic system is proved. The properties of the identification problem and the existence of the optimal parameter are discussed, and the one-order necessary condition is derived. Finally, based on the nonoverlapping domain decomposition method and semi-implicit difference scheme, an optimization algorithm is proposed for the numerical simulation. Results show that the simulated temperature of sea ice fit well with the measured data, and the better fit is corresponding to the deeper sea ice.</t>
  </si>
  <si>
    <t>[Tan, Bing; Lu, Peng; Li, Zhijun] Dalian Univ Technol, State Key Lab Coastal &amp; Offshore Engn, Dalian 116024, Peoples R China; [Tan, Bing] Nanyang Normal Coll, Sch Math &amp; Stat, Nanyang 473061, Henan, Peoples R China; [Feng, Enmin; Wang, Juan] Dalian Univ Technol, Sch Math Sci, Dalian 116024, Peoples R China</t>
  </si>
  <si>
    <t>Dalian University of Technology; Nanyang Normal College; Dalian University of Technology</t>
  </si>
  <si>
    <t>Tan, B (corresponding author), Dalian Univ Technol, State Key Lab Coastal &amp; Offshore Engn, Dalian 116024, Peoples R China.</t>
  </si>
  <si>
    <t>tanbing111@126.com</t>
  </si>
  <si>
    <t>Li, Zhijun/A-5299-2019; WANG, JINGYI/GSJ-1241-2022; Wang, Jin/GYA-2019-2022</t>
  </si>
  <si>
    <t>Li, Zhijun/0000-0002-2897-0450;</t>
  </si>
  <si>
    <t>National Nature Science Foundation of China [40930848, 50921001, 10871033]; Norwegian Research Council Project AMORA [193592/S30]</t>
  </si>
  <si>
    <t>National Nature Science Foundation of China(National Natural Science Foundation of China (NSFC)); Norwegian Research Council Project AMORA(Research Council of Norway)</t>
  </si>
  <si>
    <t>The authors are grateful to Chinese Arctic and Antarctic Administration for the logistic support during the field investigation in the Arctic Ocean. This study was supported by the National Nature Science Foundation of China (Grants no. 40930848, 50921001, and 10871033), and Norwegian Research Council Project AMORA (no. 193592/S30).</t>
  </si>
  <si>
    <t>1110-757X</t>
  </si>
  <si>
    <t>1687-0042</t>
  </si>
  <si>
    <t>J APPL MATH</t>
  </si>
  <si>
    <t>J. Appl. Math.</t>
  </si>
  <si>
    <t>10.1155/2012/532870</t>
  </si>
  <si>
    <t>Mathematics, Applied; Mathematics, Interdisciplinary Applications</t>
  </si>
  <si>
    <t>Mathematics</t>
  </si>
  <si>
    <t>991MG</t>
  </si>
  <si>
    <t>WOS:000307704800001</t>
  </si>
  <si>
    <t>Núñez-Pons, L; Rodríguez-Arias, M; Gómez-Garreta, A; Ribera-Siguán, A; Avila, C</t>
  </si>
  <si>
    <t>Nunez-Pons, Laura; Rodriguez-Arias, Mariano; Gomez-Garreta, Amelia; Ribera-Siguan, Antonia; Avila, Conxita</t>
  </si>
  <si>
    <t>Feeding deterrency in Antarctic marine organisms: bioassays with the omnivore amphipod Cheirimedon femoratus</t>
  </si>
  <si>
    <t>Cheirimedon femoratus; Antarctic invertebrates; Antarctic algae; Chemical ecology; Omnivorous amphipod; Unpalatability; Feeding preference assays</t>
  </si>
  <si>
    <t>CHEMICAL DEFENSES; BIOCHEMICAL-COMPOSITION; SECONDARY METABOLITES; SUBTIDAL MACROALGAE; ENERGY CONTENT; MCMURDO-SOUND; ECOLOGY; CRUSTACEA; SPONGES; SEA</t>
  </si>
  <si>
    <t>The main predators of Antarctic benthic organisms are vagile invertebrates, including dense amphipod populations. Marked seasonalities of food availability drive consumers to develop opportunistic behaviors, which favors the evolution of defensive chemistry in potential prey. We used the circumpolar omnivorous amphipod Cheirimedon femoratus and a new feeding preference assay using alginate caviar-textured food pearls to examine the incidence of lipophilic deterrents in Antarctic benthic organisms. The method showed remarkable discriminatory potential for unpalatable metabolites. We obtained a total of 52 fractions from 40 samples that represented 31 species (including sponges, cnidarians, ascidians, a bryozoan, an echinoderm, a hemi-chordate and algae) from the Weddell Sea and the South Shetland Islands. Unpalatability was found in 42 extracts from 26 species. The remaining 10 extracts from 7 samples did not exhibit unpalatability, indicating either that deterrents are contained in fractions not tested here, or that alternative defensive traits might protect these organisms. Within the 4 major taxonomical groups, the ascidians showed the highest repellencies, followed by sponges, cnidarians, and algae. These organisms from distant Antarctic locations may represent both host biosubstrata and potential prey for C. femoratus. Thus, this amphipod could be a significant inducer of chemical protection in its hosts due to the localized and constant contact created by inhabiting and feeding on the same organism. Defense sequestration in specific body-structures, as predicted by the Optimal Defense Theory, was detected in an octocoral sample. We suggest that some of the tested organisms could combine several defensive strategies to prevent predation. Altogether, our results indicate that chemical defenses are broadly used among Antarctic benthic organisms to avoid predation by the opportunistic amphipod C. femoratus, and thus, chemical ecology is a key aspect in the functioning of Antarctic ecosystems.</t>
  </si>
  <si>
    <t>[Nunez-Pons, Laura; Avila, Conxita] Univ Barcelona, Fac Biol, Dept Biol Anim Invertebrats, E-08028 Barcelona, Catalunya, Spain; [Rodriguez-Arias, Mariano] Univ Extremadura, Fac Ciencias, Dept Matemat, Badajoz 06006, Spain; [Gomez-Garreta, Amelia; Ribera-Siguan, Antonia] Univ Barcelona, Fac Farm, Dept Prod Nat Biol Vegetal &amp; Edafol Bot, E-08028 Barcelona, Catalunya, Spain</t>
  </si>
  <si>
    <t>University of Barcelona; Universidad de Extremadura; University of Barcelona</t>
  </si>
  <si>
    <t>Avila, Conxita/B-9466-2008</t>
  </si>
  <si>
    <t>Avila, Conxita/0000-0002-5489-8376</t>
  </si>
  <si>
    <t>Ministry of Science and Innovation of Spain [CGL2004-03356/ANT, CGL2007-65453/ANT, CGL2010-17415/ANT]</t>
  </si>
  <si>
    <t>Ministry of Science and Innovation of Spain(Spanish Government)</t>
  </si>
  <si>
    <t>We thank J. Vazquez, B. Figuerola, F. J. Cristobo and S. Taboada for their precious support in the Antarctic cruises. Thanks are due to W. Arntz and the crew of R/V 'Polarstern' for their help on board. UTM (CSIC), 'BIO-Hesperides', 'BIO-Las Palmas' and BAE 'Gabriel de Castilla' crews provided logistic support. We are thankful to M. Mota for statistical advice and to P. R os, M. Varela and A. Bosch for taxonomical contributions. Funding was provided by the Ministry of Science and Innovation of Spain (CGL2004-03356/ANT, CGL2007-65453/ANT and CGL2010-17415/ANT). Thanks also to F. Adria for inventing his Kit Sferificacion (R).</t>
  </si>
  <si>
    <t>10.3354/meps09840</t>
  </si>
  <si>
    <t>991TA</t>
  </si>
  <si>
    <t>WOS:000307723300013</t>
  </si>
  <si>
    <t>Gawas-Sakhalkar, P; Singh, SM; Naik, S; Ravindra, R</t>
  </si>
  <si>
    <t>Gawas-Sakhalkar, Puja; Singh, Shiv Mohan; Naik, Simantini; Ravindra, Rasik</t>
  </si>
  <si>
    <t>High-temperature optima phosphatases from the cold- tolerant Arctic fungus Penicillium citrinum</t>
  </si>
  <si>
    <t>Acid phosphatase; enzyme; para-nitrophenylphosphate; Pikovskaya medium; psychrotolerant; SDS-PAGE</t>
  </si>
  <si>
    <t>ORGANIC PHOSPHORUS TURNOVER; ACID-PHOSPHATASE; EXTRACELLULAR PROTEASES; ALKALINE-PHOSPHATASE; PURIFICATION; PH</t>
  </si>
  <si>
    <t>Fifty-six fungal isolates from Arctic soils were subjected to primary screening for their ability to solubilize insoluble inorganic phosphate. Nine of the isolates were further analysed quantitatively for phosphatase production using para-nitrophenylphosphate as substrate. Amongst these, a cold-tolerant fungus, Penicillium citrinum strain PG162 was found to be the best producer of intracellular acid phosphatase. Further characterization of the enzyme showed that it is most active in the temperature range of 40-60 degrees C and pH range of 4.2-4.8. The dried enzyme extract is stable at a temperature of up to 50 degrees C for at least 1 h. Its activity is affected by presence of metal ions. Sodium dodecyl sulphate polyacrylamide gel electrophoresis (SDS-PAGE) analysis suggests the molecular weight of the enzyme to be between 20 and 29 kDa. The present study is important with respect to our understanding of the kind of enzymatic reactions that take place in the polar microbes, and the extent to which their activity is sustained.</t>
  </si>
  <si>
    <t>[Gawas-Sakhalkar, Puja; Singh, Shiv Mohan; Naik, Simantini; Ravindra, Rasik] Natl Ctr Antarctic &amp; Ocean Res, Headland Sada 403804, Goa, India</t>
  </si>
  <si>
    <t>Singh, SM (corresponding author), Natl Ctr Antarctic &amp; Ocean Res, Headland Sada 403804, Goa, India.</t>
  </si>
  <si>
    <t>Ministry of Earth Sciences, Government of India</t>
  </si>
  <si>
    <t>Ministry of Earth Sciences, Government of India(Ministry of Earth Science (MoES), Government of India)</t>
  </si>
  <si>
    <t>We are indebted to The Secretary, Ministry of Earth Sciences, Government of India, for financial support and facilities. This is National Centre for Antarctic and Ocean Research contribution no. 11/2012.</t>
  </si>
  <si>
    <t>NORWEGIAN POLAR INST</t>
  </si>
  <si>
    <t>TROMSO</t>
  </si>
  <si>
    <t>POLAR ENVIRONMENTAL CENTRE, HJALMAR JOHANSENSGATE 14, TROMSO, FRAMSENTERET, NORWAY</t>
  </si>
  <si>
    <t>10.3402/polar.v31i0.11105</t>
  </si>
  <si>
    <t>992KT</t>
  </si>
  <si>
    <t>WOS:000307775200001</t>
  </si>
  <si>
    <t>Nelson, OW; Garrity, GM</t>
  </si>
  <si>
    <t>Nelson, Oranmiyan W.; Garrity, George M.</t>
  </si>
  <si>
    <t>Genome sequences published outside of Standards in Genomic Sciences, March-April 2012</t>
  </si>
  <si>
    <t>STANDARDS IN GENOMIC SCIENCES</t>
  </si>
  <si>
    <t>AMMONIA-OXIDIZING ARCHAEON; FRANCISCO BAY ESTUARY; PIGLET STOOL SAMPLES; RESISTANT STRAIN; ANTARCTIC SOIL; BACTERIUM; ISOLATE; VIRUS; GAMMAPROTEOBACTERIUM; CRYOCONITE</t>
  </si>
  <si>
    <t>The purpose of this table is to provide the community with a citable record of publications of ongoing genome sequencing projects that have led to a publication in the scientific literature. While our goal is to make the list complete, there is no guarantee that we may have omitted one or more publications appearing in this time frame. Readers and authors who wish to have publications added to subsequent versions of this list are invited to provide the bibliographic data for such references to the SIGS editorial office.</t>
  </si>
  <si>
    <t>[Nelson, Oranmiyan W.; Garrity, George M.] Michigan State Univ, Dept Microbiol, Editorial Off, E Lansing, MI 48824 USA</t>
  </si>
  <si>
    <t>Michigan State University</t>
  </si>
  <si>
    <t>Nelson, OW (corresponding author), Michigan State Univ, Dept Microbiol, Editorial Off, E Lansing, MI 48824 USA.</t>
  </si>
  <si>
    <t>Garrity, George/F-7551-2013; Garrity, George M/I-8452-2019</t>
  </si>
  <si>
    <t>Garrity, George/0000-0002-4465-7034; Garrity, George M/0000-0002-4465-7034</t>
  </si>
  <si>
    <t>GENOMIC STAND CONSORT</t>
  </si>
  <si>
    <t>EAST LANSING</t>
  </si>
  <si>
    <t>MICHIGAN STATE UNIV, GEEO GARRITY, DEPT MICROBIOL, 6162 BIOMED &amp; PHYS SCI BLDG, EAST LANSING, MI 48824 USA</t>
  </si>
  <si>
    <t>1944-3277</t>
  </si>
  <si>
    <t>STAND GENOMIC SCI</t>
  </si>
  <si>
    <t>Stand. Genomic Sci.</t>
  </si>
  <si>
    <t>10.4056/sigs.2836114</t>
  </si>
  <si>
    <t>Genetics &amp; Heredity; Microbiology</t>
  </si>
  <si>
    <t>978QC</t>
  </si>
  <si>
    <t>WOS:000306759300014</t>
  </si>
  <si>
    <t>McSorley, R</t>
  </si>
  <si>
    <t>McSorley, Robert</t>
  </si>
  <si>
    <t>Ecology of the dorylaimid omnivore genera Aporcelaimellus, Eudorylaimus and Mesodorylaimus</t>
  </si>
  <si>
    <t>NEMATOLOGY</t>
  </si>
  <si>
    <t>Dorylaimida; environmental factors; feeding habits; free-living nematodes; nematode community structure; nematode ecology; soil food web</t>
  </si>
  <si>
    <t>NEMATODE COMMUNITY STRUCTURE; CROTALARIA-JUNCEA AMENDMENT; ROOT-KNOT NEMATODES; BLOWN-OUT AREAS; SOIL FOOD-WEB; LONG-TERM; BIOLOGICAL-CONTROL; TROPHIC STRUCTURE; HEAVY-METALS; PRIMARY SUCCESSION</t>
  </si>
  <si>
    <t>Eudorylaimus, Aporcelaimellus and Mesodorylaimus are dominant members of the omnivorous nematode fauna in Florida, USA. Ecological studies that included numerical data on these genera were reviewed to determine key aspects of their ecology and behaviour. These three genera were also the dominant omnivores in many parts of Europe and often occurred together. Multiple species within genera may be present in samples as well. Although results varied with habitat, these omnivores were present in nearly all stages of succession but often reached their greatest numbers in later stages of succession such as old-growth forests. They also showed remarkable adaptation to extreme environments, including Antarctic habitats, dune sands and temperate sites without vegetation. They were found in a variety of soil types but limited by soil pH &lt; 4.0. Compared with other nematode taxa, they were among the genera most sensitive to moisture levels in sandy soils and to pollution by heavy metals. Some reports also indicated adverse impacts from inorganic fertilisers and other agrichemicals. Much remains unknown about the ecology of these common nematodes, which are widely distributed in soil ecosystems.</t>
  </si>
  <si>
    <t>Univ Florida, Dept Entomol &amp; Nematol, Gainesville, FL 32611 USA</t>
  </si>
  <si>
    <t>State University System of Florida; University of Florida</t>
  </si>
  <si>
    <t>McSorley, R (corresponding author), Univ Florida, Dept Entomol &amp; Nematol, POB 110620, Gainesville, FL 32611 USA.</t>
  </si>
  <si>
    <t>mcsorley@ufl.edu</t>
  </si>
  <si>
    <t>BRILL</t>
  </si>
  <si>
    <t>1388-5545</t>
  </si>
  <si>
    <t>Nematology</t>
  </si>
  <si>
    <t>10.1163/156854112X651168</t>
  </si>
  <si>
    <t>982KZ</t>
  </si>
  <si>
    <t>WOS:000307043400001</t>
  </si>
  <si>
    <t>Chankova, SG; Yurina, N</t>
  </si>
  <si>
    <t>Mothersill, CE; Korogodina, V; Seymour, CB</t>
  </si>
  <si>
    <t>Chankova, Stefka G.; Yurina, Nadezhda</t>
  </si>
  <si>
    <t>Micro-algae as a Model System for Studying of Genotype Resistance to Oxidative Stress and Adaptive Response</t>
  </si>
  <si>
    <t>RADIOBIOLOGY AND ENVIRONMENTAL SECURITY</t>
  </si>
  <si>
    <t>NATO Science for Peace and Security Series C-Environmental Security</t>
  </si>
  <si>
    <t>NATO Advanced Research Workshop on Radiological Issues Pertaining to Environmental Security and Ecoterrorism</t>
  </si>
  <si>
    <t>OCT 09-14, 2010</t>
  </si>
  <si>
    <t>Alushta, UKRAINE</t>
  </si>
  <si>
    <t>Genotype resistance; Adaptive response; DSB DNA induction; Repair capacity; Chloroplast chaperones; Paraquat; Zeocin; Heat shock</t>
  </si>
  <si>
    <t>DOUBLE-STRAND BREAKS; HEAT-SHOCK PROTEINS; CHLAMYDOMONAS-REINHARDTII; DNA-REPAIR; CELL-LINES; IONIZING-RADIATION; RADIOADAPTIVE RESPONSE; HYDROGEN-PEROXIDE; RADIORESISTANCE; CHLOROPLAST</t>
  </si>
  <si>
    <t>Here we discuss the possible contribution of DSB DNA repair and chaperone systems for the formation of genotype resistance to oxidative stress and the possible correlation between cells' genotype resistance and the magnitude of adaptive response (AR). Mutant strains of Chlamydomonas reinhardtii showing different levels of gamma- rays, paraquat- and zeocin-resistance as well as species Chlorella isolated from habitats with extreme environmental conditions are used as a model system. On the basis of results obtained it could be speculated that genotype resistance to oxidative stress may not always correlate with the initial level of DSB induced, but rather with higher DSB repair capacity and higher content of constitutive HSP70B. Our results concerning the relationship between genotype resistance to oxidative stress and adaptive response confirm our previous suggestion that up-regulated DSB DNA rejoining could be considered as one of the mechanisms involved in the formation of AR in this organism. New data are provided that strains with a relatively lower genotype resistance demonstrate a stronger AR. On the other hand the higher genotype resistance of strains did not abrogate their competence to adapt. A relationship between DNA repair capacity estimated on the basis of single dose treatment and the DNA repair capacity estimated on the basis of the AR is obtained.</t>
  </si>
  <si>
    <t>[Chankova, Stefka G.] BAS, Inst Biodivers &amp; Ecosyst Res, Sofia 1113, Bulgaria; [Yurina, Nadezhda] Russian Acad Sci, A N Bach Inst Biochem, Moscow 119071, Russia</t>
  </si>
  <si>
    <t>Bulgarian Academy of Sciences; Russian Academy of Sciences; Research Center of Biotechnology RAS</t>
  </si>
  <si>
    <t>Chankova, SG (corresponding author), BAS, Inst Biodivers &amp; Ecosyst Res, Sofia 1113, Bulgaria.</t>
  </si>
  <si>
    <t>stephanie.chankova@yahoo.com</t>
  </si>
  <si>
    <t>Antarctic algae model system for oxidative stress resistance, Bulgarian Ministry of Education [D-002-317]; RAS and BAS WETLANET, FP7 CSA SUPPORT ACTION [229802]; Russian Foundation for Basic Research [06-04-48923a]; Program MCB RAS</t>
  </si>
  <si>
    <t>Antarctic algae model system for oxidative stress resistance, Bulgarian Ministry of Education; RAS and BAS WETLANET, FP7 CSA SUPPORT ACTION; Russian Foundation for Basic Research(Russian Foundation for Basic Research (RFBR)Spanish Government); Program MCB RAS</t>
  </si>
  <si>
    <t>This work was funded under the projects D-002-317 Antarctic algae model system for oxidative stress resistance, Bulgarian Ministry of Education, Young and Science Molecular mechanisms of induced resistance in plants to oxidative stress, agreement between RAS and BAS WETLANET, FP7 CSA SUPPORT ACTION, contract No. 229802, 2008 Russian Foundation for Basic Research (project 06-04-48923a), Program MCB RAS. We thank Prof. Michael Schroda (Albert-Ludwigs Universitat Freiburg, Institut fuz BiologieII,Germany) for the antiserum against HSP70B.</t>
  </si>
  <si>
    <t>PO BOX 17, 3300 AA DORDRECHT, NETHERLANDS</t>
  </si>
  <si>
    <t>1871-4668</t>
  </si>
  <si>
    <t>978-94-007-1938-5</t>
  </si>
  <si>
    <t>NATO SCI PEACE SECUR</t>
  </si>
  <si>
    <t>NATO Sci. Peace Secur. Ser. C- Environ. Secur.</t>
  </si>
  <si>
    <t>10.1007/978-94-007-1939-2_3</t>
  </si>
  <si>
    <t>Biophysics; Public, Environmental &amp; Occupational Health; Nuclear Science &amp; Technology</t>
  </si>
  <si>
    <t>BBK53</t>
  </si>
  <si>
    <t>WOS:000307200400003</t>
  </si>
  <si>
    <t>Gonchar, A; Ameliyanovich, M; Zhur, K; Mosse, I; Mosse, K</t>
  </si>
  <si>
    <t>Gonchar, Alexander; Ameliyanovich, Maxim; Zhur, Kristina; Mosse, Irma; Mosse, Konstantin</t>
  </si>
  <si>
    <t>Molecular-Genetic Analysis of Genetic Predisposition to Myocardial Infarction and Comparison of Risk Factor Population Rates in Different Countries</t>
  </si>
  <si>
    <t>Myocardial infarction; Gene polymorphisms; Factor V Leiden and Protrombin mutations; Genetic predisposition; Population frequencies; European countries</t>
  </si>
  <si>
    <t>FACTOR-V-LEIDEN; ACTIVATOR INHIBITOR-1 GENE; COAGULATION-FACTOR-V; PROTHROMBIN G20210A; 4G/5G POLYMORPHISM; VENOUS THROMBOSIS; MTHFR C677T; PAI-1 GENE; PREVALENCE; MUTATION</t>
  </si>
  <si>
    <t>Factor V Leiden and Protrombin G20210A mutations as well as some gene polymorphisms, such as Val34Leu of the coagulation factor XIII, 4G/5G of PAN gene and Thr312Ala of fibrinogen alpha chain have been investigated as risk factors of myocardial infarction (MI). The methods of polymerase chain reaction (PCR) with specially designed allele specific primers were used to determine polymorphisms and mutations. DNA extracted from lymphocytes or dried bloodspots was used as matrix for PCR. Blood samples of 175 patients with acute myocardial infarction and 270 people of the control group were investigated. It was obtained that the rate of Thr312Ala heterozygotes among patients with myocardial infarction was 1.3 times as high as in the control group. The frequency of Factor V Leiden and G20210 mutations in patients with myocardial infarction was more than 2 times as high as in the control group. Leu/Leu genotype was shown to be responsible for risk of myocardial infarction development too (OR = 2.02). According to our data 4G/4G genotype of the PAI-1 gene may be predisposing to the myocardial infarction and 5G/5G one - protecting. Population frequencies of MI genetic risk factors in Belarus population have been established. The comparison of MI predisposition genotypes frequencies with the levels of this disease in different countries of Europe has been performed. We revealed a statistically significant positive correlation between the frequencies of MI morbidity and 4G/4G genotype. At the same time, there was no statistically significant correlation between frequencies of other risk factors and MI frequency. The obtained data allows conclusion that PAI-1 gene genotype 4G/4G is the most informative for evaluation of genetic predisposition to MI.</t>
  </si>
  <si>
    <t>[Mosse, Konstantin] Natl Ctr Res &amp; Appl Med Mother &amp; Child, Orlovskaya Str 66, Minsk 220053, BELARUS; [Gonchar, Alexander; Ameliyanovich, Maxim; Zhur, Kristina; Mosse, Irma] Natl Acad Sci Belarus, Inst Genet &amp; Cytol, Minsk 220072, BELARUS</t>
  </si>
  <si>
    <t>National Academy of Sciences of Belarus (NASB); Institute of Genetics &amp; Cytology of the National Academy of Sciences of Belarus</t>
  </si>
  <si>
    <t>Mosse, K (corresponding author), Natl Ctr Res &amp; Appl Med Mother &amp; Child, Orlovskaya Str 66, Minsk 220053, BELARUS.</t>
  </si>
  <si>
    <t>kosmosse@yahoo.com</t>
  </si>
  <si>
    <t>Zhur, Kristina/I-6880-2017</t>
  </si>
  <si>
    <t>Zhur, Kristina/0000-0002-5575-4067</t>
  </si>
  <si>
    <t>Antarctic algae model system for oxidative stress resistance, Bulgarian Ministry of Education [D-002-317]; RAS and BAS WETLANET, FP7 CSA SUPPORT ACTION [229802]; Russian Foundation for Basic Research [06-04-48923a]</t>
  </si>
  <si>
    <t>Antarctic algae model system for oxidative stress resistance, Bulgarian Ministry of Education; RAS and BAS WETLANET, FP7 CSA SUPPORT ACTION; Russian Foundation for Basic Research(Russian Foundation for Basic Research (RFBR)Spanish Government)</t>
  </si>
  <si>
    <t>This work was funded under the projects D-002-317 Antarctic algae model system for oxidative stress resistance, Bulgarian Ministry of Education, Young and Science Molecular mechanisms of induced resistance in plants to oxidative stress, agreement between RAS and BAS WETLANET, FP7 CSA SUPPORT ACTION, contract No. 229802, 2008 Russian Foundation for Basic Research (project 06-04-48923a), Program MCB RAS.We thank Prof. Michael Schroda (Albert-Ludwigs-Universitat Freiburg, Institut fuz BiologieII,Germany) for the antiserum against HSP70B.</t>
  </si>
  <si>
    <t>10.1007/978-94-007-1939-2_11</t>
  </si>
  <si>
    <t>WOS:000307200400011</t>
  </si>
  <si>
    <t>Zhang, X; E, DC; Zhou, CX</t>
  </si>
  <si>
    <t>Wang, D</t>
  </si>
  <si>
    <t>Zhang Xin; E Dongchen; Zhou Chunxia</t>
  </si>
  <si>
    <t>Monitoring of Blue-Ice Extent on Satellite Images of Grove Mountains, Antarctica</t>
  </si>
  <si>
    <t>ADVANCED MATERIALS IN MICROWAVES AND OPTICS</t>
  </si>
  <si>
    <t>Key Engineering Materials</t>
  </si>
  <si>
    <t>International Conference on Advanced Materials in Microwaves and Optics (AMMO 2011)</t>
  </si>
  <si>
    <t>SEP 30-OCT 01, 2011</t>
  </si>
  <si>
    <t>Bangkok, THAILAND</t>
  </si>
  <si>
    <t>Grove Mountains; Antarctica; Blue ice; MODIS; Landsat</t>
  </si>
  <si>
    <t>This report presents the finding of seasonal and interannual variations of blue-ice extent in the Grove Mountains, by using images from Moderate Resolution Imaging Spectroradiomete (MODIS) and Landsat. The MODIS raw data were first treated by the pretreatment methods and the blue-ice pixels was separated by the blue-ice mapping algorithm. From the data over three summer seasons, the variation regularity of seasonal blue-ice exposure are summarized. The area grows rapidly from September to December and peaks to about 600km(2) by the middle or late of next January, then it declines from February to April. The Landsat images were then processed by supervised classification combining with visual revision. According to the result images over 30 years, the margins of blue-ice feature were compared and the eastward trend of blue-ice extent can be concluded. Besides, the combination of MODIS and Landsat data indicates that the seasonal variation is more obvious than the interannual changes for the Grove blue ice, and the blue-ice areas are sensitive to the change of climate and shortwave radialization.</t>
  </si>
  <si>
    <t>[Zhang Xin; E Dongchen; Zhou Chunxia] Wuhan Univ, Chinese Antarctic Ctr Surveying &amp; Mapping, Key Lab Polar Surveying &amp; Mapping, State Bur Surveying &amp; Mapping, Wuhan 430072, Peoples R China</t>
  </si>
  <si>
    <t>Wuhan University</t>
  </si>
  <si>
    <t>Zhang, X (corresponding author), Wuhan Univ, Chinese Antarctic Ctr Surveying &amp; Mapping, Key Lab Polar Surveying &amp; Mapping, State Bur Surveying &amp; Mapping, Wuhan 430072, Peoples R China.</t>
  </si>
  <si>
    <t>zsimba@163.com</t>
  </si>
  <si>
    <t>1013-9826</t>
  </si>
  <si>
    <t>KEY ENG MATER</t>
  </si>
  <si>
    <t>10.4028/www.scientific.net/KEM.500.475</t>
  </si>
  <si>
    <t>Materials Science, Multidisciplinary; Optics; Physics, Applied</t>
  </si>
  <si>
    <t>Materials Science; Optics; Physics</t>
  </si>
  <si>
    <t>BBD78</t>
  </si>
  <si>
    <t>WOS:000306578400083</t>
  </si>
  <si>
    <t>Bown, J; Boye, M; Nelson, DM</t>
  </si>
  <si>
    <t>Bown, J.; Boye, M.; Nelson, D. M.</t>
  </si>
  <si>
    <t>New insights on the role of organic speciation in the biogeochemical cycle of dissolved cobalt in the southeastern Atlantic and the Southern Ocean</t>
  </si>
  <si>
    <t>TRACE-ELEMENTS; NATURAL-WATERS; SEAWATER; COMPLEXATION; MANGANESE; LIGANDS; IRON; PHYTOPLANKTON; OXIDATION; SEA</t>
  </si>
  <si>
    <t>The organic speciation of dissolved cobalt (DCo) was investigated in the subtropical region of the southeastern Atlantic, and in the Southern Ocean in the Antarctic Circumpolar Current (ACC) and the northern Weddell Gyre, between 34A degrees 25A ' S and 57A degrees 33A ' S along the Greenwich Meridian during the austral summer of 2008. The organic speciation of dissolved cobalt was determined by competing ligand exchange adsorptive cathodic stripping voltammetry (CLE-AdCSV) using nioxime as a competing ligand. The concentrations of the organic ligands (L) ranged between 26 and 73 pM, and the conditional stability constants (log K'(CoL)) of the organic complexes of Co between 17.9 and 20.1. Most dissolved cobalt was organically complexed in the water-column (60 to &gt; 99.9%). There were clear vertical and meridional patterns in the distribution of L and the organic speciation of DCo along the section. These patterns suggest a biological source of the organic ligands in the surface waters of the subtropical domain and northern subantarctic region, potentially driven by the cyanobacteria, and a removal of the organic Co by direct or indirect biological uptake. The highest L:DCo ratio (5.81 +/- 1.07 pM pM(-1)) observed in these surface waters reflected the combined effects of ligand production and DCo consumption. As a result of these combined effects, the calculated concentrations of inorganic Co ([Co']) were very low in the subtropical and subantarctic surface waters, generally between 10(-19) and 10(-17) M. In intermediate and deep waters, the South African margins can be a source of organic ligands, as it was suggested to be for DCo (Bown et al., 2011), although a significant portion of DCo (up to 15%) can be stabilized and transported as inorganic species in those DCo-enriched water-masses. Contrastingly, the distribution of L does not suggest an intense biological production of L around the Antarctic Polar Front where a diatom bloom had recently occurred. Here [Co'] can be several orders of magnitude higher than those reported in the subtropical domain, suggesting that cobalt limitation was unlikely in the ACC domain. The almost invariant L:DCo ratio of similar to 1 recorded in these surface waters also reflected the conservative behaviours of both L and DCo. In deeper waters higher ligand concentrations were observed in waters previously identified as DCo sources (Bown et al., 2011). At those depths the eastward increase of DCo from the Drake Passage to the Greenwich Meridian could be associated with a large scale transport and remineralisation of DCo as organic complexes; here, the fraction stabilized as inorganic Co was also significant (up to 25%) in the low oxygenated Upper Circumpolar Deep Waters. Organic speciation may thus be a central factor in the biogeochemical cycle of DCo in those areas, playing a major role in the bioavailability and the geochemistry of Co.</t>
  </si>
  <si>
    <t>[Bown, J.; Boye, M.; Nelson, D. M.] Inst Univ Europeen Mer IUEM, UMS3113, Lab Sci Environm Marin, UMR6539, F-29280 Plouzane, France</t>
  </si>
  <si>
    <t>Centre National de la Recherche Scientifique (CNRS); CNRS - Institute of Ecology &amp; Environment (INEE); Universite de Bretagne Occidentale; Institut Universitaire Europeen de la Mer (IUEM); CNRS - National Institute for Earth Sciences &amp; Astronomy (INSU); Ifremer; Institut de Recherche pour le Developpement (IRD)</t>
  </si>
  <si>
    <t>Bown, J (corresponding author), Inst Univ Europeen Mer IUEM, UMS3113, Lab Sci Environm Marin, UMR6539, Technopole Brest Iroise,Pl Nicolas Copernic, F-29280 Plouzane, France.</t>
  </si>
  <si>
    <t>Calvet, Jean-Christophe/0000-0001-6425-6492</t>
  </si>
  <si>
    <t>BONUS-GoodHope project; French LEFE National Program of INSU; National Agency of French Research [ANR-07-BLAN-0146-01]; Paul Emile Victor Institut; Region Bretagne; Agence Nationale de la Recherche (ANR) [ANR-07-BLAN-0146] Funding Source: Agence Nationale de la Recherche (ANR)</t>
  </si>
  <si>
    <t>BONUS-GoodHope project; French LEFE National Program of INSU; National Agency of French Research; Paul Emile Victor Institut; Region Bretagne(Region Bretagne); Agence Nationale de la Recherche (ANR)(Agence Nationale de la Recherche (ANR))</t>
  </si>
  <si>
    <t>We are most grateful for the assistance and the wonderful work at sea provided by Captain P. Courtes, the officers and the crew members of the French research vessel Marion Dufresne II during the IPY MD166 BONUS-GoodHope cruise. The chief scientists, M. Boye and S. Speich, and their collaborators M. Arhan (LPO, Brest, FR) and F. Dehairs (VUB, Brussels, Belgium) are warmly acknowledged for their efforts. We are grateful to the colleagues of our GO-FLO sampling team (F. Chever, B. Wake, E. Buciarrelli, G. Sarthou, F. Lacan and A. Radic). This investigation was financed by the BONUS-GoodHope project and cruise funded by the French LEFE National Program of INSU, the National Agency of French Research (ANR-07-BLAN-0146-01) and the Paul Emile Victor Institut. This work is a contribution to the International Polar Year and the International GEOTRACES programmes. The Region Bretagne supported the PhD fellowship of J. B.</t>
  </si>
  <si>
    <t>10.5194/bg-9-2719-2012</t>
  </si>
  <si>
    <t>981NW</t>
  </si>
  <si>
    <t>WOS:000306976100025</t>
  </si>
  <si>
    <t>Drdla, K; Müller, R</t>
  </si>
  <si>
    <t>Drdla, K.; Mueller, R.</t>
  </si>
  <si>
    <t>Temperature thresholds for chlorine activation and ozone loss in the polar stratosphere</t>
  </si>
  <si>
    <t>NITRIC-ACID TRIHYDRATE; LARGE HNO3-CONTAINING PARTICLES; REACTIVE UPTAKE COEFFICIENTS; SULFURIC-ACID; ANTARCTIC OZONE; ARCTIC WINTER; CLOUD FORMATION; HETEROGENEOUS INTERACTIONS; REACTION PROBABILITIES; VOLCANIC AEROSOL</t>
  </si>
  <si>
    <t>Low stratospheric temperatures are known to be responsible for heterogeneous chlorine activation that leads to polar ozone depletion. Here, we discuss the temperature threshold below which substantial chlorine activation occurs. We suggest that the onset of chlorine activation is dominated by reactions on cold binary aerosol particles, without the formation of polar stratospheric clouds (PSCs), i.e. without any significant uptake of HNO3 from the gas phase. Using reaction rates on cold binary aerosol in a model of stratospheric chemistry, a chlorine activation threshold temperature, T-ACL, is derived. At typical stratospheric conditions, T-ACL is similar in value to T-NAT (within 1-2 K), the highest temperature at which nitric acid trihydrate (NAT) can exist. T-NAT is still in use to parameterise the threshold temperature for the onset of chlorine activation. However, perturbations can cause T-ACL to differ from T-NAT: T-ACL is dependent upon H2O and potential temperature, but unlike T-NAT is not dependent upon HNO3. Furthermore, in contrast to T-NAT, T-ACL is dependent upon the stratospheric sulfate aerosol loading and thus provides a means to estimate the impact on polar ozone of strong volcanic eruptions and some geo-engineering options, which are discussed. A parameterisation of T-ACL is provided here, allowing it to be calculated for low solar elevation (or high solar zenith angle) over a comprehensive range of stratospheric conditions. Considering T-ACL as a proxy for chlorine activation cannot replace a detailed model calculation, and polar ozone loss is influenced by other factors apart from the initial chlorine activation. However, T-ACL provides a more accurate description of the temperature conditions necessary for chlorine activation and ozone loss in the polar stratosphere than T-NAT.</t>
  </si>
  <si>
    <t>[Mueller, R.] Forschungszentrum Julich, Inst Energy &amp; Climate Res IEK 7, D-52425 Julich, Germany; [Drdla, K.] NASA, Ames Res Ctr, Moffett Field, CA 94035 USA</t>
  </si>
  <si>
    <t>Helmholtz Association; Research Center Julich; National Aeronautics &amp; Space Administration (NASA); NASA Ames Research Center</t>
  </si>
  <si>
    <t>Müller, R (corresponding author), Forschungszentrum Julich, Inst Energy &amp; Climate Res IEK 7, D-52425 Julich, Germany.</t>
  </si>
  <si>
    <t>ro.mueller@fz-juelich.de</t>
  </si>
  <si>
    <t>Müller, Rolf/ABA-8213-2021</t>
  </si>
  <si>
    <t>Müller, Rolf/0000-0002-5024-9977</t>
  </si>
  <si>
    <t>NASA's Earth Science Enterprise through the Atmospheric Chemistry and Modeling Analysis Program [NRA-02-OES-02]; European Union [EU-FP7-226365-RECONCILE]</t>
  </si>
  <si>
    <t>NASA's Earth Science Enterprise through the Atmospheric Chemistry and Modeling Analysis Program; European Union(European Union (EU))</t>
  </si>
  <si>
    <t>We are grateful to Dave Fahey, Jens-Uwe Grooss, Thomas Peter, Bob Portmann, Ross Salawitch, Susan Solomon, Simone Tilmes, and Tobias Wegner for very helpful discussions and for constructive critical comments. We thank Thomas Peter, Ross Salawitch, Susan Solomon and a number of anonymous referees for their thoughtful reviews. We also thank Tobias Wegner very much for providing Figs. 1 and 2. This research was supported in part by NASA's Earth Science Enterprise through the Atmospheric Chemistry and Modeling Analysis Program, NRA-02-OES-02 and by the European Union EU-FP7-226365-RECONCILE grant. We are grateful to the United Kingdom Met Office for providing meteorological analyses.</t>
  </si>
  <si>
    <t>10.5194/angeo-30-1055-2012</t>
  </si>
  <si>
    <t>981NO</t>
  </si>
  <si>
    <t>WOS:000306975300003</t>
  </si>
  <si>
    <t>Quilhot, W; Cuellar, M; Díaz, R; Riquelme, F; Rubio, C</t>
  </si>
  <si>
    <t>Quilhot, Wanda; Cuellar, Mauricio; Diaz, Rodrigo; Riquelme, Francisco; Rubio, Cecilia</t>
  </si>
  <si>
    <t>Lichens of Aisen, Southern Chile</t>
  </si>
  <si>
    <t>GAYANA BOTANICA</t>
  </si>
  <si>
    <t>Lichen diversity; endemism; steppe areas; biogeography</t>
  </si>
  <si>
    <t>GENUS MENEGAZZIA PARMELIACEAE; FAMILY PANNARIACEAE; ASCOMYCOTA; REGION; COCCOTREMATACEAE; LECANORALES; ARGENTINA; SYNOPSIS; NEPHROMA; PSOROMA</t>
  </si>
  <si>
    <t>The lichen mycobiota of Aisen (southern Chile) comprises 319 taxa in 87 genera. All of the species of Menegazzia and Protousnea, previously recorded in Chile, are present in this region. The diversity of biomes, from temperate rainforests -particularly in oceanic zones- to steppe areas, offers an enormous number of macro and microhabitats favorable for lichens. The highest lichen diversity, 56 %, was recorded in an undisturbed locality in Laguna San Rafael National Park. Lichen species diversity is higher in oceanic temperate rainforests than in steppe areas, where the majority of Antarctic lichens (23 %) are registered. Levels of endemism are rather high (26 %) and are due mainly to species of the genera Protousnea, Pseudocyphellaria, Menegazzia, Cladonia, Sticia, Nephroma. Other biogeographical elements in the region's lichen mycobiota are: cosmopolitan (16 %), austral (16 %) and bipolar (13 %). Lichen diversity in Aisen represents about 20 % of the known lichen mycobiota of Chile.</t>
  </si>
  <si>
    <t>[Quilhot, Wanda; Cuellar, Mauricio; Diaz, Rodrigo; Riquelme, Francisco; Rubio, Cecilia] Univ Valparaiso, Fac Farm, Dept Quim &amp; Recursos Nat, Herbario Liquenes UV, Valparaiso, Chile</t>
  </si>
  <si>
    <t>Universidad de Valparaiso</t>
  </si>
  <si>
    <t>Quilhot, W (corresponding author), Univ Valparaiso, Fac Farm, Dept Quim &amp; Recursos Nat, Herbario Liquenes UV, Casilla 5001, Valparaiso, Chile.</t>
  </si>
  <si>
    <t>wanda.quilhot@uv.cl</t>
  </si>
  <si>
    <t>Cuellar, Mauricio/0000-0003-3162-5364; Diaz-Viciedo, Rodrigo/0009-0002-5529-7051</t>
  </si>
  <si>
    <t>Direccion de Investigacion of the Universidad de Valparaiso</t>
  </si>
  <si>
    <t>We are greatly indebted to D.J. Galloway, J.W. Bjerke, Arve Elvebakk and B. Goffinet for their inestimable collaboration in the identification of the species; to Daniela Castro, Coordinator of the project Biodiversidad de Aisen; to Sergio Herrera, Coordinator of Darwin Project; to CONAF XI Region, especially to Dennis Aldridge and the guardparks Hernan Velazquez, Tomas Ormeno, Javier Subiabre and Benjamin Molina; to Raleigh International and Venturers for field assistance; to Fernanda Cavieres, from the Universidad de Valparaiso, for reviewing the manuscript. We are sincerely grateful to the Direccion de Investigacion of the Universidad de Valparaiso for several grants to investigate lichens in Aisen.</t>
  </si>
  <si>
    <t>EDICIONES UNIV, CONCEPCION</t>
  </si>
  <si>
    <t>CONCEPCION</t>
  </si>
  <si>
    <t>COMITE DE PUBLICACION, CASILLA 2407, CONCEPCION, 00000, CHILE</t>
  </si>
  <si>
    <t>0717-6643</t>
  </si>
  <si>
    <t>GAYANA BOT</t>
  </si>
  <si>
    <t>Gayana Bot.</t>
  </si>
  <si>
    <t>10.4067/S0717-66432012000100007</t>
  </si>
  <si>
    <t>975SX</t>
  </si>
  <si>
    <t>WOS:000306532900007</t>
  </si>
  <si>
    <t>Tracey, SR; Hartmann, K; Hobday, AJ</t>
  </si>
  <si>
    <t>Tracey, Sean R.; Hartmann, Klaas; Hobday, Alistair J.</t>
  </si>
  <si>
    <t>The effect of dispersal and temperature on the early life history of a temperate marine fish</t>
  </si>
  <si>
    <t>FISHERIES OCEANOGRAPHY</t>
  </si>
  <si>
    <t>climate change; ocean warming; spatial management; thermal niche</t>
  </si>
  <si>
    <t>TRUMPETER LATRIS-LINEATA; INTERANNUAL VARIABILITY; LARVAL DISPERSAL; CLIMATE-CHANGE; GROWTH; OCEAN; CONNECTIVITY; POPULATIONS; AUSTRALIA; ABUNDANCE</t>
  </si>
  <si>
    <t>Understanding the mechanisms that influence the successful recruitment of marine species is one of the great challenges in marine science, particularly for species that undergo a protracted larval phase. Here we apply a bio-physical individual-based model (IBM) which couples data from a high-resolution oceanographic model with temperature-related survival characteristics for the early life stage of a temperate marine fish. The IBM was run retrospectively for the years 19932007 with spawning locations occurring around Tasmania, Australia. Meso-scale oceanographic features led to individuals spawned on the west coast, and to a lesser extent the south coast, being washed ashore prior to achieving a competent size to actively influence their migratory paths. Individuals spawned on the east coast had significantly higher survival rates. Temperature-induced mortality was relatively consistent across years. This indicates that the dispersal envelopes, of pre-flexion larvae, across all years are predominately within the thermal niche of this species. To further understand the effect of temperature on survival we integrated global climate model warming scenarios into the model. The results indicated that around the year 2050 the predicted warming would have a minor positive effect on the survival of individuals but by 2100 the pejus temperature will frequently be exceeded leading to a significant decline in survival, particularly towards the northern end of the dispersal range.</t>
  </si>
  <si>
    <t>[Tracey, Sean R.; Hartmann, Klaas] Univ Tasmania, Inst Marine &amp; Antarctic Studies, Hobart, Tas 7001, Australia; [Hobday, Alistair J.] CSIRO Marine &amp; Atmospher Res, Climate Adaptat Flagship, Hobart, Tas 7000, Australia</t>
  </si>
  <si>
    <t>University of Tasmania; Commonwealth Scientific &amp; Industrial Research Organisation (CSIRO)</t>
  </si>
  <si>
    <t>Tracey, SR (corresponding author), Univ Tasmania, Inst Marine &amp; Antarctic Studies, Private Bag 49, Hobart, Tas 7001, Australia.</t>
  </si>
  <si>
    <t>sean.tracey@utas.edu.au</t>
  </si>
  <si>
    <t>Hobday, Alistair/A-1460-2012; Hartmann, Klaas/B-3991-2008; Tracey, Sean/J-7446-2014</t>
  </si>
  <si>
    <t>Tracey, Sean/0000-0002-6735-5899</t>
  </si>
  <si>
    <t>1054-6006</t>
  </si>
  <si>
    <t>1365-2419</t>
  </si>
  <si>
    <t>FISH OCEANOGR</t>
  </si>
  <si>
    <t>Fish Oceanogr.</t>
  </si>
  <si>
    <t>10.1111/j.1365-2419.2012.00628.x</t>
  </si>
  <si>
    <t>Fisheries; Oceanography</t>
  </si>
  <si>
    <t>978JG</t>
  </si>
  <si>
    <t>WOS:000306736000002</t>
  </si>
  <si>
    <t>Tyson, RB; Friedlaender, AS; Ware, C; Stimpert, AK; Nowacek, DP</t>
  </si>
  <si>
    <t>Tyson, Reny B.; Friedlaender, Ari S.; Ware, Colin; Stimpert, Alison K.; Nowacek, Douglas P.</t>
  </si>
  <si>
    <t>Synchronous mother and calf foraging behaviour in humpback whales Megaptera novaeangliae: insights from multi-sensor suction cup tags</t>
  </si>
  <si>
    <t>Humpback whale; Mother and calf; Foraging; Synchrony; Antarctica</t>
  </si>
  <si>
    <t>MARINE MAMMALS; FIN WHALES; DOLPHINS; BUOYANCY; PATTERNS; CALVES; STRATEGIES; ENERGETICS; COST; DRAG</t>
  </si>
  <si>
    <t>Previously, all inferences regarding fine-scale baleen whale mother-calf relationships have come from surface observations, aerial surveys, or underwater video recordings. On May 19, 2010, we attached high-resolution digital acoustic recording tags (Dtags) to an adult female humpback whale Megaptera novaeangliae and her calf in Wilhelmina Bay (Western Antarctic Peninsula) to examine their concurrent diving and foraging behaviour. The Dtags logged similar to 20 h of concurrent recordings. We used cross-correlation analyses to quantify synchrony between the pair. Dive depth was positively correlated for the duration of the concurrent record and was highest when the calf's track lagged behind the mother's by 4.5 s, suggesting that the calf was 'following' its mother. Pitch and heading were positively correlated but to a lesser degree. Both animals executed feeding lunges; however, the mother foraged more intensively than the calf (792 and 118 lunges over 246 and 30 feeding dives, respectively). Also, the mother fed consistently once she initiated feeding at 16:22:00 h until the tag came off, whereas the calf executed 95.76% of its lunges between 17:00:08 and 19:28:21 h, local time. Correlation coefficients calculated per dive were highest when both animals were feeding and lowest when only the mother was feeding. In addition, 84.26 and 79.63% of the calf's lunges were performed within +/- 20 s and +/- 20 m of its mother's lunges, respectively. Our work describes the first record of a long-term continuous underwater relationship and foraging behaviour of a humpback mother-calf pair.</t>
  </si>
  <si>
    <t>[Tyson, Reny B.; Friedlaender, Ari S.; Nowacek, Douglas P.] Duke Univ, Marine Lab, Beaufort, NC 28516 USA; [Nowacek, Douglas P.] Duke Univ, Pratt Sch Engn, Durham, NC USA; [Ware, Colin] Univ New Hampshire, Ctr Coastal &amp; Ocean Mapping, Durham, NH 03824 USA; [Stimpert, Alison K.] Hawaii Inst Marine Biol, Marine Mammal Res Program, Kailua, HI 96744 USA; [Stimpert, Alison K.] USN, Postgrad Sch, Dept Oceanog, Monterey, CA 93943 USA</t>
  </si>
  <si>
    <t>Duke University; Duke University; University System Of New Hampshire; University of New Hampshire; United States Department of Defense; United States Navy; Naval Postgraduate School</t>
  </si>
  <si>
    <t>Tyson, RB (corresponding author), Duke Univ, Marine Lab, Beaufort, NC 28516 USA.</t>
  </si>
  <si>
    <t>reny.tyson@duke.edu</t>
  </si>
  <si>
    <t>Stimpert, Alison/0000-0002-9400-0305; Tyson Moore, Reny/0000-0001-5541-193X</t>
  </si>
  <si>
    <t>NSF [ANT-07-39483]; [N0014091601]</t>
  </si>
  <si>
    <t>NSF(National Science Foundation (NSF));</t>
  </si>
  <si>
    <t>We thank J. Hench, P. Halpin, J. Goldbogen, M. Johnson, D. Cyr, D. Rubenstein, and the RVIB 'Nathaniel B. Palmer' officers, crew and marine technicians for their invaluable assistance. We also thank M. Dunphy-Daly and 3 anonymous reviewers for their valuable comments on an earlier draft of this paper. This research was conducted under NMFS MMPA Permit 808-1735 and Antarctic Conservation Act Permit 2009-014, and was supported by NSF grant number ANT-07-39483. TrackPlot was developed under the Tools to Compare Diving-Animal Kinematics with Acoustic Behaviour and Exposure grant number N0014091601.</t>
  </si>
  <si>
    <t>10.3354/meps09708</t>
  </si>
  <si>
    <t>978PB</t>
  </si>
  <si>
    <t>WOS:000306755000017</t>
  </si>
  <si>
    <t>Copia, J; Gaete, H; Zúñiga, G; Hidalgo, M; Cabrera, E</t>
  </si>
  <si>
    <t>Copia, Jaime; Gaete, Hernan; Zuniga, Gustavo; Hidalgo, Maria; Cabrera, Enrique</t>
  </si>
  <si>
    <t>Effect of ultraviolet B radiation on the production of polyphenols in the marine microalga Chlorella sp.</t>
  </si>
  <si>
    <t>Spanish</t>
  </si>
  <si>
    <t>antioxidants; Chlorella sp.; ultraviolet B radiation; total antioxidant capacity; total polyphenols</t>
  </si>
  <si>
    <t>SOLAR UV; PHYTOPLANKTON COMMUNITIES; ANTARCTIC PHYTOPLANKTON; PHOTOSYNTHESIS; PHOTOINHIBITION; PHOTOACCLIMATION; STRESS; DIATOM; DAMAGE; DNA</t>
  </si>
  <si>
    <t>Marine algae are an important source of antioxidant compounds (phenols and polyphenols), generated as defense mechanisms against stress factors (UV radiation, temperature, herbivory). The aim of this study was to evaluate the strategy of adaptation to the effect of ultraviolet B radiation (UV-B, 280-315 nm) in the marine microalga Chlorella sp. through, the production of polyphenols and total antioxidant capacity. Chlorella sp. cultures were exposed to UV-B radiation (470 mu W cm(-2)) over increasing time periods. We evaluated the total antioxidant capacity DPPH, total polyphenols, chlorophyll-a and b, and cell densities in exposed and unexposed cultures. The results indicated that UV-B caused a decrease in cell density in cultures irradiated for the first time (1st stage), with a significant increment (P &lt; 0.05, lower than the control) in the 2nd and 3rd stages only through the 4th stage (day 7), corresponding to a dose of 16,920 J m(-2). The production of total phenols increased significantly (P &lt; 0.05) for the IVth extract with respect to the control, confirming that the exposure to UV-B caused a reaction in the microalgae, generating higher levels of photoprotector substances. Total antioxidant capacity and total polyphenols did not show a significant correlation (R-2 = 0.72) due to the lack of specificity of the DPPH assay for this type of antioxidant, but a very similar trend was observed. Although the amounts of antioxidant compounds were not high, their synthesis corresponded to the response developed by the microalgae Chlorella sp. against UV-B radiation. The exposure of the microalga Chlorella sp. to incremental doses of UV-B radiation, repeated over time, caused a response in the form of increasing antioxidant defenses.</t>
  </si>
  <si>
    <t>[Copia, Jaime; Hidalgo, Maria; Cabrera, Enrique] Univ Valparaiso, Fac Ciencias, Valparaiso, Chile; [Gaete, Hernan] Univ Valparaiso, Dept Biol &amp; Ciencias Ambientales, Valparaiso, Chile; [Gaete, Hernan] Univ Valparaiso, Ctr Invest &amp; Gest Recursos Nat CIGREN, Valparaiso, Chile; [Zuniga, Gustavo] Univ Santiago Chile, Fac Quim &amp; Biol, Santiago, Chile</t>
  </si>
  <si>
    <t>Universidad de Valparaiso; Universidad de Valparaiso; Universidad de Valparaiso; Universidad de Santiago de Chile</t>
  </si>
  <si>
    <t>Hidalgo, M (corresponding author), Univ Valparaiso, Fac Ciencias, Av Gran Bretana 1111, Valparaiso, Chile.</t>
  </si>
  <si>
    <t>maria.hidalgo@uv.cl</t>
  </si>
  <si>
    <t>Zuñiga, Gustavo E/P-8306-2015</t>
  </si>
  <si>
    <t>Zuniga, Gustavo/0000-0002-8286-9468</t>
  </si>
  <si>
    <t>10.3856/vol40-issue1-fulltext-11</t>
  </si>
  <si>
    <t>977GX</t>
  </si>
  <si>
    <t>WOS:000306645800011</t>
  </si>
  <si>
    <t>Kim, SH; Hong, CH</t>
  </si>
  <si>
    <t>Kim, Sun-Hwa; Hong, Chang-Hee</t>
  </si>
  <si>
    <t>Antarctic land-cover classification using IKONOS and Hyperion data at Terra Nova Bay</t>
  </si>
  <si>
    <t>INTERNATIONAL JOURNAL OF REMOTE SENSING</t>
  </si>
  <si>
    <t>HYPERSPECTRAL DATA; MIXTURE MODEL; VEGETATION</t>
  </si>
  <si>
    <t>Low or medium spatial resolution satellite images are used for environmental monitoring in remote, extremely cold areas such as Antarctica. However, they cannot provide detailed spatial and spectral information over Antarctic areas. For obtaining this information, we propose an Antarctic land-cover classification method using IKONOS and Hyperion data over Terra Nova Bay, Antarctica. High spatial resolution IKONOS imagery enabled the detection of detailed, accurate boundaries between areas of snow, ice, vegetation, water and rock. Rock types were classified in detail using high spectral resolution Hyperion imagery. Because Antarctic land-cover types exhibit unusual spectral features, a step-by-step classification using various data sets and methods was applied. Five soil types and two rock types were identified by applying spectral linear unmixing to Hyperion data. Our land-cover classification map shows small mossy areas near emperor penguin or skua habitat. Lakes, which are an important factor in environmental monitoring, are also clearly shown. The detailed rock and soil classification map revealed that biotite gneiss and clay soils are dominant. This Antarctic land-cover map is useful for determining a suitable site for an environment-friendly Antarctic station. Among the various land-cover types, the lakes and the vegetation, rock and soil areas are considered to be important environmental factors related to Antarctic living organisms.</t>
  </si>
  <si>
    <t>[Hong, Chang-Hee] Korea Inst Construct Technol, ICT Convergence &amp; Integrat Res Div, Goyang Si 411712, Gyeonggi Do, South Korea; [Kim, Sun-Hwa] Inha Univ, Dept Geoinformat Engn, Inchon 401751, South Korea</t>
  </si>
  <si>
    <t>Hong, CH (corresponding author), Korea Inst Construct Technol, ICT Convergence &amp; Integrat Res Div, Goyang Si 411712, Gyeonggi Do, South Korea.</t>
  </si>
  <si>
    <t>chhong@kict.re.kr</t>
  </si>
  <si>
    <t>Kim, Sun/GSN-4867-2022</t>
  </si>
  <si>
    <t>Strategic Research Project (Development of Site Investigation and Monitoring System for Extreme Cold Region); Korea Institute of Construction Technology</t>
  </si>
  <si>
    <t>This research was supported by a grant from a Strategic Research Project (Development of Site Investigation and Monitoring System for Extreme Cold Region) funded by the Korea Institute of Construction Technology.</t>
  </si>
  <si>
    <t>0143-1161</t>
  </si>
  <si>
    <t>1366-5901</t>
  </si>
  <si>
    <t>INT J REMOTE SENS</t>
  </si>
  <si>
    <t>Int. J. Remote Sens.</t>
  </si>
  <si>
    <t>10.1080/01431161.2012.700136</t>
  </si>
  <si>
    <t>Remote Sensing; Imaging Science &amp; Photographic Technology</t>
  </si>
  <si>
    <t>970GN</t>
  </si>
  <si>
    <t>WOS:000306116200012</t>
  </si>
  <si>
    <t>Cutignano, A; De Palma, R; Fontana, A</t>
  </si>
  <si>
    <t>Cutignano, A.; De Palma, R.; Fontana, A.</t>
  </si>
  <si>
    <t>A chemical investigation of the Antarctic sponge Lyssodendoryx flabellata</t>
  </si>
  <si>
    <t>NATURAL PRODUCT RESEARCH</t>
  </si>
  <si>
    <t>NMR spectroscopy; mass spectrometry; oestrone derivative; glycosphingolipids; immunomodulant lipids</t>
  </si>
  <si>
    <t>PRENYLATED GLYCOSPHINGOLIPIDS; PLAKORTIS-SIMPLEX; GLYCOLIPIDS; PLAKOSIDE</t>
  </si>
  <si>
    <t>From the Antarctic sponge Lyssodendoryx flabellata, a new polycyclic compound, which we named flabellone, related to the oestrogenic hormone oestrone, has been elucidated by spectrometric and spectroscopic means. Along with flabellone, a glycosphingolipid (GSL) mixture featuring an unusual alpha-fucofuranosyl-3-beta-glucopyranoside unit structurally identical to the previously reported terpioside has been isolated and identified. The mixture of GSL homologues exhibited inhibitory effects in mixed lymphocyte reactions on human cells.</t>
  </si>
  <si>
    <t>[Cutignano, A.; Fontana, A.] CNR, Ist Chim Biomol, I-80078 Naples, Italy; [De Palma, R.] Univ Naples 2, Sez Immunol Clin, Dipartimento Internist Clin &amp; Sperimentale, I-80131 Naples, Italy</t>
  </si>
  <si>
    <t>Consiglio Nazionale delle Ricerche (CNR); Istituto di Chimica Biomolecolare (ICB-CNR); Universita della Campania Vanvitelli</t>
  </si>
  <si>
    <t>Cutignano, A (corresponding author), CNR, Ist Chim Biomol, Via Campi Flegrei 34, I-80078 Naples, Italy.</t>
  </si>
  <si>
    <t>acutignano@icb.cnr.it</t>
  </si>
  <si>
    <t>Fontana, Angelo/AAO-2741-2021; Cutignano, Adele/C-3343-2012; Fontana, Angelo/C-3354-2012</t>
  </si>
  <si>
    <t>Fontana, Angelo/0000-0002-5453-461X; Cutignano, Adele/0000-0003-3035-9252; De Palma, Raffaele/0000-0001-9070-8878</t>
  </si>
  <si>
    <t>Italian Programme for the Antarctic Research [PNRA 2009/A1.06]</t>
  </si>
  <si>
    <t>Italian Programme for the Antarctic Research</t>
  </si>
  <si>
    <t>This study is supported by the Italian Programme for the Antarctic Research (no. PNRA 2009/A1.06). The authors thank Mr Vincenzo Mirra and the staff of Servizio NMR of ICB-CNR for recording the NMR spectra and Antonio Maiello for the technical assistance in laboratory. The taxonomic identification of the biological material was made by Professors F.J. Cristobo and P. Rios of Centro Oceanografico de Gijon (IEO, SPAIN), who are gratefully acknowledged.</t>
  </si>
  <si>
    <t>1478-6419</t>
  </si>
  <si>
    <t>1478-6427</t>
  </si>
  <si>
    <t>NAT PROD RES</t>
  </si>
  <si>
    <t>Nat. Prod. Res.</t>
  </si>
  <si>
    <t>10.1080/14786419.2011.561493</t>
  </si>
  <si>
    <t>Chemistry, Applied; Chemistry, Medicinal</t>
  </si>
  <si>
    <t>Chemistry; Pharmacology &amp; Pharmacy</t>
  </si>
  <si>
    <t>972LH</t>
  </si>
  <si>
    <t>WOS:000306278100012</t>
  </si>
  <si>
    <t>Brandt, A; Blazewicz-Paszkowycz, M; Bamber, RN; Muhlenhardt-Siegel, U; Malyutina, MV; Kaiser, S; De Broyer, C; Havermans, C</t>
  </si>
  <si>
    <t>Brandt, Angelika; Blazewicz-Paszkowycz, Magdalena; Bamber, Roger N.; Muehlenhardt-Siegel, Ute; Malyutina, Marina V.; Kaiser, Stefanie; De Broyer, Claude; Havermans, Charlotte</t>
  </si>
  <si>
    <t>Are there widespread peracarid species in the deep sea (Crustacea: Malacostraca)?</t>
  </si>
  <si>
    <t>Antarctic; world oceans; abyssal; cryptic species; biogeography</t>
  </si>
  <si>
    <t>POPULATION-STRUCTURE; NECROPHAGOUS AMPHIPOD; SCAVENGING AMPHIPODS; ASELLOTA CRUSTACEA; EURYTHENES-GRYLLUS; GEOGRAPHIC RANGE; ATLANTIC SECTOR; DIVERSITY; ISOPODA; PATTERNS</t>
  </si>
  <si>
    <t>The global zoogeographic distribution of the most widespread peracarid species occurring in three or more ocean basins below 2000 m is analysed. Basing on the published data we investigated 45 peracarid species, which have a most widespread distribution and most likely are cosmopolitan. Thirty-three species have a wide distribution in the Northern Hemisphere. Most species occur in the North Atlantic, however, 16 of these species occur also in the North Pacific, a more limited number of species occurs in the South Atlantic or South Pacific The Southern Ocean displays some special zoogeographic features and 22 widespread species occur there below 2000 m, including highly eurybathic ones. In total, 11 of the analysed species occur in all oceans. Eucopia australis (Lophogastrida), Munneurycope murrayi (Isopoda) and Eurythenes gryllus (Amphipoda) are the species with the widest distributions. Other peracarids occurring in all oceans are: the isopods Paramunnopsis oceanica and Eurycope sarsi, the mysid Caesaromysis hispida the lophogastrid Eucopia unguiculata, the amphipod Mesopleustes abyssorum and the tanaids Exspina typica, Paranarthura insignis and Pseudotanais nordenskioldi. No cumacean species has been reported with an ocean-wide distribution but Campylaspis glabra occurs in the Atlantic, Indian and Pacific oceans. Among plenty of rare species in each order there are only few species with wide distribution records. There is evidence from molecular genetic studies that some of the widespread peracarids represent several cryptic species, however, some, e. g. Eucopia australis, seem to be truly cosmopolitan species. Geography of sampling is biasing our view of biogeography. The history and quality of taxonomic work as well as the reliability of geographic records (quality control of large databases) limits our investigations of widespread or cosmopolitan species as much as the limited knowledge of variation within most species causes difficulties in defining morpho-species with certainty.</t>
  </si>
  <si>
    <t>[Brandt, Angelika; Muehlenhardt-Siegel, Ute; Kaiser, Stefanie] Bioctr Grindel, D-20146 Hamburg, Germany; [Brandt, Angelika; Muehlenhardt-Siegel, Ute; Kaiser, Stefanie] Zool Museum Hamburg, D-20146 Hamburg, Germany; [Blazewicz-Paszkowycz, Magdalena] Uniwersytet Lodzki, Zaklad Biol Polarnej &amp; Oceanobiol, PL-90237 Lodz, Poland; [Bamber, Roger N.] ARTOO Marine Biol Consultants LLP, Ocean Quay Marina, Southampton SO14 5QY, Hants, England; [Muehlenhardt-Siegel, Ute] DZMB, Forschungsinst Senckenberg, D-26382 Wilhelmshaven, Germany; [Malyutina, Marina V.] FEB RAS, AV Zhirmunsky Inst Marine Biol, Vladivostok 690059, Russia; [De Broyer, Claude; Havermans, Charlotte] Royal Belgian Inst Nat Sci, B-1000 Brussels, Belgium</t>
  </si>
  <si>
    <t>University of Hamburg; University of Hamburg; University of Lodz; Senckenberg Gesellschaft fur Naturforschung (SGN); Russian Academy of Sciences; National Scientific Center of Marine Biology, Far East Branch of the Russian Academy of Sciences; Royal Belgian Institute of Natural Sciences</t>
  </si>
  <si>
    <t>Brandt, A (corresponding author), Bioctr Grindel, Martin Luther King Pl 3, D-20146 Hamburg, Germany.</t>
  </si>
  <si>
    <t>abrandt@zoologie.uni-hamburg.de</t>
  </si>
  <si>
    <t>Malyutina, Marina/A-6839-2014; Błażewicz, Magdalena/J-5175-2017; Malyutina, Marina/JAC-6506-2023; Brandt, Angelika/C-1630-2018</t>
  </si>
  <si>
    <t>Blazewicz, Magdalena/0000-0002-4753-3424; Malyutina, Marina/0000-0003-2161-3917; Kaiser, Stefanie/0000-0003-2026-4663; Havermans, Charlotte/0000-0002-1126-4074</t>
  </si>
  <si>
    <t>CeDAMar; Scientific Research Programme on the Antarctic; CH by an Action II grant [WI/36/H04]; Belgian Science Policy Office MBP; RNB [7984/b/PO1/2011/40]</t>
  </si>
  <si>
    <t>CeDAMar; Scientific Research Programme on the Antarctic; CH by an Action II grant; Belgian Science Policy Office MBP; RNB</t>
  </si>
  <si>
    <t>CeDAMar is thanked for the establishment of the database of macrobenthic distribution below 2000 m as well as for financial help for several expeditions. Natalie Rothermund and Simon Weigmann kindly helped with the development of Table 1. Henri Robert (RBINS, Brussels) actively contributed to the RBINS deep-sea amphipod database. CDB was supported by the Scientific Research Programme on the Antarctic and CH by an Action II grant (contract number WI/36/H04), both from the Belgian Science Policy Office MBP and RNB were financially supported from the grant 7984/b/PO1/2011/40.</t>
  </si>
  <si>
    <t>10.2478/v10183-012-0012-5</t>
  </si>
  <si>
    <t>970YV</t>
  </si>
  <si>
    <t>WOS:000306169300002</t>
  </si>
  <si>
    <t>Zemko, K; Kaiser, S</t>
  </si>
  <si>
    <t>Zemko, Karol; Kaiser, Stefanie</t>
  </si>
  <si>
    <t>Thambema thunderstruckae sp n., the first record of Thambematidae (Isopoda: Asellota) from the Southern Hemisphere shelf</t>
  </si>
  <si>
    <t>Antarctic; King George Island; Admiralty Bay; janiroid isopods</t>
  </si>
  <si>
    <t>FAMILY</t>
  </si>
  <si>
    <t>A new thambematid species, Thambema thunderstruckae sp. n., is described from King George Island, South Shetland Islands, Antarctic. Specimens of the new species were collected during two Polish Antarctic Expeditions in 1985 and 2007. It is the first record of this family from the Southern Hemisphere. The new species most closely resembles Thambema golanachum Harrison, 1987 and T. fiatum Harrison, 1987 but can be distinguished from both species by the shape of male pleopod 1, the number of claws on pereopods 2-7 and the setation of pereopod 1 and 2 carpus, respectively. A key to all known genera and species in the family Thambematidae is also provided.</t>
  </si>
  <si>
    <t>[Zemko, Karol] Uniwersytet Lodzki, Zaklad Biol Polarnej &amp; Oceanobiol, PL-90237 Lodz, Poland; [Kaiser, Stefanie] Biozentrum Grindel, D-20146 Hamburg, Germany; [Kaiser, Stefanie] Zool Museum, D-20146 Hamburg, Germany</t>
  </si>
  <si>
    <t>University of Lodz; University of Hamburg</t>
  </si>
  <si>
    <t>Zemko, K (corresponding author), Uniwersytet Lodzki, Zaklad Biol Polarnej &amp; Oceanobiol, Ul Banacha 12-16, PL-90237 Lodz, Poland.</t>
  </si>
  <si>
    <t>karolzemko@vp.pl; stefanie.kaiser@uni-hamburg.de</t>
  </si>
  <si>
    <t>Kaiser, Stefanie/0000-0003-2026-4663</t>
  </si>
  <si>
    <t>University of Lodz (Poland); University of Hamburg (Germany)</t>
  </si>
  <si>
    <t>We would like to thank Professor Jacek Sicinski and colleagues from the Department of Polar Biology and Oceanobiology, University of Lodz for collecting material. Thanks are also due to Miranda Lowe (Natural History Museum) and Dr. Magdalena Blazewicz-Paszkowycz (Department of Polar Biology and Oceanobiology) for making type material available. We are also grateful to Dr. Marina Malyutina and two anonymous referees, whose comments greatly improved the content of this manuscript. This research was partly supported by the University of Lodz (Poland) and the University of Hamburg (Germany).</t>
  </si>
  <si>
    <t>10.2478/v10183-012-0008-1</t>
  </si>
  <si>
    <t>WOS:000306169300003</t>
  </si>
  <si>
    <t>Pabis, K; Sicinski, J</t>
  </si>
  <si>
    <t>Pabis, Krzysztof; Sicinski, Jacek</t>
  </si>
  <si>
    <t>Is polychaete diversity in the deep sublittoral of an Antarctic fiord related to habitat complexity?</t>
  </si>
  <si>
    <t>Antarctic; Admiralty Bay; soft bottom; Polychaeta; feeding guilds</t>
  </si>
  <si>
    <t>KING-GEORGE-ISLAND; ROSS SEA; QUANTITATIVE-ANALYSIS; BENTHIC ASSEMBLAGES; ADMIRALTY BAY; SOFT BOTTOMS; COMMUNITIES; ICE; WEDDELL; IMPACT</t>
  </si>
  <si>
    <t>Seventy-six species of Polychaeta were found in 19 quantitative samples collected in the deep sublittoral (200-500 m) of Admiralty Bay (South Shetlands). Three assemblages were distinguished by similarity analysis (clustering, nMDS). The soft bottom in depths from 200 to 300m was strongly dominated by Maldane sarsi antarctica and had very low species richness and diversity. The second assemblage was distinguished in the areas of the sea floor in the same depth range but with aggregations of Ascidiacea and Bryozoa. It was again characterized by high abundance of Maldane sarsi antarctica, but showed significantly higher species richness and diversity. Diversity of polychaete feeding guilds was also high in these areas. This pattern was probably associated with an increased habitat complexity due to the presence of dense aggregations of large suspension feeders. High species richness and diversity was also noted in the third assemblage, associated with the deepest sublittoral (400-500 m) of Admiralty Bay. This is the area characterized by very stable environmental conditions, where the assemblage was dominated by Tharyx cincinnatus, Sternaspis sp., Maldane sarsi antarctica, and Asychis amphiglypta.</t>
  </si>
  <si>
    <t>[Pabis, Krzysztof; Sicinski, Jacek] Uniwersytet Lodzki, Zaklad Biol Polarnej &amp; Oceanobiol, PL-90237 Lodz, Poland</t>
  </si>
  <si>
    <t>University of Lodz</t>
  </si>
  <si>
    <t>Pabis, K (corresponding author), Uniwersytet Lodzki, Zaklad Biol Polarnej &amp; Oceanobiol, Ul Banacha 12-16, PL-90237 Lodz, Poland.</t>
  </si>
  <si>
    <t>cataclysta@wp.pl; sicinski@biol.uni.lodz.pl</t>
  </si>
  <si>
    <t>Sicinski, Jacek/P-2033-2017; Pabis, Krzysztof/O-8628-2017</t>
  </si>
  <si>
    <t>Pabis, Krzysztof/0000-0002-9625-3453; Sicinski, Jacek/0000-0002-5235-3188</t>
  </si>
  <si>
    <t>Polish Ministry of Science and Higher Education [51/N-IPY/2007/0]; Census of Antarctic Marine Life project</t>
  </si>
  <si>
    <t>Polish Ministry of Science and Higher Education(Ministry of Science and Higher Education, Poland); Census of Antarctic Marine Life project</t>
  </si>
  <si>
    <t>Authors would like to thank Roger Bamber for the language corrections. We also want to thank Jan Marcin Weslawski and two anonymous reviewers for the corrections that helped us to improve the manuscript. The study was supported by the grant of Polish Ministry of Science and Higher Education No 51/N-IPY/2007/0 as well as by Census of Antarctic Marine Life project.</t>
  </si>
  <si>
    <t>10.2478/v10183-012-0009-0</t>
  </si>
  <si>
    <t>WOS:000306169300004</t>
  </si>
  <si>
    <t>Danis, B; Jangoux, M; Wilmes, J</t>
  </si>
  <si>
    <t>Danis, Bruno; Jangoux, Michel; Wilmes, Jennifer</t>
  </si>
  <si>
    <t>Antarctic Starfish (Echinodermata,Asteroidea) from the ANDEEP3 expedition</t>
  </si>
  <si>
    <t>Asteroidea; Biodiversity; Deep-Sea; Census of Antarctic Marine Life; Census of Marine Life; ANDEEP cruises; Polarstern; Sea-stars; Starfish</t>
  </si>
  <si>
    <t>BIODIVERSITY; SEA</t>
  </si>
  <si>
    <t>This dataset includes information on sea stars collected during the ANDEEP3 expedition, which took place in 2005. The expedition focused on deep-sea stations in the Powell Basin and Weddell Sea. Sea stars were collected using an Agassiz trawl (3m, mesh-size 500 mu m), deployed in 16 stations during the ANTXXII/3 (ANDEEP3, PS72) expedition of the RV Polarstern. Sampling depth ranged from 1047 to 4931m. Trawling distance ranged from 731 to 3841m. The sampling area ranges from -41 degrees S to -71 degrees S (latitude) and from 0 to -65 degrees W (longitude). A complete list of stations is available from the PANGAEA data system (http://www.pangaea.de/PHP/CruiseReports.php?b=Polarstern), including a cruise report (http://epic-reports.awi.de/3694/1/PE_72.pdf). The dataset includes 50 records, with individual counts ranging from 1-10, reaching a total of 132 specimens. The andeep3-Asteroidea is a unique dataset as it covers an under-explored region of the Southern Ocean, and that very little information was available regarding Antarctic deep-sea starfish. Before this study, most of the information available focused on starfish from shallower depths than 1000m. This dataset allowed to make unique observations, such as the fact that some species were only present at very high depths (Hymenaster crucifer, Hymenaster pellucidus, Hymenaster praecoquis, Psilaster charcoti, Freyella attenuates, Freyastera tuberculata, Styrachaster chuni and Vemaster sudatlanticus were all found below -3770m), while others displayed remarkable eurybathy, with very high depths amplitudes (Bathybiaster loripes (4842m), Lysasterias adeliae (4832m), Lophaster stellans (4752m), Cheiraster planeta (4708m), Eremicaster crassus (4626m), Lophaster gaini (4560m) and Ctenodiscus australis (4489m)). Even if the number of records is relatively small, the data bring many new insights on the taxonomic, bath.ymetric and geographic distributions of Southern starfish, covering a very large sampling zone. The dataset also brings to light six species, newly reported in the Southern Ocean. The quality of the data was controlled very thoroughly, by means of on-board Polarstern GPS systems, checking of identification by a renowned specialist (Prof. Michel Jangoux, Universite Libre de Bruxelles), and matching to the Register of Antarctic Marine Species (RAMS) and World Register of Marine Species (WoRMS). The data is therefore fit for completing checklists, for inclusion in biodiversity patterns analysis, or niche modeling. It also nicely fills an information gap regarding deep-sea starfish from the Southern Ocean, for which data is very scarce at this time. The authors may be contacted if any additional information is needed before carrying out detailed biodiversity or biogeographic studies.</t>
  </si>
  <si>
    <t>[Danis, Bruno] ANTABIF, B-1000 Brussels, Belgium; [Jangoux, Michel; Wilmes, Jennifer] Univ Libre Brussels, B-1050 Brussels, Belgium</t>
  </si>
  <si>
    <t>Danis, B (corresponding author), ANTABIF, 29 Rue Vautier, B-1000 Brussels, Belgium.</t>
  </si>
  <si>
    <t>bruno.danis@gmail.com</t>
  </si>
  <si>
    <t>Danis, Bruno/AAS-8444-2021</t>
  </si>
  <si>
    <t>Danis, Bruno/0000-0002-9037-7623</t>
  </si>
  <si>
    <t>10.3897/zookeys.185.3078</t>
  </si>
  <si>
    <t>972BJ</t>
  </si>
  <si>
    <t>WOS:000306251200005</t>
  </si>
  <si>
    <t>Uemura, R; Masson-Delmotte, V; Jouzel, J; Landais, A; Motoyama, H; Stenni, B</t>
  </si>
  <si>
    <t>Uemura, R.; Masson-Delmotte, V.; Jouzel, J.; Landais, A.; Motoyama, H.; Stenni, B.</t>
  </si>
  <si>
    <t>Ranges of moisture-source temperature estimated from Antarctic ice cores stable isotope records over glacial-interglacial cycles</t>
  </si>
  <si>
    <t>EPICA DOME-C; DEUTERIUM EXCESS RECORD; CLIMATE VARIABILITY; SOUTHERN-OCEAN; SURFACE TEMPERATURES; EAST ANTARCTICA; PRECIPITATION; O-18; FUJI; WATER</t>
  </si>
  <si>
    <t>A single isotope ratio (delta D or delta O-18) of water is widely used as an air-temperature proxy in Antarctic ice core records. These isotope ratios, however, do not solely depend on air-temperature but also on the extent of distillation of heavy isotopes out of atmospheric water vapor from an oceanic moisture source to a precipitation site. The temperature changes at the oceanic moisture source (delta T-source) and at the precipitation site (delta T-site) can be retrieved by using deuterium-excess (d) data. A new d record from Dome Fuji, Antarctica spanning the past 360 000 yr is presented and compared with records from Vostok and EPICA Dome C ice cores. In previous studies, to retrieve delta T-source and delta T-site information, different linear regression equations were proposed using theoretical isotope distillation models. A major source of uncertainty lies in the coefficient of regression, beta(site) which is related to the sensitivity of d to delta T-site. We show that different ranges of temperature and selections of isotopic model outputs may increase the value of beta(site) by more than a factor of two. To explore the impacts of this coefficient on reconstructed temperatures, we apply for the first time the exact same methodology to the isotope records from the three Antarctica ice cores. We show that uncertainties in the beta(site) coefficient strongly affect (i) the glacial-interglacial magnitude of delta T-source; (ii) the imprint of obliquity in delta T-source and in the site-source temperature gradient. By contrast, we highlight the robustness of delta T-site reconstruction using water isotopes records.</t>
  </si>
  <si>
    <t>[Uemura, R.; Masson-Delmotte, V.; Jouzel, J.; Landais, A.] CEA CNRS UVSQ, IPSL Lab Sci Climat &amp; Environm LSCE IPSL, UMR8212, F-91191 Gif Sur Yvette, France; [Motoyama, H.] Natl Inst Polar Res, Res Org Informat &amp; Syst, Tachikawa, Tokyo 1908518, Japan; [Stenni, B.] Univ Trieste, Dept Math &amp; Geosci, I-34128 Trieste, Italy</t>
  </si>
  <si>
    <t>CEA; Centre National de la Recherche Scientifique (CNRS); Universite Paris Saclay; CNRS - National Institute for Earth Sciences &amp; Astronomy (INSU); Research Organization of Information &amp; Systems (ROIS); National Institute of Polar Research (NIPR) - Japan; University of Trieste</t>
  </si>
  <si>
    <t>Uemura, R (corresponding author), Univ Ryukyus, Dept Chem Biol &amp; Marine Sci, Fac Sci, 1 Senbaru, Nishihara, Okinawa 9030213, Japan.</t>
  </si>
  <si>
    <t>ruemura@sci.u-ryukyu.ac.jp</t>
  </si>
  <si>
    <t>Uemura, Ryu/C-9793-2012; Uemura, Ryu/AGR-0677-2022; Masson-Delmotte, Valerie L/G-1995-2011</t>
  </si>
  <si>
    <t>Uemura, Ryu/0000-0002-4236-0085; Uemura, Ryu/0000-0002-4236-0085; Masson-Delmotte, Valerie L/0000-0001-8296-381X; LANDAIS, Amaelle/0000-0002-5620-5465; Stenni, Barbara/0000-0003-4950-3664</t>
  </si>
  <si>
    <t>JSPS; Ministry of Education, Science, Sports and Culture, Japan [21221002]; French ANR; Grants-in-Aid for Scientific Research [21221002] Funding Source: KAKEN</t>
  </si>
  <si>
    <t>JSPS(Ministry of Education, Culture, Sports, Science and Technology, Japan (MEXT)Japan Society for the Promotion of Science); Ministry of Education, Science, Sports and Culture, Japan(Ministry of Education, Culture, Sports, Science and Technology, Japan (MEXT)); French ANR(Agence Nationale de la Recherche (ANR)); Grants-in-Aid for Scientific Research(Ministry of Education, Culture, Sports, Science and Technology, Japan (MEXT)Japan Society for the Promotion of ScienceGrants-in-Aid for Scientific Research (KAKENHI))</t>
  </si>
  <si>
    <t>We thank DF ice core group, Maki Nakada, Hironobu Yamada and Satoru Kikuchi for supporting isotopic measurement. We also thank Alexey Ekaykin and Francoise Vimeux for comments. We thank Dae-Yeol Baek for drawing the map. This research was supported by JSPS Postdoctoral Fellowships for Research Abroad and by a Grant-in-Aid for scientific research (S)(21221002) from the Ministry of Education, Science, Sports and Culture, Japan and the French ANR Dome A project.</t>
  </si>
  <si>
    <t>10.5194/cp-8-1109-2012</t>
  </si>
  <si>
    <t>966ID</t>
  </si>
  <si>
    <t>WOS:000305830200019</t>
  </si>
  <si>
    <t>Zagorodnov, V; Nagornov, O; Scambos, TA; Muto, A; Mosley-Thompson, E; Pettit, EC; Tyuflin, S</t>
  </si>
  <si>
    <t>Zagorodnov, V.; Nagornov, O.; Scambos, T. A.; Muto, A.; Mosley-Thompson, E.; Pettit, E. C.; Tyuflin, S.</t>
  </si>
  <si>
    <t>Borehole temperatures reveal details of 20th century warming at Bruce Plateau, Antarctic Peninsula</t>
  </si>
  <si>
    <t>ICE SHELF; WEST ANTARCTICA; MASS-BALANCE; CLIMATE; HEAT; RECONSTRUCTION; PRECIPITATION; VARIABILITY; GLACIER; RECORD</t>
  </si>
  <si>
    <t>Two ice core boreholes of 143.18 m and 447.73 m (bedrock) were drilled during the 2009-2010 austral summer on the Bruce Plateau at a location named LARISSA Site Beta (66 degrees 02' S, 64 degrees 04' W, 1975.5 m a.s.l.). Both boreholes were logged with thermistors shortly after drilling. The shallow borehole was instrumented for 4 months with a series of resistance thermometers with satellite uplink. Surface temperature proxy data derived from an inversion of the borehole temperature profiles are compared to available multi-decadal records from weather stations and ice cores located along a latitudinal transect of the Antarctic Peninsula to West Antarctica. The LARISSA Site Beta profiles show temperatures decreasing from the surface downward through the upper third of the ice, and warming thereafter to the bed. The average temperature for the most recent year is -14.78 degrees C (measured at 15 m depth, abbreviated T-15). A minimum temperature of -15.8 degrees C is measured at 173 m depth, and basal temperature is estimated to be -10.2 degrees C. Current mean annual temperature and the gradient in the lower part of the measured temperature profile have a best fit with an accumulation rate of 1.9x10(3) kg m(-2) a(-1) and basal heat flux (q) of 88 mW m(-2), if steady-state conditions are assumed. However, the mid-level temperature variations show that recent temperature has varied significantly. Reconstructed surface temperatures (T-s=T-15) over the last 200 yr are derived by an inversion technique (Tikhonov and Samarskii, 1990). From this, we find that cold temperatures (minimum T-s=-16.2 degrees C) prevailed from similar to 1920 to similar to 1940, followed by a gradual rise of temperature to -14.2 degrees C around 1995, then cooling over the following decade and warming in the last few years. The coldest period was preceded by a relatively warm 19th century at T(15)a parts per thousand yen-15 degrees C. To facilitate regional comparisons of the surface temperature history, we use our T-15 data and nearby weather station records to refine estimates of lapse rates (altitudinal, adjusted for latitude: Gamma(a(l))). Good temporal and spatial consistency of Gamma(a(l)) over the last 35 yr are observed, implying that the climate trends observed here are regional and consistent over a broad altitude range.</t>
  </si>
  <si>
    <t>[Zagorodnov, V.; Mosley-Thompson, E.] Ohio State Univ, Byrd Polar Res Ctr, Columbus, OH 43210 USA; [Nagornov, O.] Moscow Engn Phys Inst, Moscow 115409, Russia; [Scambos, T. A.; Muto, A.; Tyuflin, S.] Univ Colorado, CIRES, Natl Snow &amp; Ice Data Ctr, Boulder, CO 80309 USA; [Pettit, E. C.] Univ Alaska Fairbanks, Dept Geol &amp; Geophys, Fairbanks, AK 99775 USA</t>
  </si>
  <si>
    <t>University System of Ohio; Ohio State University; National Research Nuclear University MEPhI (Moscow Engineering Physics Institute); University of Colorado System; University of Colorado Boulder; University of Alaska System; University of Alaska Fairbanks</t>
  </si>
  <si>
    <t>Zagorodnov, V (corresponding author), Ohio State Univ, Byrd Polar Res Ctr, Columbus, OH 43210 USA.</t>
  </si>
  <si>
    <t>zagorodnov.1@osu.edu</t>
  </si>
  <si>
    <t>Nagornov, Oleg/JFL-0583-2023; Mosley-Thompson, Ellen S/Z-2100-2018; Muto, Atsuhiro/AAJ-9558-2020</t>
  </si>
  <si>
    <t>Muto, Atsuhiro/0000-0002-1722-2457; Nagornov, Oleg/0000-0003-1355-788X; Pettit, Erin Christine/0000-0002-6765-9841; SCAMBOS, Ted A./0000-0003-4268-6322</t>
  </si>
  <si>
    <t>NSF-OPP [ANT-0732921, ANT-0732655]; Office of Polar Programs (OPP); Directorate For Geosciences [0855265] Funding Source: National Science Foundation</t>
  </si>
  <si>
    <t>NSF-OPP(National Science Foundation (NSF)); Office of Polar Programs (OPP); Directorate For Geosciences(National Science Foundation (NSF)NSF - Directorate for Geosciences (GEO))</t>
  </si>
  <si>
    <t>This work was funded under NSF-OPP grants ANT-0732921 and ANT-0732655. We would like to thank A. Aristarain, Ana Teresa Gomez and E. Tomas for providing original data sets of temperatures and proxy temperatures for other sites in the Antarctic Peninsula. E. Morris and B. E. Barrett provided helpful advice, and J. Nicolas and D. Bromwich provided computational support and valuable insights. H. Brecher edited the first draft of the paper. We are indebted to the Rothera Station staff for their hospitality, and avionic, technical and moral support during field operations. VZ and EMT thank their field team members V. Mikhalenko, B. Vicencio, R. Filippi, and T. Verzone, whose efforts were essential for successful completion of the drilling project. Finally, we appreciate the generous support by our LARISSA colleagues and the Raytheon and Nathaniel B. Palmer support staff. This is Byrd Polar Research Center contribution number 1413.</t>
  </si>
  <si>
    <t>10.5194/tc-6-675-2012</t>
  </si>
  <si>
    <t>966IL</t>
  </si>
  <si>
    <t>WOS:000305831000005</t>
  </si>
  <si>
    <t>Alvarez-Solas, J; Robinson, A; Ritz, C</t>
  </si>
  <si>
    <t>Alvarez-Solas, J.; Robinson, A.; Ritz, C.</t>
  </si>
  <si>
    <t>Brief communication 'Can recent ice discharges following the Larsen-B ice-shelf collapse be used to infer the driving mechanisms of millennial-scale variations of the Laurentide ice sheet?'</t>
  </si>
  <si>
    <t>HEINRICH EVENTS; ANTARCTIC PENINSULA; NORTH-ATLANTIC; COUPLED CLIMATE; LABRADOR SEA; SYSTEM MODEL; OCEAN; DISINTEGRATION; CONSEQUENCES; CIRCULATION</t>
  </si>
  <si>
    <t>The effects of an ice-shelf collapse on inland glacier dynamics have recently been widely studied, especially since the breakup of the Antarctic Peninsula's Larsen-B ice shelf in 2002. Several studies have documented acceleration of the ice streams that were flowing into the former ice shelf. The mechanism responsible for such a speed-up lies with the removal of the ice-shelf backforce. Independently, it is also well documented that during the last glacial period, the Northern Hemisphere ice sheets experienced large discharges into the ocean, likely reflecting ice flow acceleration episodes on the millennial time scale. The classic interpretation of the latter is based on the existence of an internal thermo-mechanical feedback with the potential to generate oscillatory behavior in the ice sheets. Here we would like to widen the debate by considering that Larsen-B-like glacial analog episodes could have contributed significantly to the registered millennial-scale variablity.</t>
  </si>
  <si>
    <t>[Alvarez-Solas, J.; Robinson, A.] Univ Complutense, Dpto Astrofis &amp; Ciencias Atmosfera, E-28040 Madrid, Spain; [Alvarez-Solas, J.; Robinson, A.] UCM, CSIC, Inst Geociencias IGEO, Madrid, Spain; [Ritz, C.] UJF Grenoble 1, CNRS, LGGE, UMR5183, F-38041 Grenoble, France</t>
  </si>
  <si>
    <t>Complutense University of Madrid; Complutense University of Madrid; Consejo Superior de Investigaciones Cientificas (CSIC); CSIC-UCM - Instituto de Geociencias (IGEO); Communaute Universite Grenoble Alpes; Universite Grenoble Alpes (UGA); Centre National de la Recherche Scientifique (CNRS)</t>
  </si>
  <si>
    <t>Alvarez-Solas, J (corresponding author), Univ Complutense, Dpto Astrofis &amp; Ciencias Atmosfera, E-28040 Madrid, Spain.</t>
  </si>
  <si>
    <t>jorge.alvarez.solas@fis.ucm.es</t>
  </si>
  <si>
    <t>Robinson, Alexander/I-4018-2012; Robinson, Alexander/N-2429-2019</t>
  </si>
  <si>
    <t>Robinson, Alexander/0000-0003-3519-5293; Robinson, Alexander/0000-0003-3519-5293; Ritz, Catherine/0000-0003-0785-8571</t>
  </si>
  <si>
    <t>MOVAC; SPECT-MORE; Spanish programme, the International Campus of Excellence (CEI)</t>
  </si>
  <si>
    <t>We thank Marisa Montoya and Christophe Dumas for helpful discussions, Helmut Rott, Ted Scambos and Jennifer Bohlander for sharing their data concerning Larsen-B and Etor Lucio-Eceiza for assistance with the figures. We are also greatful to the PalMA group for useful comments and suggestions. This work was funded under the MOVAC and SPECT-MORE projects. J. A- S was also funded by the Spanish programme, the International Campus of Excellence (CEI).</t>
  </si>
  <si>
    <t>10.5194/tc-6-687-2012</t>
  </si>
  <si>
    <t>WOS:000305831000006</t>
  </si>
  <si>
    <t>Albert, MD; Lee, YJ; Ewe, HT; Chuah, HT</t>
  </si>
  <si>
    <t>Albert, M. D.; Lee, Y. J.; Ewe, H. T.; Chuah, H. T.</t>
  </si>
  <si>
    <t>MULTILAYER MODEL FORMULATION AND ANALYSIS OF RADAR BACKSCATTERING FROM SEA ICE</t>
  </si>
  <si>
    <t>PROGRESS IN ELECTROMAGNETICS RESEARCH-PIER</t>
  </si>
  <si>
    <t>RANDOM-MEDIUM LAYER; PASSIVE MICROWAVE; SURFACE; ANTARCTICA; MEDIA</t>
  </si>
  <si>
    <t>The Antarctic continent is an extremely suitable environment for the application of remote sensing technology as it is one of the harshest places on earth. Satellite images of the terrain can be properly interpreted with thorough understanding of the microwave scattering process. The proper model development for backscattering can be used to test the assumptions on the dominating scattering mechanisms. In this paper, the formulation and analysis of a multi-layer model used for sea ice terrain is presented. The multilayer model is extended from the previous single layer model developed based on the Radiative Transfer theory. The Radiative Transfer theory is chosen because of its simplicity and ability to incorporate multiple scattering effects into the calculations. The propagation of energy in the medium is characterized by the extinction and phase matrices. The model also incorporates the Dense Medium Phase and Amplitude Correction Theory (DM-PACT) where it takes into account the close spacing effect among scatterers. The air-snow interface, snow-sea ice interface and sea ice-ocean interface are modelled using the Integral Equation Method (IEM). The simulated backscattering coefficients for co- and cross-polarization using the developed model for 1 GHz and 10 GHz are presented. In addition, the simulated backscattering coefficients from the multilayer model were compared with the measurement results obtained from Coordinated Eastern Artic Experiment (CEAREX) (Grenfell, 1992) and with the results obtained from the model developed by Saibun Tjuatja (based on the Matrix Doubling method) in 1992.</t>
  </si>
  <si>
    <t>[Lee, Y. J.; Ewe, H. T.; Chuah, H. T.] Univ Tunku Abdul Rahman, Selangor, Malaysia</t>
  </si>
  <si>
    <t>Universiti Tunku Abdul Rahman (UTAR)</t>
  </si>
  <si>
    <t>Lee, YJ (corresponding author), Univ Tunku Abdul Rahman, Selangor, Malaysia.</t>
  </si>
  <si>
    <t>leeyj@utar.edu.my</t>
  </si>
  <si>
    <t>Ewe, Hong Tat/C-1258-2012</t>
  </si>
  <si>
    <t>E M W PUBLISHING</t>
  </si>
  <si>
    <t>PO BOX 425517, KENDALL SQUARE, CAMBRIDGE, MA 02142 USA</t>
  </si>
  <si>
    <t>1559-8985</t>
  </si>
  <si>
    <t>PROG ELECTROMAGN RES</t>
  </si>
  <si>
    <t>Prog. Electromagn. Res.</t>
  </si>
  <si>
    <t>10.2528/PIER12020205</t>
  </si>
  <si>
    <t>Engineering, Electrical &amp; Electronic; Physics, Applied; Telecommunications</t>
  </si>
  <si>
    <t>Engineering; Physics; Telecommunications</t>
  </si>
  <si>
    <t>959QS</t>
  </si>
  <si>
    <t>WOS:000305328500016</t>
  </si>
  <si>
    <t>Mcmahon, CR; Hindell, MA; Harcourt, RG</t>
  </si>
  <si>
    <t>Mcmahon, Clive R.; Hindell, Mark A.; Harcourt, Robert G.</t>
  </si>
  <si>
    <t>Publish or perish: why it's important to publicise how, and if, research activities affect animals</t>
  </si>
  <si>
    <t>WILDLIFE RESEARCH</t>
  </si>
  <si>
    <t>ELEPHANT SEALS; FLIPPER BANDS; PENGUINS; TRACKING; DEVICES; CONSERVATION</t>
  </si>
  <si>
    <t>Wildlife researchers and conservation biologists are encountering growing research difficulties due to strong and effective advocacy of animal welfare concerns. However, collecting information on the basic biology of animals, which is often essential to effective conservation and management, frequently involves invasive research. The latter is unacceptable to some animal welfare advocates, even if it ultimately leads to better conservation outcomes. For effective biodiversity conservation it is imperative that conservation and wildlife researchers lucidly present the case for their research on individual animals. This requires conservation biologists and the research community in general, to present these arguments in the public domain as well as in peer-reviewed literature. Moreover, it is important to measure how these activities affect animals. Only then can we show that high quality research activities often have little or no effects on animal vital rates and performance.</t>
  </si>
  <si>
    <t>[Mcmahon, Clive R.] Charles Darwin Univ, Res Inst Environm &amp; Livelihoods, Darwin, NT 0909, Australia; [Hindell, Mark A.] Univ Tasmania, Inst Marine &amp; Antarctic Res, Hobart, Tas 7001, Australia; [Harcourt, Robert G.] Macquarie Univ, Dept Geog &amp; Environm, Sydney, NSW 2109, Australia</t>
  </si>
  <si>
    <t>Charles Darwin University; University of Tasmania; Macquarie University</t>
  </si>
  <si>
    <t>Mcmahon, CR (corresponding author), Charles Darwin Univ, Res Inst Environm &amp; Livelihoods, Darwin, NT 0909, Australia.</t>
  </si>
  <si>
    <t>clive.mcmahon@cdu.edu.au</t>
  </si>
  <si>
    <t>McMahon, Clive R/D-5713-2013; Hindell, Mark A/K-1131-2013; Hindell, Mark A/C-8368-2013</t>
  </si>
  <si>
    <t>McMahon, Clive R/0000-0001-5241-8917; Harcourt, Robert/0000-0003-4666-2934; Hindell, Mark/0000-0002-7823-7185</t>
  </si>
  <si>
    <t>150 OXFORD ST, PO BOX 1139, COLLINGWOOD, VICTORIA 3066, AUSTRALIA</t>
  </si>
  <si>
    <t>1035-3712</t>
  </si>
  <si>
    <t>WILDLIFE RES</t>
  </si>
  <si>
    <t>Wildl. Res.</t>
  </si>
  <si>
    <t>10.1071/WR12014</t>
  </si>
  <si>
    <t>967ZX</t>
  </si>
  <si>
    <t>WOS:000305947900001</t>
  </si>
  <si>
    <t>Solari, MA; Le Roux, JP; Hervé, F; Airo, A; Calderón, M</t>
  </si>
  <si>
    <t>Solari, Marcelo A.; Le Roux, Jacobus P.; Herve, Francisco; Airo, Alessandro; Calderon, Mauricio</t>
  </si>
  <si>
    <t>Evolution of the Great Tehuelche Paleolake in the Torres del Paine National Park of Chilean Patagonia during the Last Glacial Maximum and Holocene</t>
  </si>
  <si>
    <t>Patagonia; Last Glacial Maximum; Younger Dryas; Thrombolites</t>
  </si>
  <si>
    <t>COSMOGENIC NUCLIDE CHRONOLOGY; SOUTHERNMOST SOUTH-AMERICA; ANTARCTIC COLD REVERSAL; LAGO BUENOS-AIRES; LATE PLEISTOCENE; CLIMATE RECORDS; NORTH-ATLANTIC; ICE-SHEET; GREENLAND; AGE</t>
  </si>
  <si>
    <t>A number of glacial moraines are distributed from the eastern margin of the Torres del Paine drainage basin to near the present margin of the Patagonian Ice Fields, together with a set of regionally continuous lacustrine terraces related to glacial fluctuations. The geomorphology, supported by lake sediment evidence, indicates the existence of a single proglacial paleolake in this area, here referred to as the Great Tehuelche Paleolake. This concept helps to clarify the chronology of glacial events and leads to a better understanding of the evolution of the hydrologic system in the Torres del Paine area. Glacial advances previously referred to as A, B and C occurred during the Last Glacial Maximum and fed the Great Tehuelche Paleolake with meltwater, allowing it to reach its maximum extension. The discovery of thrombolites at Laguna Amarga suggests that the drainage of the paleolake towards the Ultima Esperanza Fjord took place at 7,113 Cal. yr BP, after the melting of an ice barrier that existed during the earlier glacial advance. This gave rise to the development of a complex fluvio-lacustrine hydrologic system that persists to the present day.</t>
  </si>
  <si>
    <t>[Solari, Marcelo A.; Le Roux, Jacobus P.; Herve, Francisco] Univ Chile, Fac Ciencias Fis &amp; Matemat, Dept Geol, Santiago, Chile; [Solari, Marcelo A.] Geohidrol Consultores Ltda, Santiago, Chile; [Herve, Francisco] Univ Andres Bello, Fac Ingn, Escuela Ciencias Tierra, Santiago, Chile; [Airo, Alessandro] Stanford Univ, Sch Earth Sci, Stanford, CA 94305 USA; [Calderon, Mauricio] Serv Nacl Geol &amp; Mineria, Santiago, Chile</t>
  </si>
  <si>
    <t>Universidad de Chile; Universidad Andres Bello; Stanford University</t>
  </si>
  <si>
    <t>Solari, MA (corresponding author), Univ Chile, Fac Ciencias Fis &amp; Matemat, Dept Geol, Casilla 13518,Correo 21, Santiago, Chile.</t>
  </si>
  <si>
    <t>msolari@cec.uchile.cl; jroux@cec.uchile.cl; fherve@cec.uchile.cl; aairo@stanford.edu; mcaldera@sernageomin.cl</t>
  </si>
  <si>
    <t>Calderon, Mauricio/AAY-6863-2020; Herve, Francisco/HDO-6628-2022; Le Roux, Jacobus/A-9765-2008; Le Roux, Jacobus Philippus/U-7085-2019</t>
  </si>
  <si>
    <t>Comision Nacional de Investigacion Cientifica y Tecnologica (CONICYT); Project 'Geological Connection between the Antarctic Peninsula and Patagonia' [ARTG-04]; Programa Bicentenario de Ciencia y Tecnologia (PBCT) of CONICYT; Instituto Antartico Chileno (INACH)</t>
  </si>
  <si>
    <t>Comision Nacional de Investigacion Cientifica y Tecnologica (CONICYT)(Comision Nacional de Investigacion Cientifica y Tecnologica (CONICYT)); Project 'Geological Connection between the Antarctic Peninsula and Patagonia'; Programa Bicentenario de Ciencia y Tecnologia (PBCT) of CONICYT(Comision Nacional de Investigacion Cientifica y Tecnologica (CONICYT)CONICYT PIA/PBCT); Instituto Antartico Chileno (INACH)</t>
  </si>
  <si>
    <t>We gratefully acknowledge financial support by the Comision Nacional de Investigacion Cientifica y Tecnologica (CONICYT) and the Project 'Geological Connection between the Antarctic Peninsula and Patagonia' (ARTG-04) supported by the Programa Bicentenario de Ciencia y Tecnologia (PBCT) of CONICYT and the Instituto Antartico Chileno (INACH). Thanks are also due to the Corporacion Nacional Forestal (CONAF) for field support, in particular to the rangers. We would also like to thank D. Nieto for field support. Three anonymous referees and the editor provided very useful comments that helped us to improve this paper.</t>
  </si>
  <si>
    <t>10.5027/andgeoV39N1-a01</t>
  </si>
  <si>
    <t>962TJ</t>
  </si>
  <si>
    <t>WOS:000305567600001</t>
  </si>
  <si>
    <t>Marenssi, S; Santillana, S; Bauer, M</t>
  </si>
  <si>
    <t>Marenssi, Sergio; Santillana, Sergio; Bauer, Mauro</t>
  </si>
  <si>
    <t>Stratigraphy, sedimentary petrology and provenance of the Sobral and Cross Valley formations (Paleocene), Marambio (Seymour) Island, Antarctica</t>
  </si>
  <si>
    <t>Stratigraphy; Provenance; Paleocene; Sobral Formation; Cross Valley Formation; James Ross Basin; Antarctica</t>
  </si>
  <si>
    <t>SANDSTONE COMPOSITION; VEGA-ISLAND; PENINSULA; EVOLUTION; BASINS; ROCK</t>
  </si>
  <si>
    <t>Stratigraphy, sedimentary petrology and provenance of the Sobral and Cross Valley formations (Paleocene), Marambio (Seymour) Island, Antarctica. The unconformity bounded Paleocene Sobral and Cross Valley formations represent part of the uppermost infill of the James Ross Basin of northeastern Antarctic Peninsula. Both units have been subdivided into allomembers since they also present internal unconformities. The Sobral Formation represents silicoclastic sedimentation on a marine shelf during at least two transgressive-regressive cycles. The Cross Valley Formation fills in a narrow valley with volcaniclastic deposits representing an incised valley system with estuarine and subsequent deltaic facies. Sandstones of the Sobral Formation are feldspathic litharenites and lithic arkoses while those of the Cross Valley Formation are feldspathic litharenites to litharenites (volcanic). The sandstone composition (petrofacies) of the Sobral and Cross Valley formation suggest provenance from a dissected volcanic arc that increased its activity during the Danian but decline again towards the late Thanetian. A detailed analysis of the sandstone compositional trends allowed to differentiate two petrofacies (S and CV) and two sub-petrofacies (S I, S II, CV I and CV II respectively). The sub-petrofacies suggest a control from the sedimentary environments upon the detrital modes and their interference with the true provenance signal. The increase in quartz and glauconite in some units may be related to the unconformities and reworking of the underlying sedimentary units as well as development of high energy environments. On the other hand, volcanic, plutonic and metamorphic rock fragments are related to the provenance area. The overlap of two main sources of sediments, one from the basin edge and other within the basin is then envisaged. The first one represents the unroofing of a volcanic arc located at the present day position of the Antarctic Peninsula. This source shed volcanic rock fragments and minor metamorphic rock fragments with variable amount of quartz and feldspars. This composition plots within the recycled orogen and dissected arc fields of the provenance diagrams representing periods of arc inactivity and deep erosion and plots within the volcanic arc fields after times of volcanic activity. On the other hand, sandstones with high proportion of quartz recorded at specific levels within the sequence suggests breakdown of less resistant components and reworking of the loose underlying sedimentary rocks favoured by low sedimentary rates and/or in high energy environments.</t>
  </si>
  <si>
    <t>[Marenssi, Sergio; Santillana, Sergio] Univ Buenos Aires, Inst Antartico Argentino, RA-1010 Buenos Aires, DF, Argentina; [Marenssi, Sergio] Consejo Nacl Invest Cient &amp; Tecn, RA-1010 Buenos Aires, DF, Argentina; [Bauer, Mauro] Total Austral, RA-1091 Buenos Aires, DF, Argentina</t>
  </si>
  <si>
    <t>Instituto Antartico Argentino; University of Buenos Aires; Consejo Nacional de Investigaciones Cientificas y Tecnicas (CONICET); Total SA</t>
  </si>
  <si>
    <t>Marenssi, S (corresponding author), Univ Buenos Aires, Inst Antartico Argentino, Cerrito 1248, RA-1010 Buenos Aires, DF, Argentina.</t>
  </si>
  <si>
    <t>smarenssi@dna.gov.ar; ssantillana@dna.gov.ar; mauger80@hotmail.com</t>
  </si>
  <si>
    <t>10.5027/andgeoV39N1-a04</t>
  </si>
  <si>
    <t>WOS:000305567600004</t>
  </si>
  <si>
    <t>Otero, RA; Torres, T; Le Roux, JP; Hervé, F; Fanning, CM; Yury-Yáñez, RE; Rubilar-Rogers, D</t>
  </si>
  <si>
    <t>Otero, Rodrigo A.; Torres, Teresa; Le Roux, Jacobus P.; Herve, Francisco; Fanning, C. Mark; Yury-Yanez, Roberto E.; Rubilar-Rogers, David</t>
  </si>
  <si>
    <t>A Late Eocene age proposal for the Loreto Formation (Brunswick Peninsula, southernmost Chile), based on fossil cartilaginous fishes, paleobotany and radiometric evidence</t>
  </si>
  <si>
    <t>Fossil cartilaginous fishes; Paleobotany; Shrimp U-Th-Pb; Priabonian; Loreto Formation; Southernmost Chile</t>
  </si>
  <si>
    <t>SEYMOUR ISLAND; SHARKS; CHONDRICHTHYES; ELASMOBRANCHII; CARCHARIAS; NEOGENE; RECORD; ANDES</t>
  </si>
  <si>
    <t>We present new data on the paleoichthyology, paleobotany and radiometric results of the Loreto Formation in the Brunswick Peninsula of southernmost Chile, that allow us to propose a Late Eocene age. The rich diversity of fossil cartilaginous fishes (Chondrichthyes, Elasmobranchii) recognized in upper levels of this unit includes the taxa Carcharias aff. 'hopei' (Agassiz), Odontaspis sp., Carcharoides catticus (Philippi), Striatolamia macrota (Agassiz), Anomotodon sp., Macrorhizodus praecursor (Leriche), Galeorhinus sp., Abdounia sp., Hexanchus sp., Squatina sp., Hexanchidae indet., Myliobatis sp., Myliobatoidea indet., and Ischyodus dolloi Leriche. This assemblage has clear ecological affinities with Eocene Tethyan fauna previously described in the Northern Hemisphere, and also has common elements with Eocene cartilaginous fishes from Antarctica. Additionally, a paleobotanic study of this unit identified leaf imprints of Asplenium sp., Pteris sp., Podocarpus sp., and abundant angiosperms including Nothofagus lanceolata Dusen, N. simplicidens Dusen, N. variabilis Dusen, N. cf. alessandri Espinosa, N. subferruginea (Dusen), Hydrangea sp. and Phyllites spp. Wood remains of Nothofagoxylon scalariforme Gothan and Araucariaceae cf. Araucarioxylon Kraus were also identified. Additionally, pollen grains indicate gymnosperms and angiosperms: Podocarpidites otagoensis Couper, Retitricolpites sp., Tricolpites sp., Liliacidites sp., Polyporina sp., Nothofagidites cincta Cookson, and Nothofagidites cranwellae Couper, having affinities with Eocene florae, and being consistent with the age of the fossil fishes. Finally, a SHRIMP U-Th-Pb analysis of two samples collected from the studied beds provided thirty-eight and sixty zircon grains, indicating a clear main peak at 36.48 +/- 0.47 Ma (MSWD=1.5) and 36,73 +/- 0.50 Ma (MSWD=0.65). The integrated results indicate that the upper part of the Loreto Formation has a minimum Priabonian age, supporting previous reassignations of this part of the formation into the Late Eocene, and differing from the Oligocene age proposed in its original definition.</t>
  </si>
  <si>
    <t>[Otero, Rodrigo A.] Consejo Monumentos Nacl, Santiago, Chile; [Torres, Teresa] Univ Chile, Fac Ciencias Agron, Santiago, Chile; [Le Roux, Jacobus P.] Univ Chile, Fac Ciencias Fis &amp; Matemat, Dept Geol, Santiago, Chile; [Herve, Francisco] Univ Nacl Andres Bello, Fac Ingn, Escuela Ciencias Tierra, Santiago, Chile; [Fanning, C. Mark] Australian Natl Univ, Res Sch Earth Sci, Canberra, ACT, Australia; [Yury-Yanez, Roberto E.] Univ Chile, Fac Ciencias, Dept Ciencias Ecol, Lab Zool Vertebrados, Santiago, Chile; [Rubilar-Rogers, David] Museo Nacl Hist Nat, Area Paleontol, Santiago, Chile</t>
  </si>
  <si>
    <t>Universidad de Chile; Universidad de Chile; Universidad Andres Bello; Australian National University; Universidad de Chile</t>
  </si>
  <si>
    <t>Otero, RA (corresponding author), Consejo Monumentos Nacl, Av Vicuna Mackenna 084, Santiago, Chile.</t>
  </si>
  <si>
    <t>paracrioceras@gmail.com; terexylon@gmail.com; jroux@cec.uchile.cl; fherve@unab.cl; Mark.Fanning@anu.edu.au; robyury@ug.uchile.cl; drubilar@mnhn.cl</t>
  </si>
  <si>
    <t>Fanning, C. Mark/I-6449-2016; Le Roux, Jacobus/A-9765-2008; Herve, Francisco/HDO-6628-2022; Le Roux, Jacobus Philippus/U-7085-2019</t>
  </si>
  <si>
    <t>Le Roux, Jacobus/0000-0003-0173-4471; Le Roux, Jacobus Philippus/0000-0003-0173-4471; Otero, Rodrigo/0000-0002-3046-2973; Torres, Teresa/0000-0001-7900-4394</t>
  </si>
  <si>
    <t>Antarctic Ring Projects (Anillo de Ciencia Antartica) [ARTG-04]; Anillo de Ciencia Antartica [ACT-105]; CONICYT-Chile scholarship from the 'Programma de Formacion de Capital Humano Avanzado'</t>
  </si>
  <si>
    <t>Antarctic Ring Projects (Anillo de Ciencia Antartica)(Comision Nacional de Investigacion Cientifica y Tecnologica (CONICYT)CONICYT PIA/ANILLOS); Anillo de Ciencia Antartica(Comision Nacional de Investigacion Cientifica y Tecnologica (CONICYT)CONICYT PIA/ANILLOS); CONICYT-Chile scholarship from the 'Programma de Formacion de Capital Humano Avanzado'</t>
  </si>
  <si>
    <t>This study was supported by the Antarctic Ring Projects (Anillo de Ciencia Antartica ARTG-04, 2006-2009, and Anillo de Ciencia Antartica ACT-105, 2010-2011 Conicyt-Chile), was authorized for the collection of fossil samples in the field by the National Monuments Council (Consejo de Monumentos Nacionales-Chile) on September, 2010. Dr. G. Arratia (Museum of Natural History, University of Kansas, U.S.) and Dr. N. Malumian (Universidad de Buenos Aires, Argentina) are especially acknowledged for their critical review and valuable comments that helped to improve the manuscript. Special thanks to Dr. L.A. Cione (Universidad de La Plata, Argentina) for his review of an early draft of the manuscript and valuable comments. J. Quezada (SEREMI Medio Ambiente-Magallanes) is acknowledged for his assistance with access to the location and all his good will. We are also grateful to P. De Schutter (Elasmo.com), for discussions and providing valuable literature that improved this study. Finally, our sincere thanks to S.B. Cunningham (Tertiary Research Group), for his comments, help and sharing his expertise on Striatolamia teeth. R.E. Yury-Yanez was funded by a master's degree CONICYT-Chile scholarship from the 'Programma de Formacion de Capital Humano Avanzado'.</t>
  </si>
  <si>
    <t>10.5027/andgeoV39N1-a09</t>
  </si>
  <si>
    <t>WOS:000305567600009</t>
  </si>
  <si>
    <t>Antony, R; Krishnan, KP; Laluraj, CM; Thamban, M; Dhakephalkar, PK; Engineer, AS; Shivaji, S</t>
  </si>
  <si>
    <t>Antony, Runa; Krishnan, K. P.; Laluraj, C. M.; Thamban, Meloth; Dhakephalkar, P. K.; Engineer, Anupama S.; Shivaji, S.</t>
  </si>
  <si>
    <t>Diversity and physiology of culturable bacteria associated with a coastal Antarctic ice core</t>
  </si>
  <si>
    <t>MICROBIOLOGICAL RESEARCH</t>
  </si>
  <si>
    <t>Bacteria; Diversity; Ecology; Adaptation; Ice; Antarctica</t>
  </si>
  <si>
    <t>VOSTOK ACCRETION ICE; GLACIAL ICE; LAKE VOSTOK; LOW-TEMPERATURES; SEA-ICE; SP NOV.; MICROORGANISMS; ADAPTATION; OCEAN; SHEET</t>
  </si>
  <si>
    <t>Microbiological studies of polar ice at different depths may provide important comparisons, as they preserve records of microbial cells and past climate. In this study, we examined bacterial abundance, diversity and glaciochemical composition from three depths of an ice core from coastal Dronning Maud Land, East Antarctica. Higher bacterial abundance corresponded with high in situ sea-salt Na+ and dust concentration, suggesting that bacteria might have been transported and deposited into ice along with dust particles and marine aerosols. Fourteen bacterial isolates belonging to the genera Methylobacterium, Brevundimonas, Paenibacillus, Bacillus and Micrococcus were retrieved. Frequent isolation of similar bacterial genera from different cold environments suggests that they possess features that enable survival and metabolism for extended periods of time at sub-zero temperatures. The highest number and diversity of recoverable bacteria was obtained from 49m depth corresponding to 1926 AD and consisted of bacteria from 4 different genera whereas at 11 m (1989 AD) and 33 m (1953 AD) samples only species belonging to the genera Bacillus was recovered. Among the Bacillus species, Bacillus aryabhattai which has been reported only from the upper stratosphere, was isolated and is the first record from the Earth's surface. Methylobacterium was the most dominant genera at 49 m depth and its prevalence is attributable to a combination of high in situ methanesulfonate concentration, specialized metabolism and environmental hardiness of Methylobacterium. Some of the isolated bacteria were found to respire and grow using methanesulfonate, suggesting that they may utilize this substrate to sustain growth in ice. In addition, NO3- (2.93-3.69 mu M), NH4+ (1.45-3.90 mu M) and PO43- (0.01-0.7511 mu M) present in the ice could be potential sources fueling bacterial metabolism in this environment. It could be deduced from the study that variation in bacterial abundance and diversity was probably associated with the prevailing in situ conditions in ice. (C) 2012 Elsevier GmbH. All rights reserved.</t>
  </si>
  <si>
    <t>[Antony, Runa; Krishnan, K. P.; Laluraj, C. M.; Thamban, Meloth] Natl Ctr Antarctic &amp; Ocean Res, Vasco Da Gama 403804, Goa, India; [Dhakephalkar, P. K.; Engineer, Anupama S.] Agharkar Res Inst, Pune 411004, Maharashtra, India; [Shivaji, S.] Ctr Cellular &amp; Mol Biol, Hyderabad 500007, Andhra Pradesh, India</t>
  </si>
  <si>
    <t>Ministry of Earth Sciences (MoES) - India; National Centre for Polar and Ocean Research (NCPOR); Department of Science &amp; Technology (India); Agharkar Research Institute (ARI); Council of Scientific &amp; Industrial Research (CSIR) - India; CSIR - Centre for Cellular &amp; Molecular Biology (CCMB)</t>
  </si>
  <si>
    <t>Antony, R (corresponding author), Natl Ctr Antarctic &amp; Ocean Res, Vasco Da Gama 403804, Goa, India.</t>
  </si>
  <si>
    <t>runa@ncaor.org</t>
  </si>
  <si>
    <t>P, Krishnan K/ABF-8783-2020</t>
  </si>
  <si>
    <t>Thamban, Meloth/0000-0003-3379-8189; shivaji, sisinthy/0000-0003-0376-4658; Antony, Runa/0000-0003-4829-4207; , K. P. Krishnan/0000-0003-1101-657X</t>
  </si>
  <si>
    <t>ELSEVIER GMBH, URBAN &amp; FISCHER VERLAG</t>
  </si>
  <si>
    <t>JENA</t>
  </si>
  <si>
    <t>OFFICE JENA, P O BOX 100537, 07705 JENA, GERMANY</t>
  </si>
  <si>
    <t>0944-5013</t>
  </si>
  <si>
    <t>MICROBIOL RES</t>
  </si>
  <si>
    <t>Microbiol. Res.</t>
  </si>
  <si>
    <t>10.1016/j.micres.2012.03.003</t>
  </si>
  <si>
    <t>963XM</t>
  </si>
  <si>
    <t>WOS:000305658300009</t>
  </si>
  <si>
    <t>Smith, JMB</t>
  </si>
  <si>
    <t>Smith, J. M. B.</t>
  </si>
  <si>
    <t>Evidence for long-distance dispersal of Sophora microphylla to sub-Antarctic Macquarie Island</t>
  </si>
  <si>
    <t>seed dispersal; Fabaceae; Macquarie Island; marine drift; seabirds</t>
  </si>
  <si>
    <t>A seed probably of kowhai (Sophora microphylla), was found on a lake shore at Macquarie Island. The species does not occur on the island, and the seed may have been carried there by a bird that found it at sea. It shows how two consecutively acting long-distance dispersal agents may have facilitated colonization of oceanic islands by the Edwardsia group of Sophora species.</t>
  </si>
  <si>
    <t>Smith, JMB (corresponding author), 303 Castledoyle Rd, Armidale, NSW, Australia.</t>
  </si>
  <si>
    <t>selwynsw@bigpond.net.au</t>
  </si>
  <si>
    <t>1175-8643</t>
  </si>
  <si>
    <t>10.1080/0028825X.2011.621715</t>
  </si>
  <si>
    <t>959DG</t>
  </si>
  <si>
    <t>WOS:000305291100010</t>
  </si>
  <si>
    <t>Melling, H</t>
  </si>
  <si>
    <t>Lemke, P; Jacobi, HW</t>
  </si>
  <si>
    <t>Melling, Humfrey</t>
  </si>
  <si>
    <t>Sea-Ice Observation: Advances and Challenges</t>
  </si>
  <si>
    <t>ARCTIC CLIMATE CHANGE: THE ACSYS DECADE AND BEYOND</t>
  </si>
  <si>
    <t>Atmospheric and Oceanographic Sciences Library</t>
  </si>
  <si>
    <t>Ablation; Antarctic; Arctic; Climate; Drift; Extent; Freezing; Ice; Leads; Ocean; Ridges; Thickness</t>
  </si>
  <si>
    <t>SYNTHETIC-APERTURE RADAR; GEOPHYSICAL PROCESSOR SYSTEM; TURBULENT-BOUNDARY-LAYER; SENSOR MICROWAVE IMAGER; COLD HALOCLINE LAYER; SURFACE HEAT-BUDGET; NORTH WATER POLYNYA; ARCTIC-OCEAN; THICKNESS DISTRIBUTION; INTERANNUAL VARIABILITY</t>
  </si>
  <si>
    <t>The presence and characteristics of the relatively thin ice cover of Earth's oceans at high latitude are important determinants of the polar climate and of the polar role in the global climate system. The focus of this chapter is the observation of sea ice. Advances in polar ocean science have been critically dependent on technology to provide the means for frequent and detailed observation of sea ice. The Arctic Climate System Study was an opportunity for a productive coordinated application of existing technology to the study of the marine cryosphere and provided impetus for the development and evaluation of new techniques. The chapter begins with a brief summary of the knowledge of global sea ice in the early 1990s and of the contemporary capabilities for sea ice observation. This introductory section is as a back drop against which to view the continued improvements in observational capability and knowledge associated with ACSYS during the 1990s. The chapter includes discussion of new developments in observational technology, of new activity in ice research and reconnaissance and of new understanding of sea ice. It has been organized around the structure of the original ACSYS science plan which had six process-oriented elements - sea ice extent and concentration, drift, thickness, export to temperate oceans, atmosphere-ice-ocean interaction, sea-ice mechanics - and one geographic element - sea ice of the southern hemisphere. The chapter concludes with a list tangible deliverables from the Arctic Climate System Study in relation to sea ice and a discussion of some key tasks for the future. These topics remain highly relevant in view of the present continued rapid rate of change in polar climate.</t>
  </si>
  <si>
    <t>Fisheries &amp; Oceans Canada, Inst Ocean Sci, Sidney, BC V8L 4B2, Canada</t>
  </si>
  <si>
    <t>Fisheries &amp; Oceans Canada</t>
  </si>
  <si>
    <t>Melling, H (corresponding author), Fisheries &amp; Oceans Canada, Inst Ocean Sci, Sidney, BC V8L 4B2, Canada.</t>
  </si>
  <si>
    <t>Humfrey.Melling@dfo-mpo.gc.ca</t>
  </si>
  <si>
    <t>1383-8601</t>
  </si>
  <si>
    <t>978-94-007-2026-8</t>
  </si>
  <si>
    <t>ATMOS OCEAN SCI LIB</t>
  </si>
  <si>
    <t>10.1007/978-94-007-2027-5_3</t>
  </si>
  <si>
    <t>10.1007/978-94-007-2027-5</t>
  </si>
  <si>
    <t>Environmental Sciences; Meteorology &amp; Atmospheric Sciences; Oceanography</t>
  </si>
  <si>
    <t>Environmental Sciences &amp; Ecology; Meteorology &amp; Atmospheric Sciences; Oceanography</t>
  </si>
  <si>
    <t>BAC10</t>
  </si>
  <si>
    <t>WOS:000303779100003</t>
  </si>
  <si>
    <t>Lee, LH; Cheah, YK; Syakima, AMN; Shiran, MS; Tang, YL; Lin, HP; Hong, K</t>
  </si>
  <si>
    <t>Lee, L. -H.; Cheah, Y. -K.; Syakima, A. M. Nurul; Shiran, M. S.; Tang, Y. -L.; Lin, H. -P.; Hong, K.</t>
  </si>
  <si>
    <t>Analysis of Antarctic proteobacteria by PCR fingerprinting and screening for antimicrobial secondary metabolites</t>
  </si>
  <si>
    <t>GENETICS AND MOLECULAR RESEARCH</t>
  </si>
  <si>
    <t>Diversity; Proteobacteria; High-throughput screening; 16S rRNA; ERIC-PCR; RAPD</t>
  </si>
  <si>
    <t>SELECTIVE ISOLATION; NATURAL-PRODUCTS; DIVERSITY; SOIL; STREPTOMYCES; ANTIBIOTICS; RESISTANCE; REGION; MEDIA</t>
  </si>
  <si>
    <t>Fifty-seven proteobacterium species were successfully isolated from soils of Barrientos Island of the Antarctic using 11 different isolation media. Analysis of 16S rDNA sequencing of these isolates showed that they belonged to eight different genera, namely Bradyrhizobium, Sphingomonas, Methylobacterium, Caulobacter, Paracoccus, Ralstonia, Rhizobium, and Staphylococcus. All isolates were studied for capability of producing antimicrobial and antifungal secondary metabolites using high-throughput screening models. Approximately 23 (13/57) and 2% (1/57) of isolates inhibited growth of Candida albicans ATCC 10231(T) and Staphylococcus aureus ATCC 51650(T), respectively. These results indicated that proteobacterium species isolates from Antarctic could serve as potential source of useful bioactive metabolites. Enterobacterial repetitive intergenic consensus (ERIC)-PCR fingerprinting produced nine clusters and 13 single isolates, with a high D value of 0.9248. RAPD fingerprinting produced six clusters and 13 single isolates, with a relatively low D value of 0.7776. ERIC-PCR analysis proved to have better discrimination capability than RAPD analysis and generated better clustering for all proteobacterium species isolates. We conclude that ERIC-PCR is a robust, reliable and rapid molecular typing method for discriminating different genera of proteobacteria.</t>
  </si>
  <si>
    <t>[Lee, L. -H.; Cheah, Y. -K.; Syakima, A. M. Nurul] Univ Putra Malaysia, Dept Biomed Sci, Fac Med &amp; Hlth Sci, Selangor Darul Ehsan, Malaysia; [Shiran, M. S.] Univ Putra Malaysia, Dept Pathol, Fac Med &amp; Hlth Sci, Selangor Darul Ehsan, Malaysia; [Tang, Y. -L.; Lin, H. -P.; Hong, K.] Chinese Acad Trop Agr Sci, Inst Trop Biosci &amp; Biotechnol, Key Lab Trop Microbial Resources, Haikou, Hainan Province, Peoples R China; [Hong, K.] Wuhan Univ, Sch Pharmaceut Sci, Minist Educ, Key Lab Combinatorial Biosynth &amp; Drug Discovery, Wuhan 430072, Peoples R China</t>
  </si>
  <si>
    <t>Cheah, YK (corresponding author), Univ Putra Malaysia, Dept Biomed Sci, Fac Med &amp; Hlth Sci, Selangor Darul Ehsan, Malaysia.</t>
  </si>
  <si>
    <t>Lee, Learn-Han/I-5331-2015; lee, lee/KHW-4323-2024</t>
  </si>
  <si>
    <t>Lee, Learn-Han/0000-0002-8589-7456; Ab Mutalib, Nurul Syakima/0000-0001-6914-2224; Cheah, Yoke Kqueen/0000-0001-9258-3749</t>
  </si>
  <si>
    <t>Instituto Antartico Ecuatoriano (INAE); Academy of Sciences Malaysia; Universiti Putra Malaysia [05-01-11-1219RU]</t>
  </si>
  <si>
    <t>Instituto Antartico Ecuatoriano (INAE); Academy of Sciences Malaysia; Universiti Putra Malaysia</t>
  </si>
  <si>
    <t>The authors are grateful to Instituto Antartico Ecuatoriano (INAE) for their support during the XI Ecuadorian Antarctic Expedition to Pedro Vicente Maldonado Research Station, Greenwich Island, South Shetlands Islands. The authors are thankful to Gao Zhu-Fen and Li Xiao-Hui for laboratory assistance. Research supported by the Malaysia Antarctic Research Program, Academy of Sciences Malaysia and the Universiti Putra Malaysia Research Universiti Grant Scheme (#05-01-11-1219RU).</t>
  </si>
  <si>
    <t>FUNPEC-EDITORA</t>
  </si>
  <si>
    <t>RIBEIRAO PRETO</t>
  </si>
  <si>
    <t>RUA FLORIANO PEIXOTO 2444, ALTO DA BOA VISTA, RIBEIRAO PRETO, SP 00000, BRAZIL</t>
  </si>
  <si>
    <t>1676-5680</t>
  </si>
  <si>
    <t>GENET MOL RES</t>
  </si>
  <si>
    <t>Genet. Mol. Res.</t>
  </si>
  <si>
    <t>10.4238/2012.June.15.12</t>
  </si>
  <si>
    <t>Biochemistry &amp; Molecular Biology; Genetics &amp; Heredity</t>
  </si>
  <si>
    <t>962DL</t>
  </si>
  <si>
    <t>WOS:000305519600090</t>
  </si>
  <si>
    <t>Junghans, P; Schrader, G; Faust, H; Wagner, B; Hirschberg, K; Reinhardt, R</t>
  </si>
  <si>
    <t>Junghans, Peter; Schrader, Georg; Faust, Hans; Wagner, Barbara; Hirschberg, Klaus; Reinhardt, Rolf</t>
  </si>
  <si>
    <t>Studies of the protein and the energy metabolism in man during a wintering in Antarctica (Reprinted from Zfl-Mitteilungen, vol 143, pg 149, 1988)</t>
  </si>
  <si>
    <t>ISOTOPES IN ENVIRONMENTAL AND HEALTH STUDIES</t>
  </si>
  <si>
    <t>Reprint</t>
  </si>
  <si>
    <t>Antarctica; energy; isotope application; man; medicine; metabolism; nitrogen; nitrogen-15; proteins; tracer techniques; urine</t>
  </si>
  <si>
    <t>OXYGEN-CONSUMPTION; EXERCISE; CORTISOL; SECRETION; TURNOVER; PATTERNS; SOJOURN; FITNESS; RHYTHMS; LIGHT</t>
  </si>
  <si>
    <t>During the 29th Soviet Antarctic Expedition in Novolazarevskaya from March 1984 to March 1985, the protein and energy metabolisms were studied in six expeditioners from the German Democratic Republic. The investigations were carried out at the beginning of the expedition (May), during the polar night (July) and during the polar day (December). The effect of a special stress situation (sledge trek in April 1984) was investigated in one subject. The stable nitrogen isotope N-15 was used to study the protein metabolism. The assessment of the energy metabolism was based on the oxygen consumption, which was determined by means of a spirograph. In addition, the vital capacity, the breath minute volume, the blood pressure, etc. were measured. The following results were obtained: During the polar night, the utilisation of the dietary proteins and the whole body protein synthesis calculated by means of the N-15 excretion of the total nitrogen in urine were greater (73.6 +/- 0.9 % and 3.48 +/- 0.17 g protein d(-1) kg(-1), n = 3) than the respective values during the polar day (69.7 +/- 1.2, p &lt; 0.05, n = 3 and 3.05 +/- 0.07, p &lt; 0.05, n = 3) and at the beginning of the expedition (69.6 +/- 1.4, p &lt; 0.02, n = 5 and 2.81 +/- 0.09, p &lt; 0.01, n = 5). The lowest values (58.0 % and 2.43 g protein d(-1) kg(-1)) were obtained in the subject after the trek. The resting metabolic rate (in kJ d(-1) m(-2)) was decreased during the polar night (45.6 +/- 5.0, n = 4) in comparison with the polar day (61.5 +/- 11.3, n = 3) and the beginning of the expedition (52.3 +/- 9.6, n = 4) with p &lt; 0.01 in both cases.</t>
  </si>
  <si>
    <t>[Junghans, Peter; Faust, Hans; Wagner, Barbara; Hirschberg, Klaus; Reinhardt, Rolf] Akad Wissensch DDR, Cent Inst Isotope &amp; Radiat Res, Leipzig, Germany; [Schrader, Georg] Med Acad Erfurt, Inst Gen Hyg, Erfurt, Germany</t>
  </si>
  <si>
    <t>Junghans, P (corresponding author), Akad Wissensch DDR, Cent Inst Isotope &amp; Radiat Res, Leipzig, Germany.</t>
  </si>
  <si>
    <t>junghans@fbn-dummerstorf.de</t>
  </si>
  <si>
    <t>Junghans, Peter/0000-0002-4061-2517</t>
  </si>
  <si>
    <t>1025-6016</t>
  </si>
  <si>
    <t>1477-2639</t>
  </si>
  <si>
    <t>ISOT ENVIRON HEALT S</t>
  </si>
  <si>
    <t>Isot. Environ. Health Stud.</t>
  </si>
  <si>
    <t>10.1080/10256016.2012.677042</t>
  </si>
  <si>
    <t>Chemistry, Inorganic &amp; Nuclear; Environmental Sciences</t>
  </si>
  <si>
    <t>960SQ</t>
  </si>
  <si>
    <t>WOS:000305410700002</t>
  </si>
  <si>
    <t>Sugiyama, S; Enomoto, H; Fujita, S; Fukui, K; Nakazawa, F; Holmlund, P; Surdyk, S</t>
  </si>
  <si>
    <t>Sugiyama, Shin; Enomoto, Hiroyuki; Fujita, Shuji; Fukui, Kotaro; Nakazawa, Fumio; Holmlund, Per; Surdyk, Sylviane</t>
  </si>
  <si>
    <t>Snow density along the route traversed by the Japanese-Swedish Antarctic Expedition 2007/08</t>
  </si>
  <si>
    <t>DRONNING MAUD LAND; SURFACE MASS-BALANCE; FIRN-DENSIFICATION; TEMPORAL VARIABILITY; EAST ANTARCTICA; DOME FUJI; ACCUMULATION; ELEVATION; MODEL; AIR</t>
  </si>
  <si>
    <t>During the Japanese-Swedish Antarctic traverse expedition of 2007/08, we measured the surface snow density at 46 locations along the 2800 km long route from Syowa station to Wasa station in East Antarctica. The mean snow density for the upper 1 (or 0.5) m layer varied from 333 to 439 kg m(-3) over a region spanning an elevation range of 365-3800 m a.s.l. The density variations were associated with the elevation of the sampling sites; the density decreased as the elevation increased, moving from the coastal region inland. However, the density was relatively insensitive to the change in elevation along the ridge on the Antarctic plateau between Dome F and Kohnen stations. Because surface wind is weak in this region, irrespective of elevation, the wind speed was suggested to play a key role in the near-surface densification. The results of multiple regression performed on the density using meteorological variables were significantly improved by the inclusion of wind speed as a predictor. The regression analysis yielded a linear dependence between the density and the wind speed, with a coefficient of 13.5 kg m(-3) (m s(-1))(-1). This relationship is nearly three times stronger than a value previously computed from a dataset available in Antarctica. Our data indicate that the wind speed is more important to estimates of the surface snow density in Antarctica than has been previously assumed.</t>
  </si>
  <si>
    <t>[Sugiyama, Shin] Hokkaido Univ, Inst Low Temp Sci, Sapporo, Hokkaido 060, Japan; [Enomoto, Hiroyuki; Fujita, Shuji; Nakazawa, Fumio; Surdyk, Sylviane] Natl Inst Polar Res, Tachikawa, Tokyo, Japan; [Fukui, Kotaro] Tateyama Caldera Sabo Museum, Toyama, Japan; [Holmlund, Per] Stockholm Univ, Dept Phys Geog &amp; Quaternary Geol, S-10691 Stockholm, Sweden</t>
  </si>
  <si>
    <t>Hokkaido University; Research Organization of Information &amp; Systems (ROIS); National Institute of Polar Research (NIPR) - Japan; Stockholm University</t>
  </si>
  <si>
    <t>Sugiyama, S (corresponding author), Hokkaido Univ, Inst Low Temp Sci, Sapporo, Hokkaido 060, Japan.</t>
  </si>
  <si>
    <t>sugishin@lowtem.hokudai.ac.jp</t>
  </si>
  <si>
    <t>Sugiyama, Shin/C-2511-2012; Nakazawa, Fumio/R-4031-2018; Fujita, Shuji/A-7884-2016; FUKUI, Kotaro/H-5600-2018</t>
  </si>
  <si>
    <t>Fujita, Shuji/0000-0003-0127-0777; FUKUI, Kotaro/0000-0003-2106-0232</t>
  </si>
  <si>
    <t>National Institute of Polar Research, Tokyo; Swedish Polar Research Secretariat; Japanese Ministry of Education, Science, Sports and Culture [20241007]; Grants-in-Aid for Scientific Research [20241007, 22710023] Funding Source: KAKEN</t>
  </si>
  <si>
    <t>National Institute of Polar Research, Tokyo; Swedish Polar Research Secretariat; Japanese Ministry of Education, Science, Sports and Culture(Ministry of Education, Culture, Sports, Science and Technology, Japan (MEXT)); Grants-in-Aid for Scientific Research(Ministry of Education, Culture, Sports, Science and Technology, Japan (MEXT)Japan Society for the Promotion of ScienceGrants-in-Aid for Scientific Research (KAKENHI))</t>
  </si>
  <si>
    <t>We thank the members of the Japanese-Swedish Antarctic Expedition 2007/08 for help in the field. The field activity was part of the 48th and 49th Japanese Antarctic Research Expedition, and was supported by the National Institute of Polar Research, Tokyo, and the Swedish Polar Research Secretariat. The wind-speed data, computed using a regional climate model, were kindly provided by J.T.M. Lenaerts and M.R. van den Broeke; we gratefully acknowledge their contribution. The surface elevation and 10 m snow temperature data were provided by the US National Snow and Ice Data Center. We thank two anonymous reviewers for comments on the manuscript, and the scientific editor, P. Bartelt. This study was funded by the Japanese Ministry of Education, Science, Sports and Culture, Grant-in-Aid for Scientific Research (A), 20241007, 2008-2010.</t>
  </si>
  <si>
    <t>10.3189/2012JoG11J201</t>
  </si>
  <si>
    <t>959KB</t>
  </si>
  <si>
    <t>WOS:000305310200008</t>
  </si>
  <si>
    <t>Cochran, JR; Bell, RE</t>
  </si>
  <si>
    <t>Cochran, James R.; Bell, Robin E.</t>
  </si>
  <si>
    <t>Inversion of IceBridge gravity data for continental shelf bathymetry beneath the Larsen Ice Shelf, Antarctica</t>
  </si>
  <si>
    <t>PINE ISLAND GLACIER; BREAK-UP; WEST; PENINSULA; SEA; RETREAT; BASIN; SHEET; DISINTEGRATION; STABILITY</t>
  </si>
  <si>
    <t>A possible cause for accelerated thinning and break-up of floating marine ice shelves is warming of the water in the cavity below the ice shelf. Accurate bathymetry beneath large ice shelves is crucial for developing models of the ocean circulation in the sub-ice cavities. A grid of free-air gravity data over the floating Larsen C ice shelf collected during the Ice Bridge 2009 Antarctic campaign was utilized to develop the first bathymetry model of the underlying continental shelf. Independent control on the continental shelf geologic structures from marine surveys was used to constrain the inversion. Depths on the continental shelf beneath the ice shelf estimated from the inversion generally range from about 350 to 650 m, but vary from &lt;300 to &gt;1000 m. Localized overdeepenings, 20-30 km long and 900-1000 m deep, are located in inlets just seaward of the grounding line. Submarine valleys extending seaward from the overdeepenings coalesce into two broad troughs that extend to the seaward limit of the ice shelf and appear to extend to the edge of the continental shelf. The troughs are generally at a depth of 550-700 m although the southernmost mapped trough deepens to over 1000 m near the edge of the ice shelf just south of 68 S. The combination of the newly determined bathymetry with published ice-draft determinations based on laser altimetry and radar data defines the geometry of the water-filled cavity. These newly imaged troughs provide a conduit for water to traverse the continental shelf and interact with the overlying Larsen C ice shelf and the grounding lines of the outlet glaciers.</t>
  </si>
  <si>
    <t>[Cochran, James R.; Bell, Robin E.] Columbia Univ, Lamont Doherty Earth Observ, Palisades, NY USA</t>
  </si>
  <si>
    <t>Columbia University</t>
  </si>
  <si>
    <t>Cochran, JR (corresponding author), Columbia Univ, Lamont Doherty Earth Observ, Palisades, NY USA.</t>
  </si>
  <si>
    <t>jrc@ldeo.columbia.edu</t>
  </si>
  <si>
    <t>NASA [NNX09AR49G, NNG10HP20C, NNX10AT69G]; NASA [NNX10AT69G, 122477, NNX09AR49G, 105907] Funding Source: Federal RePORTER</t>
  </si>
  <si>
    <t>We thank Michael Studinger, Nick Frearson, Stefan Elieff and Sean O'Rourke for their efforts during the 2009 IceBridge Antarctic field campaign. We also thank Bruce Huber for instructive discussions of Weddell Sea oceanography. Paul Holland provided us with his grid of ice-draft values for the Larsen C ice shelf. Hakim Abdi provided technical support. We also thank the anonymous referees and the scientific editor, Ted Scambos, for comments, criticisms and suggestions that greatly improved the manuscript. This work was supported by NASA grants NNX09AR49G, NNG10HP20C and NNX10AT69G. This is LDEO contribution No. 7526</t>
  </si>
  <si>
    <t>10.3189/2012JoG11J033</t>
  </si>
  <si>
    <t>WOS:000305310200009</t>
  </si>
  <si>
    <t>Karanovic, T; Cho, JL; Lee, W</t>
  </si>
  <si>
    <t>Karanovic, Tomislav; Cho, Joo-Lae; Lee, Wonchoel</t>
  </si>
  <si>
    <t>Redefinition of the parastenocaridid genus Proserpinicaris (Copepoda: Harpacticoida), with description of three new species from Korea</t>
  </si>
  <si>
    <t>taxonomy; systematics; stygofauna; phylogeny; zoogeography; endemism</t>
  </si>
  <si>
    <t>PHYLLURA KIEFER; INTERSTITIAL HARPACTICOIDS; SP NOV.; N. SP.; GROUNDWATER; KESSLER; JAKOBI; CRUSTACEA; REVISION; RIVER</t>
  </si>
  <si>
    <t>Proserpinicaris young sp. nov., Proserpinicaris wangpi sp. nov. and Proserpinicaris imjin sp. nov. are described from subterranean waters of South Korea. They are short-range endemics, allopatric in distribution and closely related to each other, and to two other Far Eastern congeners. Distinguishing features are limited to the general habitus shape, proportions of the caudal rami and degree of sexual dimorphism. The genus Proserpinicaris Jakobi, 1972, as redefined here, is Palaearctic in distribution, with the centre of diversity in southern Europe, and 20 valid members, all of which share a large hyaline spiniform structure on the male fourth leg basis as a synapomorphy. A key to species is provided. Genera Niponnicaris Jakobi, 1972 and Pannonicaris Jakobi, 1972 are established as its junior subjective synonyms, Lacustricaris Jakobi, 1972 is formally synonymized with Parastenocaris Kessler, 1913, and Parastenocaris lacustris Chappuis, 1958 is designated as incertae sedis in Fontinalicaridinae Schminke, 2010.</t>
  </si>
  <si>
    <t>[Karanovic, Tomislav; Lee, Wonchoel] Hanyang Univ, Dept Life Sci, Seoul 133791, South Korea; [Karanovic, Tomislav] Univ Tasmania, Inst Marine &amp; Antarctic Studies, Hobart, Tas 7001, Australia; [Cho, Joo-Lae] Natl Inst Biol Resources, Inchon 404708, South Korea</t>
  </si>
  <si>
    <t>Hanyang University; University of Tasmania; National Institute of Biological Resources</t>
  </si>
  <si>
    <t>Karanovic, T (corresponding author), Hanyang Univ, Dept Life Sci, 17 Haengdang Dong, Seoul 133791, South Korea.</t>
  </si>
  <si>
    <t>Tomislav.Karanovic@utas.edu.au</t>
  </si>
  <si>
    <t>Lee, Wonchoel/L-9822-2018</t>
  </si>
  <si>
    <t>Lee, Wonchoel/0000-0002-9873-1033</t>
  </si>
  <si>
    <t>Brain Pool grant in Korea; NIBR grant in Korea</t>
  </si>
  <si>
    <t>Ms Renate Walter, Zoologisches Museum Hamburg, is kindly acknowledged for the help in preparation of the scanning electron micrographs. Financial support to the senior author came from Brain Pool and NIBR grants (both in Korea), while the necessary facilities were provided by the Zoologisches Museum in Hamburg and Hanyang University in Seoul.</t>
  </si>
  <si>
    <t>25-26</t>
  </si>
  <si>
    <t>10.1080/00222933.2012.681316</t>
  </si>
  <si>
    <t>961KY</t>
  </si>
  <si>
    <t>WOS:000305464500004</t>
  </si>
  <si>
    <t>Figuerola, B; Monleón-Getino, T; Ballesteros, M; Avila, C</t>
  </si>
  <si>
    <t>Figuerola, Blanca; Monleon-Getino, Toni; Ballesteros, Manuel; Avila, Conxita</t>
  </si>
  <si>
    <t>Spatial patterns and diversity of bryozoan communities from the Southern Ocean: South Shetland Islands, Bouvet Island and Eastern Weddell Sea</t>
  </si>
  <si>
    <t>Antarctica; bathymetric distribution; bryozoans; geographic distribution; multidimensional scaling</t>
  </si>
  <si>
    <t>ANTARCTIC BENTHIC COMMUNITIES; TERRESTRIAL BIODIVERSITY; DEEP-WATER; MARINE; BIOGEOGRAPHY; FAUNA; SHELF; ASSEMBLAGES; VARIABILITY; DISTURBANCE</t>
  </si>
  <si>
    <t>In this study, we report new data on the biodiversity and the geographic and bathymetric distribution of bryozoans collected during the ANT XXI/2 cruise (November 2003 to January 2004) in the Eastern Weddell Sea and Bouvet Island, and during the Spanish Antarctic expedition ECOQUIM (January 2006) in the South Shetland Islands. Our data on distribution were analysed together with previous studies carried out in the same regions. A total of 54 species of Antarctic bryozoans (206 samples), including a new species of the genus Reteporella were found. Two species were reported for the first time from Bouvet Island, one from the Weddell Sea and one from Spiess Seamount. Fifty-five per cent of all species identified were endemic to Antarctica. In the Weddell Sea, the regions of Austasen and Kapp Norvegia exhibit the highest relative species richness, followed by the Vestkapp region. Multivariate and cluster analyses revealed small-scale spatial variability in the community structure along depth and between localities.</t>
  </si>
  <si>
    <t>[Figuerola, Blanca; Ballesteros, Manuel; Avila, Conxita] Univ Barcelona, Fac Biol, Dept Biol Anim Invertebrats, E-08028 Barcelona, Spain; [Monleon-Getino, Toni] Univ Barcelona, Fac Biol, Dept Estadist, E-08028 Barcelona, Spain</t>
  </si>
  <si>
    <t>University of Barcelona; University of Barcelona</t>
  </si>
  <si>
    <t>Figuerola, B (corresponding author), Univ Barcelona, Fac Biol, Dept Biol Anim Invertebrats, Avda Diagonal 645, E-08028 Barcelona, Spain.</t>
  </si>
  <si>
    <t>bfiguerola@ub.edu</t>
  </si>
  <si>
    <t>Monleon-Getino, Toni/ABI-1245-2020; Figuerola, Blanca/C-6252-2015; Avila, Conxita/B-9466-2008; Ballesteros, Manuel/M-1664-2014</t>
  </si>
  <si>
    <t>Monleon-Getino, Toni/0000-0001-8214-3205; Figuerola, Blanca/0000-0003-4731-9337; Avila, Conxita/0000-0002-5489-8376; Ballesteros, Manuel/0000-0001-9055-1241</t>
  </si>
  <si>
    <t>Ministry of Science and Education of Spain through the ECOQUIM and ACTIQUIM Projects [REN2002-12006EANT, REN2003-00545, CGL2004-03356/ANT, CGL2007-65453]</t>
  </si>
  <si>
    <t>Ministry of Science and Education of Spain through the ECOQUIM and ACTIQUIM Projects</t>
  </si>
  <si>
    <t>The authors wish to thank Dr C. Lopez Fe de la Cuadra (University of Sevilla) for his help in the identification of some species and Dr D. P. Gordon (National Institute of Water and Atmospheric Research), Dr M. Zabala (University of Barcelona) and Dr B. Berning (Linz Museum, Austria) for their help with bibliographic searches. Special thanks go to S. Taboada, J. Vazquez, L. Nunez-Pons and F. J. Cristobo for laboratory support and to Dr R. Sarda and Dr A. Maceda for their reviews of the manuscript. Thanks are due to W. Arntz and the crew of the R/V of Polarstern (AWI) for inviting us to participate in the Antarctic cruise ANT XXI/2 (AWI, Bremerhaven, Germany), and M. Franch for helping with the maps. Funding was provided by the Ministry of Science and Education of Spain through the ECOQUIM and ACTIQUIM Projects (REN2002-12006EANT, REN2003-00545, CGL2004-03356/ANT and CGL2007-65453).</t>
  </si>
  <si>
    <t>10.1080/14772000.2012.668972</t>
  </si>
  <si>
    <t>962AX</t>
  </si>
  <si>
    <t>WOS:000305512500006</t>
  </si>
  <si>
    <t>Pan, Y; Li, LQ; Shao, C; Hu, XZ; Ma, HG; Al-Rasheid, KAS; Warren, A</t>
  </si>
  <si>
    <t>Pan, Ying; Li, Liqiong; Shao, Chen; Hu, Xiaozhong; Ma, Honggang; Al-Rasheid, Khaled A. S.; Warren, Alan</t>
  </si>
  <si>
    <t>Morphology and Ontogenesis of a Marine Ciliate, Euplotes balteatus (Dujardin, 1841) Kahl, 1932 (Ciliophora, Euplotida) and Definition of Euplotes wilberti nov spec.</t>
  </si>
  <si>
    <t>ACTA PROTOZOOLOGICA</t>
  </si>
  <si>
    <t>Euplotes balteatus; Euplotes wilberti nov spec.; marine ciliate; morphology; ontogenesis</t>
  </si>
  <si>
    <t>GENUS EUPLOTES; PROTOZOA; MORPHOGENESIS; HYPOTRICHIDA; SEQUENCE; RARISETA</t>
  </si>
  <si>
    <t>Euplotes balteatus (Dujardin, 1841) Kahl 1932, collected from coastal waters near Qingdao, northern China, was investigated using live observation and silver staining methods. An improved diagnosis and morphometric data are provided. Euplotes balteatus can be identified by the following combination of characters: 10 frontoventral cirri, 2 widely separated marginal cirri, 2 fine caudal cirri, 8 dorsal kineties and a double-eurystomus type silverline system. Its morphogenesis, which is similar to that of several congeners, can be summarized as follows: (1) the opisthe's oral primordium appears de novo under the pellicle whereas the old oral apparatus is retained by the proter; (2) two groups of frontoventral transverse cirral anlagen, each with five streaks, occur de novo and then develop into the frontoventral and transverse cirri separately according to the formula of 3:3:3:3:2 from left to right; (3) the anlagen for the marginal cirri occur de novo near the parental oral apparatus; (4) migratory cirri of both dividers derive from the anlagen near the paroral membrane; (5) the dorsal kinety anlagen come from dedifferentiation of the parental structures in the mid-body region; (6) caudal cirri are formed at the posterior ends of the two rightmost dorsal kineties. In the light of the present findings, it was concluded that the Antarctic population of E. balteatus reported by Song and Wilbert (2002) was misidentified. A new species, Euplotes wilberti nov. spec., is established for this population.</t>
  </si>
  <si>
    <t>[Pan, Ying; Li, Liqiong] China Agr Univ, Yantai Acad, Sch Ocean, Yantai 264670, Peoples R China; [Pan, Ying; Li, Liqiong; Hu, Xiaozhong; Ma, Honggang] Ocean Univ China, Inst Evolut &amp; Marine Biodivers, Lab Protozool, Qingdao, Peoples R China; [Shao, Chen] Xi An Jiao Tong Univ, Sch Life Sci &amp; Technol, Dept Biol &amp; Engn, Xian, Peoples R China; [Al-Rasheid, Khaled A. S.] King Saud Univ, Coll Sci, Dept Zool, Riyadh 11451, Saudi Arabia; [Warren, Alan] Nat Hist Museum, Dept Zool, London SW7 5BD, England</t>
  </si>
  <si>
    <t>China Agricultural University; Ocean University of China; Xi'an Jiaotong University; King Saud University; Natural History Museum London</t>
  </si>
  <si>
    <t>Li, LQ (corresponding author), China Agr Univ, Yantai Acad, Sch Ocean, Yantai 264670, Peoples R China.</t>
  </si>
  <si>
    <t>lilyjone_new@163.com</t>
  </si>
  <si>
    <t>Shao, Chen/F-6657-2015; AL-Rasheid, Khaled/C-2486-2008</t>
  </si>
  <si>
    <t>AL-Rasheid, Khaled/0000-0002-3404-3397</t>
  </si>
  <si>
    <t>Natural Science Foundation of China [41106130, 31172041]; Natural Science Foundation of Shandong Province [ZR2011CQ044]; Center of Biodiversity Research, King Saud University, Saudi Arabia</t>
  </si>
  <si>
    <t>Natural Science Foundation of China(National Natural Science Foundation of China (NSFC)); Natural Science Foundation of Shandong Province(Natural Science Foundation of Shandong Province); Center of Biodiversity Research, King Saud University, Saudi Arabia(King Saud University)</t>
  </si>
  <si>
    <t>This work was supported by the Natural Science Foundation of China (Project numbers: 41106130, 31172041), Natural Science Foundation of Shandong Province (Project number: ZR2011CQ044) and a joint grant from the Center of Biodiversity Research, King Saud University, Saudi Arabia. Our deep thanks are given to Prof. Weibo Song (OUC) for his constructive suggestions in the first drafts of the manuscript and for the institutional support for the laboratory work.</t>
  </si>
  <si>
    <t>JAGIELLONIAN UNIV, INST ENVIRONMENTAL SCIENCES</t>
  </si>
  <si>
    <t>GRONOSTAJOWA 7, KRAKOW, 30-387, POLAND</t>
  </si>
  <si>
    <t>0065-1583</t>
  </si>
  <si>
    <t>ACTA PROTOZOOL</t>
  </si>
  <si>
    <t>Acta Protozool.</t>
  </si>
  <si>
    <t>10.4467/16890027AP.12.003.0386</t>
  </si>
  <si>
    <t>955ED</t>
  </si>
  <si>
    <t>WOS:000304999000003</t>
  </si>
  <si>
    <t>Hill, RW; Wyse, GA; Anderson, M</t>
  </si>
  <si>
    <t>Hill, Richard W.; Wyse, Gordon A.; Anderson, Margaret</t>
  </si>
  <si>
    <t>Genomics, Proteomics, and Related Approaches to Physiology</t>
  </si>
  <si>
    <t>ANIMAL PHYSIOLOGY, THIRD EDITION</t>
  </si>
  <si>
    <t>GENE-EXPRESSION; TRANSCRIPTOMIC RESPONSE; ANTARCTIC ICEFISHES; HEMOGLOBIN</t>
  </si>
  <si>
    <t>[Hill, Richard W.] Michigan State Univ, E Lansing, MI 48824 USA; [Wyse, Gordon A.] Univ Massachusetts, Amherst, MA 01003 USA; [Anderson, Margaret] Smith Coll, Northampton, MA 01063 USA</t>
  </si>
  <si>
    <t>Michigan State University; University of Massachusetts System; University of Massachusetts Amherst; Smith College</t>
  </si>
  <si>
    <t>Hill, RW (corresponding author), Michigan State Univ, E Lansing, MI 48824 USA.</t>
  </si>
  <si>
    <t>SINAUER ASSOC</t>
  </si>
  <si>
    <t>SUNDERLAND</t>
  </si>
  <si>
    <t>SINAUER ASSOC, SUNDERLAND, MA 01375 USA</t>
  </si>
  <si>
    <t>978-0-87893-559-8</t>
  </si>
  <si>
    <t>BAF69</t>
  </si>
  <si>
    <t>WOS:000304028900003</t>
  </si>
  <si>
    <t>Bisiaux, MM; Edwards, R; McConnell, JR; Curran, MAJ; Van Ommen, TD; Smith, AM; Neumann, TA; Pasteris, DR; Penner, JE; Taylor, K</t>
  </si>
  <si>
    <t>Bisiaux, M. M.; Edwards, R.; McConnell, J. R.; Curran, M. A. J.; Van Ommen, T. D.; Smith, A. M.; Neumann, T. A.; Pasteris, D. R.; Penner, J. E.; Taylor, K.</t>
  </si>
  <si>
    <t>Changes in black carbon deposition to Antarctica from two high-resolution ice core records, 1850-2000 AD</t>
  </si>
  <si>
    <t>SNOW SURFACE; CLIMATE; EMISSIONS; AEROSOL; 20TH-CENTURY; OSCILLATION; ATMOSPHERE; HISTORY</t>
  </si>
  <si>
    <t>Refractory black carbon aerosols (rBC) emitted by biomass burning (fires) and fossil fuel combustion, affect global climate and atmospheric chemistry. In the Southern Hemisphere (SH), rBC is transported in the atmosphere from low- and mid-latitudes to Antarctica and deposited to the polar ice sheet preserving a history of emissions and atmospheric transport. Here, we present two high-resolution Antarctic rBC ice core records drilled from the West Antarctic Ice Sheet divide and Law Dome on the periphery of the East Antarctic ice sheet. Separated by similar to 3500 km, the records span calendar years 1850-2001 and reflect the rBC distribution over the Indian and Pacific ocean sectors of the Southern Ocean. Concentrations of rBC in the ice cores displayed significant variability at annual to decadal time scales, notably in ENSO-QBO and AAO frequency bands. The delay observed between rBC and ENSO variability suggested that ENSO does not directly affect rBC transport, but rather continental hydrology, subsequent fire regimes, and aerosol emissions. From 1850 to 1950, the two ice core records were uncorrelated but were highly correlated from 1950 to 2002 (cross-correlation coefficient at annual resolution: r = 0.54, p &lt; 0.01) due to a common decrease in rBC variability. The decrease in ice-core rBC from the 1950s to late 1980s displays similarities with inventories of SH rBC grass fires and biofuel emissions, which show reduced emission estimates over that period.</t>
  </si>
  <si>
    <t>[Bisiaux, M. M.; Edwards, R.; McConnell, J. R.; Pasteris, D. R.; Taylor, K.] Univ Nevada, Desert Res Inst, Reno, NV 89506 USA; [Edwards, R.] Curtin Univ Technol, Perth, WA, Australia; [Curran, M. A. J.; Van Ommen, T. D.] Australian Antarctic Div, Kingston, Tas, Australia; [Curran, M. A. J.; Van Ommen, T. D.] Univ Tasmania, Antarctic Climate &amp; Environm CRC, Hobart, Tas, Australia; [Smith, A. M.] Australian Nucl Sci &amp; Technol Org, Lucas Heights, NSW, Australia; [Neumann, T. A.] NASA, Goddard Space Flight Ctr, Greenbelt, MD 20771 USA; [Penner, J. E.] Univ Michigan, Ann Arbor, MI 48109 USA</t>
  </si>
  <si>
    <t>Nevada System of Higher Education (NSHE); Desert Research Institute NSHE; University of Nevada Reno; Curtin University; Australian Antarctic Division; University of Tasmania; Australian Nuclear Science &amp; Technology Organisation; National Aeronautics &amp; Space Administration (NASA); NASA Goddard Space Flight Center; University of Michigan System; University of Michigan</t>
  </si>
  <si>
    <t>Bisiaux, MM (corresponding author), Univ Nevada, Desert Res Inst, Reno, NV 89506 USA.</t>
  </si>
  <si>
    <t>marion.ma.bisiaux@gmail.com</t>
  </si>
  <si>
    <t>Neumann, Thomas/JLL-4672-2023; Penner, Joyce E/J-1719-2012; , Andrew/HLX-8550-2023; van Ommen, Tas/B-5020-2012; Edwards, Ross/B-1433-2013; Taylor, Kendrick/A-3469-2016</t>
  </si>
  <si>
    <t>van Ommen, Tas/0000-0002-2463-1718; Edwards, Ross/0000-0002-9233-8775; Taylor, Kendrick/0000-0001-8535-1261; Smith, Andrew/0000-0002-9193-2617</t>
  </si>
  <si>
    <t>NSF [OPP 0739780, 0839496, 0538416, 0538427, 0440817, 0230396]; Australian Government through the Antarctic Climate and Ecosystems Cooperative Research Centre (ACE CRC); Desert Research Institute; NSF Office of Polar Programs; Directorate For Geosciences; Office of Polar Programs (OPP) [0944348] Funding Source: National Science Foundation; Division Of Polar Programs; Directorate For Geosciences [0944191] Funding Source: National Science Foundation; Office of Polar Programs (OPP); Directorate For Geosciences [0538416, 0538427] Funding Source: National Science Foundation</t>
  </si>
  <si>
    <t>NSF(National Science Foundation (NSF)); Australian Government through the Antarctic Climate and Ecosystems Cooperative Research Centre (ACE CRC)(Australian GovernmentDepartment of Industry, Innovation and ScienceCooperative Research Centres (CRC) Programme); Desert Research Institute; NSF Office of Polar Programs(National Science Foundation (NSF)); Directorate For Geosciences; Office of Polar Programs (OPP)(National Science Foundation (NSF)NSF - Directorate for Geosciences (GEO)); Division Of Polar Programs; Directorate For Geosciences(National Science Foundation (NSF)NSF - Directorate for Geosciences (GEO)); Office of Polar Programs (OPP); Directorate For Geosciences(National Science Foundation (NSF)NSF - Directorate for Geosciences (GEO))</t>
  </si>
  <si>
    <t>This work was supported by NSF grants OPP 0739780, 0839496, 0538416, 0538427, the Australian Government's Cooperative Research Centres Programme through the Antarctic Climate and Ecosystems Cooperative Research Centre (ACE CRC) and the Desert Research Institute. We gratefully acknowledge the WAIS divide drilling team, the Law Dome drilling team and the DRI ice core team. The authors appreciate the support of the WAIS Divide Science Coordination Office at the Desert Research Institute of Reno Nevada for the collection and distribution of the WAIS Divide ice core and related tasks (NSF Grants 0440817 and 0230396). The NSF Office of Polar Programs also funds the Ice Drilling Program Office and Ice Drilling Design and Operations group for coring activities; Raytheon Polar Services for logistics support in Antarctica; and the 109th New York Air National Guard for airlift in Antarctica. The National Ice Core Laboratory, which archived the WAIS core and preformed core processing, is funded by the National Science Foundation. We thank Jean-Robert Petit for help and advice on spectral analysis as well as Jean-Francois Lamarque and Ito Akinory for help with emissions inventories.</t>
  </si>
  <si>
    <t>10.5194/acp-12-4107-2012</t>
  </si>
  <si>
    <t>942OT</t>
  </si>
  <si>
    <t>gold, Green Accepted, Green Submitted</t>
  </si>
  <si>
    <t>WOS:000304055600017</t>
  </si>
  <si>
    <t>Fleming, KM; Tregoning, P; Kuhn, M; Purcell, A; McQueen, H</t>
  </si>
  <si>
    <t>Fleming, K. M.; Tregoning, P.; Kuhn, M.; Purcell, A.; McQueen, H.</t>
  </si>
  <si>
    <t>The effect of melting land-based ice masses on sea-level around the Australian coastline</t>
  </si>
  <si>
    <t>Australia; sea-level change; glacial isostatic adjustment; ice-mass changes; ocean loading; tide gauges</t>
  </si>
  <si>
    <t>LAST GLACIAL MAXIMUM; RISE; MANTLE; GREENLAND; EARTH; SUBSIDENCE; STABILITY; PATTERNS; COLLAPSE; HOLOCENE</t>
  </si>
  <si>
    <t>Changes in relative sea-level (RSL) are generally caused by variations in sea surface heights from steric effects (thermal expansion and salinity changes) and the mechanical response of the Earth to past and current redistributions of ice and water between land and oceans. This paper focuses on the latter, where we present scenario calculations of the spatial variability in present-day RSL change around the Australian coastline resulting from melting land-based ice masses. Three scenarios are investigated: (1) the ongoing effect of glacial isostatic adjustment (GIA) arising from ice-and water-load redistribution during the last glacial-interglacial transition; (2) the effect of present-day changes in the Greenland and West and East Antarctic ice sheets (GIS, WAIS and EAIS, respectively) and two regions of major mountain glaciation, Alaska and Patagonia; and (3) a hypothetical complete melting of the GIS, WAIS and EAIS occurring over 5000 years. The first scenario shows falling RSL around Australia of the order of 0.4 to 1.2 times the average value around the coast (equivalent to a RSL fall of between 0.2 and 0.6 mm/a). For the second scenario, the spatial variability is strongly dependent upon the location of each ice mass relative to Australia. For Greenland and Patagonia, the resulting changes to the Earth's rotation strongly affect the spatial variability, while the direct gravitational effect is more important when considering the Antarctic ice sheets. The variability associated with the first two scenarios becomes clearer when examining RSL change estimates for the locations of tide-gauge stations around the Australian coast, especially for the ongoing GIA (a south-to-north increase in the simulated rate of RSL change), the WAIS (east-to-west increase) and the EAIS (south-to-north increase), with the melting of the EAIS potentially having the greatest influence on the variability of the melting land-based ice contribution to RSL change around Australia. The spatial variability associated with the third scenario is strongly influenced over century-length time-scales by the resulting changes in the Earth's rotation and the direct gravitational attraction of the ice masses, while after several thousand years the uplift of the continent by mantle material displaced towards it by increased ocean loading becomes more prominent. It must, however, be kept in mind that the spatial variability associated with these scenarios is generally a small proportion of the total RSL change, and that the steric (especially thermosteric) contribution is not included in these results.</t>
  </si>
  <si>
    <t>[Fleming, K. M.; Kuhn, M.] Curtin Univ Technol, Dept Spatial Sci, Perth, WA 6845, Australia; [Fleming, K. M.; Kuhn, M.] Curtin Univ Technol, Inst Geosci Res, Perth, WA 6845, Australia; [Tregoning, P.; Purcell, A.; McQueen, H.] Australian Natl Univ, Res Sch Earth Sci, Canberra, ACT 0200, Australia; [Fleming, K. M.] Helmholtz Ctr Potsdam German Res Ctr Geosci, D-14467 Potsdam, Germany</t>
  </si>
  <si>
    <t>Curtin University; Curtin University; Australian National University; Helmholtz Association; Helmholtz-Center Potsdam GFZ German Research Center for Geosciences</t>
  </si>
  <si>
    <t>Fleming, KM (corresponding author), Curtin Univ Technol, Dept Spatial Sci, GPO Box U1987, Perth, WA 6845, Australia.</t>
  </si>
  <si>
    <t>kevin@gfz-potsdam.de</t>
  </si>
  <si>
    <t>Tregoning, Paul/D-9283-2013; Fleming, Kevin/AAY-2253-2020; Tregoning, Paul/N-4842-2018; Kuhn, Michael/L-1182-2013</t>
  </si>
  <si>
    <t>Tregoning, Paul/0000-0001-7192-5391; Fleming, Kevin/0000-0001-8449-3081; Tregoning, Paul/0000-0001-7192-5391; Kuhn, Michael/0000-0001-7861-8079; Purcell, Anthony/0000-0001-5289-3902; McQueen, Herbert/0000-0002-3490-7482</t>
  </si>
  <si>
    <t>Australian Research Council [DP087738]; Curtin Research Fellowship</t>
  </si>
  <si>
    <t>Australian Research Council(Australian Research Council); Curtin Research Fellowship</t>
  </si>
  <si>
    <t>We thank the suggestions made by the reviewers, whose comments have greatly improved this manuscript. This research was supported under the Australian Research Council's Discovery Projects funding scheme (project DP087738, Environmental geodesy: variations of sea-level and water storage in the Australian region). M. Kuhn acknowledges the support of a Curtin Research Fellowship. This work is Tiger publication number 398.</t>
  </si>
  <si>
    <t>10.1080/08120099.2012.664828</t>
  </si>
  <si>
    <t>956KL</t>
  </si>
  <si>
    <t>WOS:000305088400001</t>
  </si>
  <si>
    <t>Quintana, JM; Aceituno, P</t>
  </si>
  <si>
    <t>Quintana, J. M.; Aceituno, P.</t>
  </si>
  <si>
    <t>Changes in the rainfall regime along the extratropical west coast of South America (Chile): 30-43° S</t>
  </si>
  <si>
    <t>ATMOSFERA</t>
  </si>
  <si>
    <t>Southern Oscillation; Pacific Decadal Oscillation; Southeast Pacific Subtropical Anticyclone; Antarctic Oscillation</t>
  </si>
  <si>
    <t>ANNULAR MODE; EL-NINO; PRECIPITATION; VARIABILITY; OSCILLATION; CIRCULATION; TRENDS; ENSO; TEMPERATURE; ARGENTINA</t>
  </si>
  <si>
    <t>The evolution of annual rainfall along the west coast of South America from 30 to 43 S (central Chile) is analyzed for the period 1900-2007. A prevailing negative trend in annual rainfall has been documented for this region in several previous studies. Here we focus on the significant changes and fluctuations occurring at the decadal time scale, exploring the links with regional atmospheric circulation anomalies associated with large-scale oscillatory modes of the ocean-atmospheric system. In particular, the relatively dry condition that prevailed from the 1950s to the early 1970s in the northern part of central Chile (30-35 degrees S) is consistent with an intensified subtropical anticyclone in the southeast Pacific during a period characterized by a prevailing positive phase of the Southern Oscillation (SO) and the cold phase of the Pacific Decadal Oscillation (PDO). The shift of the PDO toward the warm phase by the mid-1970s was followed by an increased frequency of the negative phase of the SO and associated El Nino episodes. Concurrent weakening of the subtropical anticyclone favored an increased frequency of wet years in this region. Further south the negative trend in annual rainfall that prevailed since the 1950s in the region from 37 to 43 degrees S intensified by the end of the 20th century. Changes in the meridional sea level pressure gradient at mid-latitudes and high-latitudes in the southeast Pacific, which are partially connected to the Antarctic Oscillation (AAO), play a significant role in modulating the interannual rainfall variability in all central Chile, especially during the austral winter semester (April-September). Thus, an intensified (reduced) meridional pressure gradient in that region favors a southward (northward) displacement of the latitudinal band of migratory extratropical low pressure systems and associated fronts. The significant positive trend that both the AAO index and its regional counterpart in the southeast Pacific exhibit since the 1950s may partially explain the observed downward trend in annual precipitation in the southern portion of central Chile, resulting from a reduction in both the frequency of wet days and the intensity of precipitation. Most of the global and regional climate models used to assess future climate scenarios associated with an enhanced planetary greenhouse effect, also call for a reduction of rainfall in this region which is consistent with the positive trend in the AAO predicted by those models.</t>
  </si>
  <si>
    <t>[Quintana, J. M.] Direcc Meteorol Chile, Estn Cent, Santiago, Chile; [Aceituno, P.] Univ Chile, Dept Geofis, Santiago, Chile</t>
  </si>
  <si>
    <t>Quintana, JM (corresponding author), Direcc Meteorol Chile, Estn Cent, Av Portales 3450, Santiago, Chile.</t>
  </si>
  <si>
    <t>juaquin@meteochile.cl</t>
  </si>
  <si>
    <t>Aceituno, Patricio/J-4987-2016</t>
  </si>
  <si>
    <t>Aceituno, Patricio/0009-0003-9680-0917</t>
  </si>
  <si>
    <t>Conicyt-Chile [1010570, ACT-19]</t>
  </si>
  <si>
    <t>Conicyt-Chile(Comision Nacional de Investigacion Cientifica y Tecnologica (CONICYT))</t>
  </si>
  <si>
    <t>This investigation was part of the M.Sc. thesis of Juan Quintana under the sponsorship of Conicyt-Chile through research grant Fondecyt No 1010570. Climatological data from chilean stations used in this study was kindly provided by the Chilean Weather Service. The AAO index based on SLP data south of 20 degrees S calculated by T. Mitchell was obtained from the Web site: http://jisao.washington. edu/data/aao/. Support by the PBCT program of Conicyt-Chile through project ACT-19 is also acknowledged. We thank:to Mark Falvey for his help preparing the figures, to Pamela Pizarro for her contribution with the data processing, and to Humberto Fuenzalida, Roberto Rondanelli and an anonymous reviewer for their constructive comments to the paper.</t>
  </si>
  <si>
    <t>CENTRO CIENCIAS ATMOSFERA UNAM</t>
  </si>
  <si>
    <t>MEXICO CITY</t>
  </si>
  <si>
    <t>CIRCUITO EXTERIOR, MEXICO CITY CU 04510, MEXICO</t>
  </si>
  <si>
    <t>0187-6236</t>
  </si>
  <si>
    <t>2395-8812</t>
  </si>
  <si>
    <t>Atmosfera</t>
  </si>
  <si>
    <t>JAN 1</t>
  </si>
  <si>
    <t>953UR</t>
  </si>
  <si>
    <t>WOS:000304899200001</t>
  </si>
  <si>
    <t>Feige, J; Wallner, A; Winkler, SR; Merchel, S; Fifield, LK; Korschinek, G; Rugel, G; Breitschwerdt, D</t>
  </si>
  <si>
    <t>Feige, J.; Wallner, A.; Winkler, S. R.; Merchel, S.; Fifield, L. K.; Korschinek, G.; Rugel, G.; Breitschwerdt, D.</t>
  </si>
  <si>
    <t>The Search for Supernova-Produced Radionuclides in Terrestrial Deep-Sea Archives</t>
  </si>
  <si>
    <t>PUBLICATIONS OF THE ASTRONOMICAL SOCIETY OF AUSTRALIA</t>
  </si>
  <si>
    <t>Nuclear reactions, nucleosynthesis, abundances; ISM: bubbles; ISM: supernova remnants</t>
  </si>
  <si>
    <t>HALF-LIFE; MASS-SPECTROMETRY; MARINE-SEDIMENTS; BE-10; PU-244; AL-26; NUCLEOSYNTHESIS; STARS; ORIGIN; DECAY</t>
  </si>
  <si>
    <t>An enhanced concentration of Fe-60 was found in a deep ocean crust in 2004 in a layer corresponding to an age of similar to 2 Myr. The confirmation of this signal in terrestrial archives as supernova-induced and the detection of other supernova-produced radionuclides is of great interest. We have identified two suitable marine sediment cores from the South Australian Basin and estimated the intensity of a possible signal of the supernova-produced radionuclides Al-26, Mn-53, Fe-60, and the pure r-process element Pu-244 in these cores. The finding of these radionuclides in a sediment core might allow us to improve the time resolution of the signal and thus to link the signal to a supernova event in the solar vicinity similar to 2 Myr ago. Furthermore, it gives us an insight into nucleosynthesis scenarios in massive stars, condensation into dust grains and transport mechanisms from the supernova shell into the solar system.</t>
  </si>
  <si>
    <t>[Feige, J.; Wallner, A.; Winkler, S. R.] Univ Vienna, Fac Phys Isotope Res, VERA Lab, A-1090 Vienna, Austria; [Wallner, A.; Fifield, L. K.] Australian Natl Univ, Dept Nucl Phys, Canberra, ACT 0200, Australia; [Wallner, A.] ANSTO, Dc, NSW 2232, Australia; [Merchel, S.; Rugel, G.] HZDR, D-01328 Dresden, Germany; [Korschinek, G.] Tech Univ Munich, Dept Phys, D-85748 Garching, Germany; [Breitschwerdt, D.] TU Berlin, Dept Astron &amp; Astrophys, D-10623 Berlin, Germany</t>
  </si>
  <si>
    <t>University of Vienna; Australian National University; Australian Nuclear Science &amp; Technology Organisation; Helmholtz Association; Helmholtz-Zentrum Dresden-Rossendorf (HZDR); Technical University of Munich; Technical University of Berlin</t>
  </si>
  <si>
    <t>Feige, J (corresponding author), Univ Vienna, Fac Phys Isotope Res, VERA Lab, Wahringer Str 17, A-1090 Vienna, Austria.</t>
  </si>
  <si>
    <t>jenny.feige@univie.ac.at</t>
  </si>
  <si>
    <t>Wallner, Anton/G-1480-2011</t>
  </si>
  <si>
    <t>Wallner, Anton/0000-0003-2804-3670; Winkler, Stephan/0000-0001-8348-3260; Fifield, Leslie/0000-0003-2866-4944; Merchel, Silke/0000-0002-8755-3980; Feige, Jenny/0000-0002-3187-7898</t>
  </si>
  <si>
    <t>European Science Foundation [AI00428, AP20434]; Austrian Science Fund (FWF) [I 428] Funding Source: researchfish</t>
  </si>
  <si>
    <t>European Science Foundation(European Science Foundation (ESF)); Austrian Science Fund (FWF)(Austrian Science Fund (FWF))</t>
  </si>
  <si>
    <t>This work is funded by the Austrian Science Fund (FWF), project no. AI00428 and AP20434, through the European Science Foundation Collaborative Research Project CoDustMas. We thank the Antarctic Research Facility, Florida State University, US (C. Sjunneskog) for generously providing the sediment cores and K. Knie (GSI Helmholtzzentrum fur Schwerionenforschung GmbH, Darmstadt, Germany) for placing the 60Fe measurement data at our disposal.</t>
  </si>
  <si>
    <t>1323-3580</t>
  </si>
  <si>
    <t>1448-6083</t>
  </si>
  <si>
    <t>PUBL ASTRON SOC AUST</t>
  </si>
  <si>
    <t>Publ. Astron. Soc. Aust.</t>
  </si>
  <si>
    <t>10.1071/AS11070</t>
  </si>
  <si>
    <t>951JO</t>
  </si>
  <si>
    <t>WOS:000304717000004</t>
  </si>
  <si>
    <t>Troshichev, O; Janzhura, A</t>
  </si>
  <si>
    <t>Troschichev, O; Janzhura, A</t>
  </si>
  <si>
    <t>Troshichev, Oleg; Janzhura, Alexander</t>
  </si>
  <si>
    <t>Physical background (historical outline)</t>
  </si>
  <si>
    <t>SPACE WEATHER MONITORING BY GROUND-BASED MEANS: PC INDEX</t>
  </si>
  <si>
    <t>Springer Praxis Books</t>
  </si>
  <si>
    <t>FIELD-ALIGNED CURRENTS; INTERPLANETARY MAGNETIC-FIELD; NORTHERN HIGH-LATITUDES; SOLAR-WIND PARAMETERS; DAYSIDE POLAR-REGION; CAP ELECTRIC-FIELD; DP 2 FLUCTUATIONS; BIRKELAND CURRENTS; MAGNETOSPHERIC SUBSTORMS; GEOMAGNETIC ACTIVITY</t>
  </si>
  <si>
    <t>[Troshichev, Oleg; Janzhura, Alexander] Arctic &amp; Antarctic Res Inst, Dept Geophys, St Petersburg 199226, Russia</t>
  </si>
  <si>
    <t>Troshichev, O (corresponding author), Arctic &amp; Antarctic Res Inst, Dept Geophys, St Petersburg 199226, Russia.</t>
  </si>
  <si>
    <t>SPRINGER-VERLAG LONDON LTD</t>
  </si>
  <si>
    <t>GODALMING</t>
  </si>
  <si>
    <t>SWEETAPPLE HOUSE CATTESHALL RD FARNCOMBE, GODALMING GU7 1NH, SURREY, ENGLAND</t>
  </si>
  <si>
    <t>978-3-642-16803-1</t>
  </si>
  <si>
    <t>SPRINGER-PRAX BOOKS</t>
  </si>
  <si>
    <t>10.1007/978-3-642-16803-1</t>
  </si>
  <si>
    <t>BZX36</t>
  </si>
  <si>
    <t>WOS:000303215100002</t>
  </si>
  <si>
    <t>A method for the PC index determination</t>
  </si>
  <si>
    <t>FIELD-ALIGNED CURRENTS; POLAR-CAP; MAGNETIC ACTIVITY; CURRENT-SYSTEMS; DEPENDENCE; COMPONENTS; CONVECTION</t>
  </si>
  <si>
    <t>WOS:000303215100003</t>
  </si>
  <si>
    <t>Special features of procedure for on-line PC index derivation</t>
  </si>
  <si>
    <t>POLAR-CAP INDEX; INTERPLANETARY MAGNETIC-FIELD; CONVECTION</t>
  </si>
  <si>
    <t>978-3-642-16803-1; 978-3-642-16802-4</t>
  </si>
  <si>
    <t>WOS:000303215100004</t>
  </si>
  <si>
    <t>Solar wind-magnetosphere-ionosphere coupling and the PC index</t>
  </si>
  <si>
    <t>INTERPLANETARY MAGNETIC-FIELD; TRANSPOLAR POTENTIAL SATURATION; ELECTRIC-FIELD; ALIGNED CURRENTS; PLASMA SHEET; EARTHS MAGNETOSPHERE; PRESSURE-GRADIENTS; NONLINEAR RESPONSE; POLAR IONOSPHERE; REGION-1 CURRENT</t>
  </si>
  <si>
    <t>WOS:000303215100005</t>
  </si>
  <si>
    <t>PC index response to solar wind geoeffective variations</t>
  </si>
  <si>
    <t>POLAR-CAP INDEX; DYNAMIC PRESSURE; SUDDEN CHANGES; MAGNETOSPHERIC SUBSTORMS; PROPAGATION; VORTICES; AURORA; FIELD</t>
  </si>
  <si>
    <t>WOS:000303215100006</t>
  </si>
  <si>
    <t>PC index as an indicator of substorm development</t>
  </si>
  <si>
    <t>PERIODIC MAGNETOSPHERIC SUBSTORMS; POLAR-CAP INDEX; SOLAR-WIND; MAGNETOTAIL; DEPENDENCE; ENERGY; INPUT; TIME; IMF; AE</t>
  </si>
  <si>
    <t>WOS:000303215100007</t>
  </si>
  <si>
    <t>PC index as an indicator of magnetic storm development</t>
  </si>
  <si>
    <t>DST; TIME</t>
  </si>
  <si>
    <t>WOS:000303215100008</t>
  </si>
  <si>
    <t>Specific features of magnetic disturbances occurring under conditions of a steadily high energy input into the magnetosphere</t>
  </si>
  <si>
    <t>SUBSTORMS; INJECTIONS</t>
  </si>
  <si>
    <t>WOS:000303215100009</t>
  </si>
  <si>
    <t>Magnetic disturbances developing under conditions of northward IMF</t>
  </si>
  <si>
    <t>MAGNETOSPHERIC SUBSTORMS; SOLAR-WIND; NONTRIGGERED SUBSTORMS; FIELD; TURNINGS; OVAL</t>
  </si>
  <si>
    <t>WOS:000303215100010</t>
  </si>
  <si>
    <t>Causative discrepancies between summer and winter PC indices: physical implications</t>
  </si>
  <si>
    <t>FIELD-ALIGNED CURRENTS; INTERPLANETARY MAGNETIC-FIELD; SCALE BIRKELAND CURRENTS; DAYSIDE POLAR-REGION; ELECTRIC-FIELDS; NORTHWARD IMF; CONDUCTIVITIES; TRIAD</t>
  </si>
  <si>
    <t>WOS:000303215100011</t>
  </si>
  <si>
    <t>Monitoring of the auroral ionosphere</t>
  </si>
  <si>
    <t>ABSORPTION; MORPHOLOGY; RIOMETER</t>
  </si>
  <si>
    <t>WOS:000303215100012</t>
  </si>
  <si>
    <t>PC index as indicator of anomalous atmospheric processes in the winter Antarctica</t>
  </si>
  <si>
    <t>SOLAR-WIND VARIATIONS; COSMIC-RAY; POSSIBLE CONNECTIONS; FORBUSH-DECREASES; KATABATIC WIND; CLOUD COVERAGE; CLIMATE; TEMPERATURE; VARIABILITY; DYNAMICS</t>
  </si>
  <si>
    <t>WOS:000303215100013</t>
  </si>
  <si>
    <t>Cottrell, MT; Kirchman, DL</t>
  </si>
  <si>
    <t>Cottrell, Matthew T.; Kirchman, David L.</t>
  </si>
  <si>
    <t>Virus genes in Arctic marine bacteria identified by metagenomic analysis</t>
  </si>
  <si>
    <t>Bacterial metagenome; Viruses; Phages; Lysogeny; Arctic; Fosmid</t>
  </si>
  <si>
    <t>OCEAN SAMPLING EXPEDITION; GRAM-POSITIVE BACTERIA; OLIGONUCLEOTIDE PROBES; FRANKLIN BAY; BACTERIOPLANKTON; ABUNDANCE; ENVIRONMENT; ARCHAEA; WATERS; PROKARYOTES</t>
  </si>
  <si>
    <t>The relationship between viruses and prokaryotes in the Arctic appears to differ from that at lower latitudes because of low temperature and low abundances of viruses and bacteria, but the impact of viruses on Arctic bacterial genomes is unclear. In the present study, genome fragments of bacteria from the western Arctic Ocean were sequenced to explore the prevalence of virus genes in the genomes of bacteria inhabiting these perennially cold waters. Arctic bacterial genomes were sampled by cloning bacterial environmental DNA into a fosmid vector, and virus DNA within the bacterial genomes was identified using marine viral meta genomes to query the bacterial genomes using the basic local alignment search tool (BLAST). Virus DNA flanked by bacterial DNA was identified as being part of bacterial genomes. Virus DNA was similar to 3-fold more abundant in Arctic bacterial genomes than in bacterial genomes from Monterey Bay and similar to 10-fold more abundant than in bacterial genomes from Antarctic waters. Phage terminase genes involved in packaging DNA into phage capsids were the most abundant gene family identified in the Arctic bacterial genomes. Viruses appear to have a larger impact on prokaryotic communities in the Arctic than what might be inferred from the low bacterial and viral abundances in this high latitude ocean.</t>
  </si>
  <si>
    <t>[Cottrell, Matthew T.; Kirchman, David L.] Univ Delaware, Sch Marine Sci &amp; Policy, Lewes, DE 19958 USA</t>
  </si>
  <si>
    <t>Kirchman, DL (corresponding author), Univ Delaware, Sch Marine Sci &amp; Policy, 700 Pilottown Rd, Lewes, DE 19958 USA.</t>
  </si>
  <si>
    <t>US National Science Foundation [OPP 0124733, 0806295]; Gordon and Betty Moore Foundation</t>
  </si>
  <si>
    <t>US National Science Foundation(National Science Foundation (NSF)); Gordon and Betty Moore Foundation(Gordon and Betty Moore Foundation)</t>
  </si>
  <si>
    <t>We thank Liying Yu for technical assistance and colleagues in the Shelf Basin Interaction Program for help in sampling. Grants from the US National Science Foundation (OPP 0124733 and 0806295) and the Marine Microbial Genome Sequencing Project of the Gordon and Betty Moore Foundation supported this work.</t>
  </si>
  <si>
    <t>10.3354/ame01569</t>
  </si>
  <si>
    <t>950RB</t>
  </si>
  <si>
    <t>WOS:000304665300001</t>
  </si>
  <si>
    <t>Fernández, MS; Gasparini, Z</t>
  </si>
  <si>
    <t>Fernandez, Marta S.; Gasparini, Zulma</t>
  </si>
  <si>
    <t>Campanian and Maastrichtian mosasaurs from Antarctic Peninsula and Patagonia, Argentina</t>
  </si>
  <si>
    <t>BULLETIN DE LA SOCIETE GEOLOGIQUE DE FRANCE</t>
  </si>
  <si>
    <t>Mosasaurs; Campanian; Maastrichtian; Patagonia; Antarctic Peninsula</t>
  </si>
  <si>
    <t>NORTHERN PATAGONIA; NEW-ZEALAND; REPTILIA; TANIWHASAURUS; LAKUMASAURUS; PLESIOSAURS; SQUAMATA</t>
  </si>
  <si>
    <t>Mosasaurs from Antarctica have been recovered from the late Campanian and early and late Maastrichtian in James Ross, Vega and Seymour Islands within the James Ross basin. Tylosaurinae are represented by the late Campanian-early Maastrichtian remains of Taniwhasaurus antarcticus [Novas et al., 2002] and by late Maastrichtian Tylosaurinae indet.; Plioplatecarpinae by late Maastrichtian Plioplatecarpus sp.; and Mosasaurinae by late Maastrichtian Liodon sp., Mosasaurus sp. and Mosasaurinae indet. Materials from Cape Lamb, recently identified in the Museo de La Plata collection (Argentina), suggest that the stratigraphic range of Plioplatecarpus and Liodon within the James Ross basin extends back to the early Maastrichtian. At present, the holotype of T. antarcticus is the most complete specimen exhumed from Antarctica. In northern Patagonia, mosasaurs have been recovered from the late Maastrichtian of the Jaguel Formation, Neuquen basin. Patagonian mosasaurs are represented by Mosasaurus sp. aff M. hoffmanni, Plioplatecarpus sp., Prognathodon sp., and Mosasaurinae indet. Presently, no Tylosaurinae have been found in Patagonia. Both in the James Ross and Neuquen basins, Mosasaurus sp. and Plioplatecarpus sp. occurred close to the K/Pg. boundary.</t>
  </si>
  <si>
    <t>[Fernandez, Marta S.; Gasparini, Zulma] Museo La Plata, Dept Paleontol Vertebrados, RA-1900 La Plata, Argentina; [Fernandez, Marta S.; Gasparini, Zulma] Consejo Nacl Invest Cient &amp; Tecn, RA-1033 Buenos Aires, DF, Argentina</t>
  </si>
  <si>
    <t>Fernández, MS (corresponding author), Museo La Plata, Dept Paleontol Vertebrados, RA-1900 La Plata, Argentina.</t>
  </si>
  <si>
    <t>martafer@fcnym.unlp.edu.ar; zgaspari@fcnym.unlp.edu.ar</t>
  </si>
  <si>
    <t>Fernandez, Marta/0000-0001-6935-7575</t>
  </si>
  <si>
    <t>CNRS, France; Museum national d'Histoire naturelle de Paris; Agencia Nacional de Promocion Cientifica y Tecnologica [PICT 0261]; CONICET [PIP 0426]; Universidad Nacional de La Plata (Argentina) [N607]</t>
  </si>
  <si>
    <t>CNRS, France(Centre National de la Recherche Scientifique (CNRS)); Museum national d'Histoire naturelle de Paris; Agencia Nacional de Promocion Cientifica y Tecnologica(ANPCyTSpanish Government); CONICET(Consejo Nacional de Investigaciones Cientificas y Tecnicas (CONICET)); Universidad Nacional de La Plata (Argentina)(National University of La Plata)</t>
  </si>
  <si>
    <t>We would like to express our gratitude to Dr. N. Bardet, Dr. C. De Muizon (CNRS, France), Dr. P. Janvier (Museum national d'Histoire naturelle de Paris) for the invitation and financial support to attend the Third Mosasaur Meeting (Paris, 2010). This contribution is part of a research program on Mesozoic Marine Reptiles from Patagonia and Antarctica financially supported during the last decades by Agencia Nacional de Promocion Cientifica y Tecnologica (PICT 0261), CONICET (PIP 0426) and Universidad Nacional de La Plata (N607) (Argentina). We thank the staff members of the Instituto Antartico Argentino without whose support the research of Antarctic mosasaurs have been impossible. Dr. M. Reguero (Museo de La Plata, Argentina) for providing stratigraphic occurrences of Antarctic mosasaurs. We thank Dr. Reguero and Mr. J. Moly (Museo de La Plata) for field works in Antarctica. We are grateful to Mr. D. Cabaza and staff members of the Museo Municipal de Lamarque (Argentina) for collaboration in field works in Patagonia and access to the collection. Dr. J. E. Martin (Museum of Geology, South Dakota School of Mines and Technology, US); Dr. P. Godefroit (Institut Royal des Sciences Nature Iles de Belgique, Belgium); Dr. N. Bardet (Museum national d' Histoire naturelle de Paris, France) and Dr. F. Novas (Muse Argentino de Ciencias Naturales, Argentina) for access to the specimens under their care. C. Deschamps and L. Zampatti (Museo de La Plata) for collaboration in edition of the manuscript. We thank Dr. Maria E. Paramo and Dr. William B. Gallagher for useful comments on the manuscript.</t>
  </si>
  <si>
    <t>EDP SCIENCES S A</t>
  </si>
  <si>
    <t>LES ULIS CEDEX A</t>
  </si>
  <si>
    <t>17, AVE DU HOGGAR, PA COURTABOEUF, BP 112, F-91944 LES ULIS CEDEX A, FRANCE</t>
  </si>
  <si>
    <t>0037-9409</t>
  </si>
  <si>
    <t>1777-5817</t>
  </si>
  <si>
    <t>B SOC GEOL FR</t>
  </si>
  <si>
    <t>Bull. Soc. Geol. Fr.</t>
  </si>
  <si>
    <t>10.2113/gssgfbull.183.2.93</t>
  </si>
  <si>
    <t>948NC</t>
  </si>
  <si>
    <t>WOS:000304508900003</t>
  </si>
  <si>
    <t>Gómez-Gutiérrez, J; Martínez-Gómez, S; Robinson, CJ</t>
  </si>
  <si>
    <t>Gomez-Gutierrez, Jaime; Martinez-Gomez, Samuel; Robinson, Carlos J.</t>
  </si>
  <si>
    <t>Seasonal growth, molt, and egg production rates of Nyctiphanes simplex (Crustacea: Euphausiacea) juveniles and adults in the Gulf of California</t>
  </si>
  <si>
    <t>Nyctiphanes simplex; Biomass production; Body growth; Molts; Eggs; Gulf of California</t>
  </si>
  <si>
    <t>DAYTIME SURFACE SWARMS; BAJA-CALIFORNIA; ANTARCTIC KRILL; MARINE-PHYTOPLANKTON; SECONDARY PRODUCTION; POPULATION-DYNAMICS; BALLENAS CHANNEL; OREGON COAST; EL-NINO; PACIFICA</t>
  </si>
  <si>
    <t>Seasonal distribution of biomass and somatic growth, molt, and egg production rates of Nyctiphanes simplex were estimated in the Gulf of California (November 2005, January 2007 and July 2007) and associated with 12 environmental variables to define the conditions in which the higher biomass production rates occur. Daily growth rates, estimated from shipboard incubations, indicated that N. simplex did not grow or decreased in size in all the seasons, with higher proportions of animals in these 2 growth categories in July (21 and 52%, respectively) than in January (7 and 43%) and November (35 and 12%). Thus, the proportion of individuals that grew was higher in November (53%) and January (50%) than in July (27%). Mean juvenile and adult inter-molt period (IMP) based on direct measurements was 5 d in January (range: 3 to 7 d), 3.8 d in July (2 to 8 d) and 4.4 d (3 to 7 d) for September to October 2010 (used as proxy for November, since not enough IMP data were available for that month). Calculations based on the inverse molting rate method estimated higher mean IMP (6.7 d; range 4 to 60 d). N. simplex mean (+/-SD) juvenile and adult daily total biomass production rate was 0.16 +/- 0.13 mg DW m(-3) d(-1) (DW = dry weight) and mean annual integrated production was 71 +/- 58 mg DW m(-3) yr(-1). The greatest contribution to N. simplex biomass production was through somatic growth (46%), followed by molts (32%) and eggs (22%). N. simplex had high biomass and biomass production rates mostly in regions with &lt;100 m seafloor depth, in the northeast Gulf during November, northwest during January, and along the central east coast of the Gulf during July, associated with upwelling conditions that geographically change with winter anticyclonic and summer cyclonic surface circulation. Thus, numerous predators that energetically depend on this prey must seasonally change their distribution pattern to detect the spatially variable centers of N. simplex biomass production in the Gulf of California.</t>
  </si>
  <si>
    <t>[Gomez-Gutierrez, Jaime; Martinez-Gomez, Samuel] Inst Politecn Nacl, Ctr Interdisciplinario Ciencias Marinas, Dept Plancton &amp; Ecol Marina, La Paz 23096, Baja California, Mexico; [Robinson, Carlos J.] Univ Nacl Autonoma Mexico, Inst Ciencias Mar &amp; Limnol, Lab Ecol Pesquerias, Mexico City 04510, DF, Mexico</t>
  </si>
  <si>
    <t>Instituto Politecnico Nacional - Mexico; Universidad Nacional Autonoma de Mexico</t>
  </si>
  <si>
    <t>Gómez-Gutiérrez, J (corresponding author), Inst Politecn Nacl, Ctr Interdisciplinario Ciencias Marinas, Dept Plancton &amp; Ecol Marina, Av IPN S-N, La Paz 23096, Baja California, Mexico.</t>
  </si>
  <si>
    <t>jagomezg@ipn.mx</t>
  </si>
  <si>
    <t>Centro Interdisciplinario de Ciencias Marinas (Instituto Politecnico Nacional, SIP); Consejo Nacional de Ciencia y Tecnologia [FOSEMARNAT-2004-01-C01-144, SAGARPA S007-2005-1-11717]; Instituto de Ciencias del Mar y Limnologia (UNAM, PAPIIT ) [IN219502, IN210622]; COFAA-IPN; EDI-IPN</t>
  </si>
  <si>
    <t>Centro Interdisciplinario de Ciencias Marinas (Instituto Politecnico Nacional, SIP); Consejo Nacional de Ciencia y Tecnologia(Consejo Nacional de Ciencia y Tecnologia (CONACyT)); Instituto de Ciencias del Mar y Limnologia (UNAM, PAPIIT ); COFAA-IPN; EDI-IPN</t>
  </si>
  <si>
    <t>J.G.G. dedicates this publication to Marnie Knight (Scripps Institute of Oceanography) for her invaluable friendship, guidance, and mentoring since 1990. She was an outstanding example of dedication on investigation of euphausiid larvae taxonomy, a kind person, and a dearest friend. We thank J. Del Angel-Rodriguez for his help in the estimation of study area using ImageJ software and his valuable help onboard. We also thank the crew, students (N. Tremblay, F. Dominguez, M. Aguilar, O. Angulo-Campillo), and researchers that participated on the RV 'El Puma' for their cooperation in collecting acoustic and zooplankton samples. This work was funded by the Centro Interdisciplinario de Ciencias Marinas (Instituto Politecnico Nacional, SIP 2005-2010 research projects), Consejo Nacional de Ciencia y Tecnologia (FOSEMARNAT-2004-01-C01-144, SAGARPA S007-2005-1-11717), and Instituto de Ciencias del Mar y Limnologia (UNAM, PAPIIT IN219502, IN210622). J.G.G. and C.J.R. are SNI fellows, and J.G.G. is supported by COFAA-IPN and EDI-IPN grants. We deeply thank 5 anonymous referees for the critical and insightful comments that significantly improved our manuscript.</t>
  </si>
  <si>
    <t>10.3354/meps09631</t>
  </si>
  <si>
    <t>949WI</t>
  </si>
  <si>
    <t>WOS:000304607100012</t>
  </si>
  <si>
    <t>Benoit-Bird, KJ; Gilly, WF</t>
  </si>
  <si>
    <t>Benoit-Bird, Kelly J.; Gilly, William F.</t>
  </si>
  <si>
    <t>Coordinated nocturnal behavior of foraging jumbo squid Dosidicus gigas</t>
  </si>
  <si>
    <t>Foraging; Behavior; Squid; Group feeding; Tracking; Schooling; Acoustics; Gulf of California</t>
  </si>
  <si>
    <t>EUPHAUSIA-SUPERBA; ANTARCTIC KRILL; FISH; SCHOOLS; LOLIGO; SIZE; AGGREGATIONS</t>
  </si>
  <si>
    <t>We used split-beam acoustic techniques to observe free-swimming of jumbo squid Dosidicus gigas during 4 cruises in the Gulf of California. Four-dimensional spatio-temporal data revealed that at night in shallow water, jumbo squid were using ascending, spiral-like swimming paths to emerge from extremely dense aggregations, and were likely foraging on potential prey that were found overlapping in depth with their tracks. Within small regions at the vertices of these swimming paths, individual squid swam back and forth repetitively before continuing their ascent. The behaviors observed in these high-use regions, described using density kernel statistics, are consistent with other observations of prey capture behavior by squid. Often, the observed swimming paths of individual squid were found to parallel those of other squid in depth over time. In addition to being coordinated in depth, movements of individuals within a group of up to 40 individuals were coordinated in horizontal space so that high-use areas were overlapping in horizontal space but separated vertically. The resulting groups of tracks look like interwoven multiple helices anchored at their vertices by bouts of presumed feeding. These highly polarized, complex, coordinated movement patterns constitute schooling. Polarization in these groups did not break down during apparent feeding events as has been observed in other species. In fact, the feeding events themselves may define the anchor for group behavior. Schooling of jumbo squid school will likely be critical in understanding many aspects of their biology.</t>
  </si>
  <si>
    <t>[Benoit-Bird, Kelly J.] Oregon State Univ, Coll Ocean &amp; Atmospher Sci, Corvallis, OR 97331 USA; [Gilly, William F.] Stanford Univ, Dept Biol Sci, Hopkins Marine Stn, Pacific Grove, CA 93950 USA</t>
  </si>
  <si>
    <t>Oregon State University; Stanford University</t>
  </si>
  <si>
    <t>Benoit-Bird, KJ (corresponding author), Oregon State Univ, Coll Ocean &amp; Atmospher Sci, 104 COAS Adm Bldg, Corvallis, OR 97331 USA.</t>
  </si>
  <si>
    <t>kbenoit@coas.oregonstate.edu</t>
  </si>
  <si>
    <t>Benoit-Bird, Kelly J./0000-0002-5868-0390</t>
  </si>
  <si>
    <t>National Science Foundation [OCE0851239, OCE0526640/0850839]; David and Lucile Packard Foundation; Division Of Ocean Sciences; Directorate For Geosciences [0850839] Funding Source: National Science Foundation; Division Of Ocean Sciences; Directorate For Geosciences [0851239] Funding Source: National Science Foundation</t>
  </si>
  <si>
    <t>National Science Foundation(National Science Foundation (NSF)); David and Lucile Packard Foundation(The David &amp; Lucile Packard Foundation); Division Of Ocean Sciences; Directorate For Geosciences(National Science Foundation (NSF)NSF - Directorate for Geosciences (GEO)); Division Of Ocean Sciences; Directorate For Geosciences(National Science Foundation (NSF)NSF - Directorate for Geosciences (GEO))</t>
  </si>
  <si>
    <t>W. Au, L. Bell, A. Booth, S. Bush, D. Cade, T. Chesney, P. Daniel, A. Fleishman, S. Hafker, E. Hogan, L. Irvine, N. McIntosh, H. Rosen, D. Shulman, J. Schneider, A. Stoehr, K. Storey, T. Towanda, T. Uyeno, B. Velleco, C. Waluk, and I. Wilson provided assistance in the field. U. Markaida and J. Ramos made determinations of sexual maturity stage and stomach contents. C. Waluk conducted preliminary acoustic analyses. A. Kaltenberg provided constructive feedback on an earlier draft of the manuscript. B. Anderson-Becktold, C. Pekar, and C. Salinas and his students from Centro de Investigaciones Biologicas del Noroeste (CIBNOR) provided logistical support. B. Mate and the Oregon State University Marine Mammal Institute provided vessel time and support for the 2007 cruise while Captain B. Pedro and Engineer W. Schlecter provided assistance both in preparation for and during that cruise. The captains and crews of the RV 'BIP XII' and RV 'New Horizon' provided valuable support during later cruises. B. Seibel was a collaborator and Chief Scientist on the 2010 and 2011 cruises. This work was supported by grants from the National Science Foundation (OCE0851239 to K.J.B.-B. and OCE0526640/0850839 to W.F.G.) and the David and Lucile Packard Foundation.</t>
  </si>
  <si>
    <t>10.3354/meps09664</t>
  </si>
  <si>
    <t>WOS:000304607100014</t>
  </si>
  <si>
    <t>Hückstädt, LA; Burns, JM; Koch, PL; McDonald, BI; Crocker, DE; Costa, DP</t>
  </si>
  <si>
    <t>Hueckstaedt, L. A.; Burns, J. M.; Koch, P. L.; McDonald, B. I.; Crocker, D. E.; Costa, D. P.</t>
  </si>
  <si>
    <t>Diet of a specialist in a changing environment: the crabeater seal along the western Antarctic Peninsula</t>
  </si>
  <si>
    <t>Lobodon carcinophaga; Euphausia superba; Antarctic fish; Stable isotopes; Diet; Specialization</t>
  </si>
  <si>
    <t>KRILL EUPHAUSIA-SUPERBA; NITROGEN ISOTOPE RATIOS; SOUTH SHETLAND ISLANDS; STABLE-ISOTOPES; CLIMATE-CHANGE; INDIVIDUAL SPECIALIZATION; FORAGING AREAS; FOOD-WEB; HABITAT SELECTION; OCEAN ECOSYSTEMS</t>
  </si>
  <si>
    <t>Although crabeater seals Lobodon carcinophaga are among the most abundant consumers of Antarctic krill Euphausia superba, their diet has rarely been studied throughout most of the species' range. Using delta C-13 and delta N-15 values in vibrissae from 53 seals, we examined the trophic ecology of crabeater seals from the western Antarctic Peninsula (wAP) in 2001, 2002 and 2007. We observed a wide variability in individual seal mean delta C-13 values, which ranged from -19.8 parts per thousand to -24.9 parts per thousand, whereas mean delta N-15 value varied from 5.4 parts per thousand to 7.9 parts per thousand. We identified a positive significant effect of seal mass on delta C-13 values, as well as a significant seasonal effect (higher delta C-13 values in austral winter), which likely resulted from changes in the composition of the community of primary producers. delta N-15 values for crabeater seals, on the other hand, were affected by year, with individuals in 2002 having higher delta N-15 values. The median (with range) contribution of Antarctic krill to the diet of crabeater seals, as estimated using the Bayesian mixing model MixSIR, was 87.9% (81.2 to 94.8%). During 2002, krill biomass in the wAP was at one of its lowest levels during the last 2 decades, coinciding with a slight reduction in the importance of krill for the diet of the seals that year, which reached 84.5% (75.1 to 92.4%). Despite the relative plasticity observed in the diet of crabeater seals, it is unknown to what extent, and at what rate, crabeater seals might be able to switch to a more generalized diet, which might impact their fitness, given the ongoing environmental change along the wAP.</t>
  </si>
  <si>
    <t>[Hueckstaedt, L. A.] Univ Calif Santa Cruz, Ocean Sci Dept, Santa Cruz, CA 95060 USA; [Burns, J. M.] Univ Alaska Anchorage, Dept Biol Sci, Anchorage, AK 99508 USA; [Koch, P. L.] Univ Calif Santa Cruz, Dept Earth &amp; Planetary Sci, Santa Cruz, CA 95064 USA; [McDonald, B. I.] Scripps Inst Oceanog, Ctr Marine Biotechnol &amp; Biomed, La Jolla, CA 92037 USA; [Crocker, D. E.] Sonoma State Univ, Dept Biol, Rohnert Pk, CA 94928 USA; [Costa, D. P.] Univ Calif Santa Cruz, Dept Ecol &amp; Evolutionary Biol, Santa Cruz, CA 95060 USA</t>
  </si>
  <si>
    <t>University of California System; University of California Santa Cruz; University of Alaska System; University of Alaska Anchorage; University of California System; University of California Santa Cruz; University of California System; University of California San Diego; Scripps Institution of Oceanography; California State University System; Sonoma State University; University of California System; University of California Santa Cruz</t>
  </si>
  <si>
    <t>Hückstädt, LA (corresponding author), Univ Calif Santa Cruz, Ocean Sci Dept, Santa Cruz, CA 95060 USA.</t>
  </si>
  <si>
    <t>lahuckst@ucsc.edu</t>
  </si>
  <si>
    <t>Huckstadt, Luis/JNR-7637-2023; Huckstadt, Luis A./J-8532-2019; Burns, Jennifer M/C-4159-2013; Carlos, Universidade Federal de São/W-8832-2019; McDonald, Birgitte I/I-3602-2019; Burns, Jennifer/AAC-8243-2019; Costa, Daniel Paul/E-2616-2013</t>
  </si>
  <si>
    <t>Huckstadt, Luis A./0000-0002-2453-7350; Carlos, Universidade Federal de São/0000-0002-0334-3899; McDonald, Birgitte I/0000-0001-5028-066X; Burns, Jennifer/0000-0001-9652-2943; Costa, Daniel Paul/0000-0002-0233-5782</t>
  </si>
  <si>
    <t>National Science Foundation through Office of Polar [ANT-0440687, 0840375, 0523332, 0838937]; National Undersea Research Program; Office of Naval Research; Marine Mammal Commission; CONICYT-Fulbright (Chile); NSF; EPA STAR; Directorate For Geosciences [0838937] Funding Source: National Science Foundation; Office of Polar Programs (OPP) [0838937] Funding Source: National Science Foundation; Office of Polar Programs (OPP); Directorate For Geosciences [0523332, 0840375] Funding Source: National Science Foundation</t>
  </si>
  <si>
    <t>National Science Foundation through Office of Polar; National Undersea Research Program; Office of Naval Research(Office of Naval Research); Marine Mammal Commission; CONICYT-Fulbright (Chile); NSF(National Science Foundation (NSF)); EPA STAR(United States Environmental Protection Agency); Directorate For Geosciences(National Science Foundation (NSF)NSF - Directorate for Geosciences (GEO)); Office of Polar Programs (OPP)(National Science Foundation (NSF)NSF - Directorate for Geosciences (GEO)); Office of Polar Programs (OPP); Directorate For Geosciences(National Science Foundation (NSF)NSF - Directorate for Geosciences (GEO))</t>
  </si>
  <si>
    <t>We express our gratitude towards J. Barnes, B. Chittick, M. Fedak, A. Friedlander, N. Gales, M. Goebel, T. Goldstein, M. Gray, M. Hindell, C. Kuhn, P. Robinson, S. Shaffer, D. Shuman, S. Simmons, S. Trumble and S. Villegas-Amtmann for their help in the field. Logistic and scientific support was provided by SO GLOBEC, RV 'Lawrence M. Gould', Palmer Station (NSF) and Rothera Station (BAS). Thanks to D. Andreasen, B. Walker, J. Lehman and L. Roland for their assistance in the analysis of samples. M. Fowler and 4 anonymous reviewers made suggestions that greatly contributed to improve the manuscript. This research was supported by the National Science Foundation through the Office of Polar Programs (grants ANT-0440687, 0840375, 0523332, and 0838937), National Undersea Research Program, National Oceanographic Partnership Program through the Office of Naval Research, and the Marine Mammal Commission. L.A.H. was supported by CONICYT-Fulbright (Chile). B.I.M. was supported by a NSF predoctoral fellowship and EPA STAR fellowship. All animal captures were authorized under National Marine Fisheries Service permits nos. 87-1593 and 87-1851-00, and approved by the Institutional Animal Care and Use Committee (IACUC) at University of California Santa Cruz, and the University of Alaska, Anchorage. This is US GLOBEC contribution no. 711.</t>
  </si>
  <si>
    <t>10.3354/meps09601</t>
  </si>
  <si>
    <t>WOS:000304607100019</t>
  </si>
  <si>
    <t>Lynch, HJ; Fagan, WF; Naveen, R; Trivelpiece, SG; Trivelpiece, WZ</t>
  </si>
  <si>
    <t>Lynch, Heather J.; Fagan, William F.; Naveen, Ron; Trivelpiece, Susan G.; Trivelpiece, Wayne Z.</t>
  </si>
  <si>
    <t>Differential advancement of breeding phenology in response to climate may alter staggered breeding among sympatric pygoscelid penguins</t>
  </si>
  <si>
    <t>Breeding phenology; Climate change; Pygoscelid; Breeding asynchrony; Adelie penguin; Chinstrap penguin; Gentoo penguin; Interannual variability</t>
  </si>
  <si>
    <t>NEST-SITE COMPETITION; ANTARCTIC PENINSULA; CHINSTRAP PENGUINS; ECOLOGICAL SEGREGATION; GEOGRAPHICAL VARIATION; PHENOTYPIC PLASTICITY; REPRODUCTIVE SUCCESS; ENVIRONMENTAL-CHANGE; WINTER DISTRIBUTION; SOUTH SHETLAND</t>
  </si>
  <si>
    <t>Numerous studies link climate change with advancing breeding phenology in birds, but less frequently considered are the joint impacts on sympatrically breeding communities of birds. We used data on clutch initiation dates (CID) from 4 sites along the Western Antarctic Peninsula for 3 congeneric and sympatrically breeding penguin species (Adelie Pygoscelis adeliae, gentoo P. papua and chinstrap P. antarcticus) to understand what factors correlate with the phenology and synchrony of breeding and how these factors might change with the recent warming experienced in this region. We found that clutch initiation was most significantly correlated with October air temperatures such that all 3 species advanced clutch initiation to varying degrees in warmer years. Gentoo penguins were able to advance CID almost twice as much (3.2 d degrees C-1) as Adelie (1.7 d degrees C-1) and chinstrap penguins (1.8 d degrees C-1). Beyond the variation explained by mean October temperatures, there was an unexplained trend to earlier clutch initiation of 0.15 +/- 0.05 d yr(-1). Greater plasticity in gentoo breeding phenology compressed the mean interval between Adelie and gentoo breeding in warm years and this may increase competition for nesting space in mixed colonies. Our results suggest that differential responses in breeding phenology to changing temperatures represent an additional mechanism by which climate change may affect competitive interactions and, consequently, pygoscelid penguins on the Antarctic Peninsula.</t>
  </si>
  <si>
    <t>[Lynch, Heather J.; Fagan, William F.] Univ Maryland, Dept Biol, College Pk, MD 20742 USA; [Naveen, Ron] Oceanites Inc, Chevy Chase, MD 20825 USA; [Trivelpiece, Susan G.; Trivelpiece, Wayne Z.] NOAA, Antarctic Ecosyst Res Div, SWFSC, La Jolla, CA 92038 USA</t>
  </si>
  <si>
    <t>University System of Maryland; University of Maryland College Park; National Oceanic Atmospheric Admin (NOAA) - USA</t>
  </si>
  <si>
    <t>Lynch, HJ (corresponding author), SUNY Stony Brook, Dept Ecol &amp; Evolut, Stony Brook, NY 11794 USA.</t>
  </si>
  <si>
    <t>hlynch@life.bio.sunysb.edu</t>
  </si>
  <si>
    <t>US National Science Foundation Office of Polar Programs [NSF/OPP-0739515]; Directorate For Geosciences; Office of Polar Programs (OPP) [0739515] Funding Source: National Science Foundation</t>
  </si>
  <si>
    <t>US National Science Foundation Office of Polar Programs(National Science Foundation (NSF)); Directorate For Geosciences; Office of Polar Programs (OPP)(National Science Foundation (NSF)NSF - Directorate for Geosciences (GEO))</t>
  </si>
  <si>
    <t>H.J.L., W. F. F. and R.N. gratefully acknowledge assistance from the US National Science Foundation Office of Polar Programs (award no. NSF/OPP-0739515). Data from the Palmer LTER data archive were supported by Office of Polar Programs, NSF/OPP-9011927, NSF/OPP-9632763 and NSF/OPP-0217282.</t>
  </si>
  <si>
    <t>10.3354/meps09252</t>
  </si>
  <si>
    <t>949VW</t>
  </si>
  <si>
    <t>WOS:000304605500011</t>
  </si>
  <si>
    <t>Levermann, A; Albrecht, T; Winkelmann, R; Martin, MA; Haseloff, M; Joughin, I</t>
  </si>
  <si>
    <t>Levermann, A.; Albrecht, T.; Winkelmann, R.; Martin, M. A.; Haseloff, M.; Joughin, I.</t>
  </si>
  <si>
    <t>Kinematic first-order calving law implies potential for abrupt ice-shelf retreat</t>
  </si>
  <si>
    <t>MODEL PISM-PIK; SEA-LEVEL RISE; ANTARCTIC PENINSULA; COLLAPSE; SHEET; PROPAGATION; STABILITY; FRACTURE; SYSTEM; FLOW</t>
  </si>
  <si>
    <t>Recently observed large-scale disintegration of Antarctic ice shelves has moved their fronts closer towards grounded ice. In response, ice-sheet discharge into the ocean has accelerated, contributing to global sea-level rise and emphasizing the importance of calving-front dynamics. The position of the ice front strongly influences the stress field within the entire sheet-shelf-system and thereby the mass flow across the grounding line. While theories for an advance of the ice-front are readily available, no general rule exists for its retreat, making it difficult to incorporate the retreat in predictive models. Here we extract the first-order large-scale kinematic contribution to calving which is consistent with large-scale observation. We emphasize that the proposed equation does not constitute a comprehensive calving law but represents the first-order kinematic contribution which can and should be complemented by higher order contributions as well as the influence of potentially heterogeneous material properties of the ice. When applied as a calving law, the equation naturally incorporates the stabilizing effect of pinning points and inhibits ice shelf growth outside of embayments. It depends only on local ice properties which are, however, determined by the full topography of the ice shelf. In numerical simulations the parameterization reproduces multiple stable fronts as observed for the Larsen A and B Ice Shelves including abrupt transitions between them which may be caused by localized ice weaknesses. We also find multiple stable states of the Ross Ice Shelf at the gateway of the West Antarctic Ice Sheet with back stresses onto the sheet reduced by up to 90 % compared to the present state.</t>
  </si>
  <si>
    <t>[Levermann, A.; Albrecht, T.; Winkelmann, R.; Martin, M. A.; Haseloff, M.] Potsdam Inst Climate Impact Res, Potsdam, Germany; [Levermann, A.; Albrecht, T.; Winkelmann, R.; Martin, M. A.] Univ Potsdam, Inst Phys, Potsdam, Germany; [Haseloff, M.] Univ British Columbia, Vancouver, BC V5Z 1M9, Canada; [Joughin, I.] Univ Washington, APL, Polar Sci Ctr, Seattle, WA 98195 USA</t>
  </si>
  <si>
    <t>Potsdam Institut fur Klimafolgenforschung; University of Potsdam; University of British Columbia; University of Washington; University of Washington Seattle</t>
  </si>
  <si>
    <t>Levermann, A (corresponding author), Potsdam Inst Climate Impact Res, Potsdam, Germany.</t>
  </si>
  <si>
    <t>anders.levermann@pik-potsdam.de</t>
  </si>
  <si>
    <t>Levermann, Anders/G-4666-2011; Martin, Maria/IUN-0219-2023; Joughin, Ian R/A-2998-2008; Joughin, Ian/AAR-7778-2021; albrecht, torsten/J-8259-2019</t>
  </si>
  <si>
    <t>Levermann, Anders/0000-0003-4432-4704; Joughin, Ian R/0000-0001-6229-679X; Joughin, Ian/0000-0001-6229-679X; albrecht, torsten/0000-0001-7459-2860; Winkelmann, Ricarda/0000-0003-1248-3217; Haseloff, Marianne/0000-0002-6576-5384</t>
  </si>
  <si>
    <t>German National Academic Foundation; German Leibniz association; University of British Columbia</t>
  </si>
  <si>
    <t>We would like to thank Ed Bueler and Constantine Khroulev for invaluable help with the PISM model and David M. Holland for useful comments on the work. The study was funded by the German National Academic Foundation, the German Leibniz association and a doctoral fellowship of the University of British Columbia.</t>
  </si>
  <si>
    <t>10.5194/tc-6-273-2012</t>
  </si>
  <si>
    <t>942QN</t>
  </si>
  <si>
    <t>WOS:000304062100003</t>
  </si>
  <si>
    <t>Fernandoy, F; Meyer, H; Tonelli, M</t>
  </si>
  <si>
    <t>Fernandoy, F.; Meyer, H.; Tonelli, M.</t>
  </si>
  <si>
    <t>Stable water isotopes of precipitation and firn cores from the northern Antarctic Peninsula region as a proxy for climate reconstruction</t>
  </si>
  <si>
    <t>KING-GEORGE-ISLAND; ICE CAP; SURFACE PRESSURE; ANNULAR MODE; SEA; TEMPERATURE; REANALYSIS; DEUTERIUM; HYDROGEN; TRENDS</t>
  </si>
  <si>
    <t>In order to investigate the climate variability in the northern Antarctic Peninsula region, this paper focuses on the relationship between stable isotope content of precipitation and firn, and main meteorological variables (air temperature, relative humidity, sea surface temperature, and sea ice extent). Between 2008 and 2010, we collected precipitation samples and retrieved firn cores from several key sites in this region. We conclude that the deuterium excess oscillation represents a robust indicator of the meteorological variability on a seasonal to sub-seasonal scale. Low absolute deuterium excess values and the synchronous variation of both deuterium excess and air temperature imply that the evaporation of moisture occurs in the adjacent Southern Ocean. The delta O-18-air temperature relationship is complicated and significant only at a (multi)seasonal scale. Backward trajectory calculations show that air-parcels arriving at the region during precipitation events predominantly originate at the South Pacific Ocean and Bellingshausen Sea. These investigations will be used as a calibration for ongoing and future research in the area, suggesting that appropriate locations for future ice core research are located above 600 m a.s.l. We selected the Plateau Laclavere, Antarctic Peninsula as the most promising site for a deeper drilling campaign.</t>
  </si>
  <si>
    <t>[Fernandoy, F.; Meyer, H.] Helmholtz Assoc, Fdn Alfred Wegener Inst Polar &amp; Marine Res, Res Unit Potsdam, Potsdam, Germany; [Tonelli, M.] Univ Sao Paulo, Oceanog Inst, BR-05508 Sao Paulo, Brazil</t>
  </si>
  <si>
    <t>Helmholtz Association; Alfred Wegener Institute, Helmholtz Centre for Polar &amp; Marine Research; Universidade de Sao Paulo</t>
  </si>
  <si>
    <t>Fernandoy, F (corresponding author), Helmholtz Assoc, Fdn Alfred Wegener Inst Polar &amp; Marine Res, Res Unit Potsdam, Potsdam, Germany.</t>
  </si>
  <si>
    <t>ffernandoy@gmail.com</t>
  </si>
  <si>
    <t>Meyer, Hanno/AAQ-4260-2021; Tonelli, Marcos/GYE-2675-2022</t>
  </si>
  <si>
    <t>Meyer, Hanno/0000-0003-4129-4706; Fernandoy, Francisco/0000-0003-2252-7746</t>
  </si>
  <si>
    <t>DFG [444CHL-113/40/0-1]; University of Concepcion (Chile) DIUC; German Academic Exchange Service (DAAD)</t>
  </si>
  <si>
    <t>DFG(German Research Foundation (DFG)); University of Concepcion (Chile) DIUC; German Academic Exchange Service (DAAD)(Deutscher Akademischer Austausch Dienst (DAAD))</t>
  </si>
  <si>
    <t>We thank the generous scientific and logistic support of several institutions to this investigation. The Instituto Antartico Chileno (INACH) is specially acknowledged for their support in the field, the Chilean Air Force, Chilean Army, and the Chilean Meteorological Service (DMC) are thanked for their logistical organization and effort, as well as the Uruguayan station Artigas and the Instituto Antartico Uruguayo (IAU). We would like to express our gratitude to M. Ruckamp, S. Suckro, T. Kleiner, J. Sobiech, N. Blindow and C. Cardenas, as well as the crew of the stations for their collaboration in the field work. Cindy Springer and Lutz Schonicke are thanked for the measurements carried out in the laboratory, as well as Mar Cartro for helping to process the data. Financial support was obtained from the DFG Project 444CHL-113/40/0-1, and the University of Concepcion (Chile) DIUC internal scholarship. The PhD fellowship awarded to F. Fernandoy by the German Academic Exchange Service (DAAD) is gratefully acknowledged. We thank finally H. Oerter, T. Opel, M. Schwikowski, E. Thomas and G. Casassa for their constructive comments to this manuscript.</t>
  </si>
  <si>
    <t>10.5194/tc-6-313-2012</t>
  </si>
  <si>
    <t>WOS:000304062100006</t>
  </si>
  <si>
    <t>Mahalinganathan, K; Thamban, M; Laluraj, CM; Redkar, BL</t>
  </si>
  <si>
    <t>Mahalinganathan, K.; Thamban, M.; Laluraj, C. M.; Redkar, B. L.</t>
  </si>
  <si>
    <t>Relation between surface topography and sea-salt snow chemistry from Princess Elizabeth Land, East Antarctica</t>
  </si>
  <si>
    <t>DRONNING-MAUD-LAND; C ICE CORE; SPATIAL VARIABILITY; DUMONT-DURVILLE; FROST FLOWERS; PLATEAU AREAS; FIRN CORE; COASTAL; AEROSOL; ACCUMULATION</t>
  </si>
  <si>
    <t>Previous studies on Antarctic snow have established an unambiguous correlation between variability of sea-salt records and site specific features like elevation and proximity to the sea. On the other hand, variations of Cl-/Na+ ratios in snow have been attributed to the reaction mechanisms involving atmospheric acids. In the present study, the annual records of Na+, Cl- and SO42- were investigated using snow cores along a 180 km coast to inland transect in Princess Elizabeth Land, East Antarctica. Exceptionally high Na+ concentrations and large variations in Cl-/Na+ ratios were observed up to 50 km (similar to 1100 m elevation) of the transect. The steepest slope in the entire transect (49.3 m km(-1)) was between 20 and 30 km and the sea-salt records in snow from this area revealed extensive modifications, with Cl-/Na+ ratios as low as 0.2. Statistical analysis showed a strong association between the slope and variations in Cl-/Na+ ratios along the transect (r = -0.676, 99% confidence level). While distance from the coast accounted for some variability, the altitude by itself has no significant control over the sea-salt ion variability. However, the steep slopes influence the deposition of sea-salt aerosols in snow. The wind redistribution of snow due to the steep slopes on the coastal escarpment increases the concentration of Na+, resulting in a low Cl-/Na+ ratios. We propose that the slope variations in the coastal regions of Antarctica could significantly influence the sea-salt chemistry of snow.</t>
  </si>
  <si>
    <t>[Mahalinganathan, K.; Thamban, M.; Laluraj, C. M.; Redkar, B. L.] Natl Ctr Antarctic &amp; Ocean Res, Vasco Da Gama 403804, Goa, India</t>
  </si>
  <si>
    <t>Mahalinganathan, K (corresponding author), Natl Ctr Antarctic &amp; Ocean Res, Vasco Da Gama 403804, Goa, India.</t>
  </si>
  <si>
    <t>maha@ncaor.org</t>
  </si>
  <si>
    <t>Kanthanathan, Mahalinganathan/0000-0003-3407-3972; Thamban, Meloth/0000-0003-3379-8189</t>
  </si>
  <si>
    <t>Ministry of Earth Sciences; 28th Indian Scientific Expedition to Antarctica</t>
  </si>
  <si>
    <t>We thank the Director, National Centre for Antarctic and Ocean Research for his encouragement and Ministry of Earth Sciences for financial support. We also thank C. T. Achuthankutty, K. Satheesan and two anonymous reviewers for providing useful suggestions and improving the quality of the manuscript. We thank S. Karunakaran for his continuous support with the ArcGIS software and maps. We are grateful for the support from the members and crew of the 28th Indian Scientific Expedition to Antarctica. We thank Australian Antarctic Division for providing the 2008 wind data. This is NCAOR contribution number 09/2012.</t>
  </si>
  <si>
    <t>10.5194/tc-6-505-2012</t>
  </si>
  <si>
    <t>WOS:000304062100020</t>
  </si>
  <si>
    <t>Achtert, P; Andersson, MK; Khosrawi, F; Gumbel, J</t>
  </si>
  <si>
    <t>Achtert, P.; Andersson, M. Karlsson; Khosrawi, F.; Gumbel, J.</t>
  </si>
  <si>
    <t>On the linkage between tropospheric and Polar Stratospheric clouds in the Arctic as observed by space-borne lidar</t>
  </si>
  <si>
    <t>OZONE DEPLETION; LONG-TERM; LIQUID; NAT; CLIMATOLOGY; SIMULATIONS; PARTICLES; ALGORITHM; AEROSOL; GROWTH</t>
  </si>
  <si>
    <t>The type of Polar stratospheric clouds (PSCs) as well as their temporal and spatial extent are important for the occurrence of heterogeneous reactions in the polar stratosphere. The formation of PSCs depends strongly on temperature. However, the mechanisms of the formation of solid PSCs are still poorly understood. Recent satellite studies of Antarctic PSCs have shown that their formation can be associated with deep-tropospheric clouds which have the ability to cool the lower stratosphere radiatively and/or adiabatically. In the present study, lidar measurements aboard the Cloud-Aerosol Lidar and Infrared Pathfinder Satellite Observation (CALIPSO) satellite were used to investigate whether the formation of Arctic PSCs can be associated with deep-tropospheric clouds as well. Deep-tropospheric cloud systems have a vertical extent of more than 6.5 km with a cloud top height above 7 km altitude. PSCs observed by CALIPSO during the Arctic winter 2007/2008 were classified according to their type (STS, NAT, or ice) and to the kind of underlying tropospheric clouds. Our analysis reveals that 172 out of 211 observed PSCs occurred in connection with tropospheric clouds. 72% of these 172 observed PSCs occurred above deep-tropospheric clouds. We also find that the type of PSC seems to be connected to the characteristics of the underlying tropospheric cloud system. During the Arctic winter 2007/2008 PSCs consisting of ice were mainly observed in connection with deep-tropospheric cloud systems while no ice PSC was detected above cirrus. Furthermore, we find no correlation between the occurrence of PSCs and the top temperature of tropospheric clouds. Thus, our findings suggest that Arctic PSC formation is connected to adiabatice cooling, i.e. dynamic effects rather than radiative cooling.</t>
  </si>
  <si>
    <t>[Achtert, P.; Andersson, M. Karlsson; Khosrawi, F.; Gumbel, J.] Stockholm Univ, Dept Meteorol, S-10691 Stockholm, Sweden</t>
  </si>
  <si>
    <t>Stockholm University</t>
  </si>
  <si>
    <t>Achtert, P (corresponding author), Stockholm Univ, Dept Meteorol, S-10691 Stockholm, Sweden.</t>
  </si>
  <si>
    <t>peggy@misu.su.se</t>
  </si>
  <si>
    <t>Khosrawi, Farahnaz/0000-0002-0261-7253; Achtert, Peggy/0000-0003-0156-5276</t>
  </si>
  <si>
    <t>10.5194/acp-12-3791-2012</t>
  </si>
  <si>
    <t>942ON</t>
  </si>
  <si>
    <t>WOS:000304054800016</t>
  </si>
  <si>
    <t>Bisiaux, MM; Edwards, R; McConnell, JR; Albert, MR; Anschütz, H; Neumann, TA; Isaksson, E; Penner, JE</t>
  </si>
  <si>
    <t>Bisiaux, M. M.; Edwards, R.; McConnell, J. R.; Albert, M. R.; Anschutz, H.; Neumann, T. A.; Isaksson, E.; Penner, J. E.</t>
  </si>
  <si>
    <t>Variability of black carbon deposition to the East Antarctic Plateau, 1800-2000 AD</t>
  </si>
  <si>
    <t>SNOW CHEMISTRY; TIME-SERIES; CLIMATE; ATMOSPHERE; FIRE; ACCUMULATION; 20TH-CENTURY; AEROSOLS</t>
  </si>
  <si>
    <t>Refractory black carbon aerosols (rBC) from biomass burning and fossil fuel combustion are deposited to the Antarctic ice sheet and preserve a history of emissions and long-range transport from low- and mid-latitudes. Antarctic ice core rBC records may thus provide information with respect to past combustion aerosol emissions and atmospheric circulation. Here, we present six East Antarctic ice core records of rBC concentrations and fluxes covering the last two centuries with approximately annual resolution (cal. yr. 1800 to 2000). The ice cores were drilled in disparate regions of the high East Antarctic ice sheet, at different elevations and net snow accumulation rates. Annual rBC concentrations were log-normally distributed and geometric means of annual concentrations ranged from 0.10 to 0.18 mu g kg(-1). Average rBC fluxes were determined over the time periods 1800 to 2000 and 1963 to 2000 and ranged from 3.4 to 15.5 mu g m(-2) a(-1) and 3.6 to 21.8 mu g m(-2) a(-1), respectively. Geometric mean concentrations spanning 1800 to 2000 increased linearly with elevation at a rate of 0.025 mu g kg(-1)/500 m. Spectral analysis of the records revealed significant decadal-scale variability, which at several sites was comparable to decadal ENSO variability.</t>
  </si>
  <si>
    <t>[Bisiaux, M. M.; Edwards, R.; McConnell, J. R.] Univ Nevada, Desert Res Inst, Div Hydrol Sci, Reno, NV 89506 USA; [Edwards, R.] Curtin Univ Technol, Perth, WA, Australia; [Albert, M. R.] Dartmouth Coll, Thayer Sch Engn, Hanover, NH 03755 USA; [Anschutz, H.; Isaksson, E.] Norwegian Polar Res Inst, Tromso, Norway; [Neumann, T. A.] NASA, Goddard Space Flight Ctr, Greenbelt, MD 20771 USA; [Penner, J. E.] Univ Michigan, Ann Arbor, MI 48109 USA</t>
  </si>
  <si>
    <t>Nevada System of Higher Education (NSHE); University of Nevada Reno; Desert Research Institute NSHE; Curtin University; Dartmouth College; Norwegian Polar Institute; National Aeronautics &amp; Space Administration (NASA); NASA Goddard Space Flight Center; University of Michigan System; University of Michigan</t>
  </si>
  <si>
    <t>Bisiaux, MM (corresponding author), Univ Nevada, Desert Res Inst, Div Hydrol Sci, Reno, NV 89506 USA.</t>
  </si>
  <si>
    <t>Neumann, Thomas/JLL-4672-2023; Penner, Joyce E/J-1719-2012; Edwards, Ross/B-1433-2013</t>
  </si>
  <si>
    <t>Edwards, Ross/0000-0002-9233-8775; Albert, Mary/0000-0001-7842-2359</t>
  </si>
  <si>
    <t>National Science Foundation [0733089, 0538185, 0538416, 0538595]; US National Science Foundation [152]; Norwegian Polar Institute [152]; Research Council of Norway [152]; Division Of Polar Programs; Directorate For Geosciences [0733089] Funding Source: National Science Foundation; Office of Polar Programs (OPP); Directorate For Geosciences [0944348] Funding Source: National Science Foundation</t>
  </si>
  <si>
    <t>National Science Foundation(National Science Foundation (NSF)); US National Science Foundation(National Science Foundation (NSF)); Norwegian Polar Institute; Research Council of Norway(Research Council of Norway); Division Of Polar Programs; Directorate For Geosciences(National Science Foundation (NSF)NSF - Directorate for Geosciences (GEO)); Office of Polar Programs (OPP); Directorate For Geosciences(National Science Foundation (NSF)NSF - Directorate for Geosciences (GEO))</t>
  </si>
  <si>
    <t>This research is based upon work supported by the National Science Foundation under Grant Numbers 0733089, 0538185, 0538416, 0538595 and has been carried out under the umbrella of TASTE-IDEA within the framework of IPY project no. 152 jointly funded by the US National Science Foundation, the Norwegian Polar Institute, and the Research Council of Norway. The project is part of the Trans-Antarctic Scientific Traverse Expeditions-Ice Divide of East Antarctica (TASTE-IDEA), and the International Partners in Ice Coring Sciences (IPICS) under the ISCU-WMO endorsement for the International Polar Year 2007-08 and 2008-09. We gratefully acknowledge the NUS traverse field teams, the National Science Foundation, the Norwegian Polar Institute, and the DRI ice core analysis team. Logistic support in Antarctica was provided by Raytheon Polar Services in Antarctica, and the 109th New York Air National Guard. The National Ice Core Laboratory, which archived the ice cores and preformed core processing, is funded by the National Science Foundation.</t>
  </si>
  <si>
    <t>10.5194/acp-12-3799-2012</t>
  </si>
  <si>
    <t>WOS:000304054800017</t>
  </si>
  <si>
    <t>Maris, MNA; de Boer, B; Oerlemans, J</t>
  </si>
  <si>
    <t>Maris, M. N. A.; de Boer, B.; Oerlemans, J.</t>
  </si>
  <si>
    <t>A climate model intercomparison for the Antarctic region: present and past</t>
  </si>
  <si>
    <t>SURFACE MASS-BALANCE; LAST GLACIAL MAXIMUM; ICE-SHEET; EAST ANTARCTICA; PART 1; GREENLAND; CORE; DOME; SIMULATIONS; MIDHOLOCENE</t>
  </si>
  <si>
    <t>Eighteen General Circulation Models (GCMs) are compared to reference data for the present, the Mid-Holocene (MH) and the Last Glacial Maximum (LGM) for the Antarctic region. The climatology produced by a regional climate model is taken as a reference climate for the present. GCM results for the past are compared to ice-core data. The goal of this study is to find the best GCM that can be used to drive an ice sheet model that simulates the evolution of the Antarctic Ice Sheet. Because temperature and precipitation are the most important climate variables when modelling the evolution of an ice sheet, these two variables are considered in this paper. This is done by ranking the models according to how well their output corresponds with the references. In general, present-day temperature is simulated well, but precipitation is overestimated compared to the reference data. Another finding is that model biases play an important role in simulating the past, as they are often larger than the change in temperature or precipitation between the past and the present. Considering the results for the present-day as well as for the MH and the LGM, the best performing models are HadCM3 and MIROC 3.2.2.</t>
  </si>
  <si>
    <t>[Maris, M. N. A.; de Boer, B.; Oerlemans, J.] Univ Utrecht, Inst Marine &amp; Atmospher Res Utrecht, NL-3508 TA Utrecht, Netherlands</t>
  </si>
  <si>
    <t>Utrecht University</t>
  </si>
  <si>
    <t>Maris, MNA (corresponding author), Univ Utrecht, Inst Marine &amp; Atmospher Res Utrecht, POB 80005, NL-3508 TA Utrecht, Netherlands.</t>
  </si>
  <si>
    <t>m.n.a.maris@gmail.com</t>
  </si>
  <si>
    <t>de Boer, Bas/0000-0002-3696-6654</t>
  </si>
  <si>
    <t>CEA; CNRS; Programme National d'Etude de la Dynamique du Climat (PNEDC)</t>
  </si>
  <si>
    <t>CEA(French Atomic Energy Commission); CNRS(Centre National de la Recherche Scientifique (CNRS)); Programme National d'Etude de la Dynamique du Climat (PNEDC)</t>
  </si>
  <si>
    <t>We acknowledge the international modelling groups for providing their data for analysis and the Laboratoire des Sciences du Climat et de l'Environnement (LSCE) for collecting and archiving the model data. The PMIP2 Data Archive is supported by CEA, CNRS and the Programme National d'Etude de la Dynamique du Climat (PNEDC). The analyses were performed using version 03-01-2011 of the database. More information is available on http://pmip2.lsce.ipsl.fr/. We also greatly appreciate the suggestions and detailed comments by S. J. Phipps and two anonymous reviewers, which led us to significant improvements of the manuscript. Additionally, we would like to thank J. Lenaerts for providing us with data from RACMO2/ANT.</t>
  </si>
  <si>
    <t>10.5194/cp-8-803-2012</t>
  </si>
  <si>
    <t>942PW</t>
  </si>
  <si>
    <t>WOS:000304059700028</t>
  </si>
  <si>
    <t>Phipps, SJ; Rotstayn, LD; Gordon, HB; Roberts, JL; Hirst, AC; Budd, WF</t>
  </si>
  <si>
    <t>Phipps, S. J.; Rotstayn, L. D.; Gordon, H. B.; Roberts, J. L.; Hirst, A. C.; Budd, W. F.</t>
  </si>
  <si>
    <t>The CSIRO Mk3L climate system model version 1.0-Part 2: Response to external forcings</t>
  </si>
  <si>
    <t>LAST GLACIAL MAXIMUM; ATLANTIC THERMOHALINE CIRCULATION; PMIP2 COUPLED SIMULATIONS; INCREASED ATMOSPHERIC CO2; EL-NINO; TRANSIENT SIMULATIONS; MIDHOLOCENE CLIMATE; TEMPERATURE-VARIATIONS; SOUTHERN-OSCILLATION; SAHEL PRECIPITATION</t>
  </si>
  <si>
    <t>The CSIRO Mk3L climate system model is a coupled general circulation model, designed primarily for millennial-scale climate simulation and palaeoclimate research. Mk3L includes components which describe the atmosphere, ocean, sea ice and land surface, and combines computational efficiency with a stable and realistic control climatology. It is freely available to the research community. This paper evaluates the response of the model to external forcings which correspond to past and future changes in the climate system. A simulation of the mid-Holocene climate is performed, in which changes in the seasonal and meridional distribution of incoming solar radiation are imposed. Mk3L correctly simulates increased summer temperatures at northern mid-latitudes and cooling in the tropics. However, it is unable to capture some of the regional-scale features of the mid-Holocene climate, with the precipitation over Northern Africa being deficient. The model simulates a reduction of between 7 and 15% in the amplitude of El Nino-Southern Oscillation, a smaller decrease than that implied by the palaeoclimate record. However, the realism of the simulated ENSO is limited by the model's relatively coarse spatial resolution. Transient simulations of the late Holocene climate are then performed. The evolving distribution of insolation is imposed, and an acceleration technique is applied and assessed. The model successfully captures the temperature changes in each hemisphere and the upward trend in ENSO variability. However, the lack of a dynamic vegetation scheme does not allow it to simulate an abrupt desertification of the Sahara. To assess the response of Mk3L to other forcings, transient simulations of the last millennium are performed. Changes in solar irradiance, atmospheric greenhouse gas concentrations and volcanic emissions are applied to the model. The model is again broadly successful at simulating larger-scale changes in the climate system. Both the magnitude and the spatial pattern of the simulated 20th century warming are consistent with observations. However, the model underestimates the magnitude of the relative warmth associated with the Mediaeval Climate Anomaly. Finally, three transient simulations are performed, in which the atmospheric CO2 concentration is stabilised at two, three and four times the pre-industrial value. All three simulations exhibit ongoing surface warming, reduced sea ice cover, and a reduction in the rate of North Atlantic Deep Water formation followed by its gradual recovery. Antarctic Bottom Water formation ceases, with the shutdown being permanent for a trebling and quadrupling of the CO2 concentration. The transient and equilibrium climate sensitivities of the model are determined. The short-term transient response to a doubling of the CO2 concentration at 1% per year is a warming of 1.59 +/- 0.08 K, while the long-term equilibrium response is a warming of at least 3.85 +/- 0.02 K.</t>
  </si>
  <si>
    <t>[Phipps, S. J.; Budd, W. F.] Univ Tasmania, Inst Antarctic &amp; So Ocean Studies, Hobart, Tas 7001, Australia; [Phipps, S. J.; Roberts, J. L.; Budd, W. F.] Antarctic Climate &amp; Ecosyst CRC, Hobart, Tas, Australia; [Phipps, S. J.; Roberts, J. L.; Budd, W. F.] Tasmanian Partnership Adv Comp, Hobart, Tas, Australia; [Phipps, S. J.] Univ New S Wales, Climate Change Res Ctr, Sydney, NSW 2052, Australia; [Rotstayn, L. D.; Gordon, H. B.; Hirst, A. C.] Ctr Australian Weather &amp; Climate Res, Aspendale, Vic, Australia; [Roberts, J. L.] Australian Antarctic Div, Kingston, Tas, Australia</t>
  </si>
  <si>
    <t>University of Tasmania; University of Tasmania; University of New South Wales Sydney; Commonwealth Scientific &amp; Industrial Research Organisation (CSIRO); Australian Antarctic Division</t>
  </si>
  <si>
    <t>Phipps, SJ (corresponding author), Univ Tasmania, Inst Antarctic &amp; So Ocean Studies, Hobart, Tas 7001, Australia.</t>
  </si>
  <si>
    <t>s.phipps@unsw.edu.au</t>
  </si>
  <si>
    <t>Roberts, Jason L/B-2235-2012; Noble, Michelle M/C-4653-2011; Hirst, Anthony/N-1041-2014; Liu, Yangang/H-6154-2011; Hirst, Anthony/E-2756-2013; Rotstayn, Leon/A-1756-2012; Phipps, Steven/B-3135-2008</t>
  </si>
  <si>
    <t>Roberts, Jason L/0000-0002-3477-4069; Rotstayn, Leon/0000-0002-2385-4223; Phipps, Steven/0000-0001-5657-8782</t>
  </si>
  <si>
    <t>Australian Government; University of Tasmania; Antarctic CRC; Trans-Antarctic Association [TAA/99/12]; Australian National University</t>
  </si>
  <si>
    <t>Australian Government(Australian Government); University of Tasmania; Antarctic CRC(Australian GovernmentDepartment of Industry, Innovation and ScienceCooperative Research Centres (CRC) Programme); Trans-Antarctic Association; Australian National University(Australian National University)</t>
  </si>
  <si>
    <t>The lead author's contribution towards some of this work was performed as part of his PhD project. Financial support was received from the Australian Government (an International Postgraduate Research Scholarship), the University of Tasmania (a Tasmania Research Scholarship), the Antarctic CRC (an Antarctic CRC Top-Up Scholarship) and the Trans-Antarctic Association (grant TAA/99/12). Steven Phipps would like to thank Bill Budd, Nathan Bindoff, Jason Roberts, Scott Power, Xingren Wu and Tas van Ommen for their supervision and guidance throughout his candidature.; The development of Mk3L was supported by awards under the Merit Allocation Scheme on the NCI National Facility at the Australian National University. Grants of computer time were also received from the Tasmanian Partnership for Advanced Computing (Hobart, Tasmania) and iVEC (Perth, Western Australia). The authors wish to acknowledge use of the Ferret program for analysis and graphics in this paper (http://ferret.pmel.noaa.gov/Ferret/). The Ice-core Volcanic Index 2 dataset was obtained from the website of the Department of Environmental Sciences, Rutgers, The State University of New Jersey at http://climate.envsci.rutgers.edu/IVI2/. The anthropogenic greenhouse gas concentrations of MacFarling Meure et al. (2006) were supplied by David Etheridge. The Global 1500 yr Spatial Temperature Reconstructions of Mann et al. (2009) were obtained from the World Data Center for Paleoclimatology at http://www.ncdc.noaa.gov/paleo/pubs/mann2009b/mann2009b.html. The NCEP-DOE Reanalysis 2 was provided by the NOAA-ESRL Physical Sciences Division, Boulder, Colorado, USA from their website at http://www.esrl.noaa.gov/psd/.</t>
  </si>
  <si>
    <t>10.5194/gmd-5-649-2012</t>
  </si>
  <si>
    <t>942QH</t>
  </si>
  <si>
    <t>WOS:000304061200006</t>
  </si>
  <si>
    <t>Pandey, AC; Rai, S; Mitra, A</t>
  </si>
  <si>
    <t>Pandey, Avinash C.; Rai, Shailendra; Mitra, Amitabh</t>
  </si>
  <si>
    <t>A Comparison of Sea Surface Fluxes over Southern Indian Ocean Cruise Expedition Observation and NCEP Reanalysis</t>
  </si>
  <si>
    <t>MARINE GEODESY</t>
  </si>
  <si>
    <t>Cruise; surface layer observation; Southern Indian Ocean; surface layer flux</t>
  </si>
  <si>
    <t>TEMPERATURE; VARIABILITY; TRANSITIONS; HEAT</t>
  </si>
  <si>
    <t>Surface layer atmospheric and ocean observations have been collected along the cruise track from a special scientific expedition to Antarctica. Bulk estimates of surface momentum flux, sensible heat flux and latent heat flux have been computed applying bulk algorithms from the data collected along cruise track during the time period January 27 to March 31, 2006, and compared the results with National Centre for Environmental Prediction (NCEP) reanalysis. Underestimation of surface momentum flux in roaring forties (40 degrees S-50 degrees S) area of Indian Ocean is seen from NCEP reanalysis. Systemic differences in sensible and latent heat fluxes between observed and NCEP reanalysis have been found. Along the cruise track, the average sensible (latent) heat flux was 9.45 Wm(-2) (67.46 Wm(-2)) and 3.75 Wm(-2) (64.45 Wm(-2)) from the direct measurement and NCEP reanalysis, respectively. The NCEP reanalysis is being widely used in numerical modeling studies, and the discrepancies shown in the NCEP reanalysis in present study will be of immense use to the modeling community of the Indian Ocean in general and Southern Indian Ocean in particular.</t>
  </si>
  <si>
    <t>[Rai, Shailendra] Univ Allahabad, Dept Atmospher &amp; Ocean Sci, Fac Sci, Nehru Sci Ctr, Allahabad 211002, Uttar Pradesh, India; [Pandey, Avinash C.; Rai, Shailendra; Mitra, Amitabh] Univ Allahabad, K Banerjee Ctr Atmospher &amp; Ocean Studies, Allahabad 211002, Uttar Pradesh, India; [Pandey, Avinash C.] Univ Allahabad, MN Ctr Space Studies, Allahabad 211002, Uttar Pradesh, India; [Mitra, Amitabh] Directorate Census Operat Chandigarh, Chandigarh, India</t>
  </si>
  <si>
    <t>University of Allahabad; University of Allahabad; University of Allahabad</t>
  </si>
  <si>
    <t>Rai, S (corresponding author), Univ Allahabad, Dept Atmospher &amp; Ocean Sci, Fac Sci, Nehru Sci Ctr, Allahabad 211002, Uttar Pradesh, India.</t>
  </si>
  <si>
    <t>raishail77@gmail.com</t>
  </si>
  <si>
    <t>Pandey, Ashok/AAC-6340-2019; Pandey, Ashok/JBR-8714-2023; PANDEY, AVINASH CHANDRA/B-4600-2014</t>
  </si>
  <si>
    <t>Pandey, Ashok/0000-0003-1626-3529; Pandey, Ashok/0000-0003-1626-3529; PANDEY, AVINASH CHANDRA/0000-0003-0700-3856; Rai, Shailendra/0000-0003-0293-5478</t>
  </si>
  <si>
    <t>Indian National Centre for Ocean Information Service (INCOIS) in Hyderabad; National Centre for Antarctic and Ocean Research (NCAOR) in Goa; Ministry of Earth Sciences (MoES) in New Delhi</t>
  </si>
  <si>
    <t>We thank the Indian National Centre for Ocean Information Service (INCOIS) in Hyderabad, National Centre for Antarctic and Ocean Research (NCAOR) in Goa and Ministry of Earth Sciences (MoES) in New Delhi for providing financial support. The authors would also like to thank NCAOR/MoES for giving Amitabh Mitra an opportunity to be a part of the expedition team to Antarctica.</t>
  </si>
  <si>
    <t>0149-0419</t>
  </si>
  <si>
    <t>1521-060X</t>
  </si>
  <si>
    <t>MAR GEOD</t>
  </si>
  <si>
    <t>Mar. Geod.</t>
  </si>
  <si>
    <t>10.1080/01490419.2011.572713</t>
  </si>
  <si>
    <t>Geochemistry &amp; Geophysics; Oceanography; Remote Sensing</t>
  </si>
  <si>
    <t>947ZE</t>
  </si>
  <si>
    <t>WOS:000304472400006</t>
  </si>
  <si>
    <t>Khare, N; Chaturvedi, SK</t>
  </si>
  <si>
    <t>Khare, Neloy; Chaturvedi, Subodh Kumar</t>
  </si>
  <si>
    <t>Tracing the signature of various frontal systems in stable isotopes (oxygen and carbon) of the planktonic foraminiferal species Globigerina bulloides in the Southern Ocean (Indian Sector)</t>
  </si>
  <si>
    <t>OCEANOLOGIA</t>
  </si>
  <si>
    <t>Foraminifera; Globigerina bulloides; Stable isotopes; Southern Ocean; Frontal systems</t>
  </si>
  <si>
    <t>ANTARCTIC CIRCUMPOLAR CURRENT; GLOBAL CARBON; 45-DEGREES-E; TEMPERATURE; PATTERNS; TRANSECT; ZONATION; EUSTASY; MODEL; WATER</t>
  </si>
  <si>
    <t>Twenty-five surficial sediment samples, collected on board ORV Sugar Kanya during her 199th and 200th cruises along a north-south transect between latitudes 9.69 degrees N and 55.01 degrees S, and longitudes 80 degrees E and 40 degrees E were studied for isotopic variations (values of (delta O-18 and delta C-13) of the indicator planktonic species Globigerina bulloides. The results indicate that front latitudes 9.69 degrees N to 15 degrees S both these isotopes (delta O-18 and (delta C-13) fluctuated significantly. Between latitudes from around 15 degrees S to 30-35 degrees S delta O-18 values steadily increased, whereas delta C-13 showed a decreasing trend. However, to the south of latitudes 30-35 degrees S, both isotope values showed a similar response with a gradual increase up to latitude 50 degrees S, beyond which delta O-18 continued to increase while delta C-13 declined. The characteristic patterns of the values of both isotopes indicates that the signatures of different water masses are associated with various frontal systems and/or water masses across the transect. The signature of the Polar Front at around latitude 50 degrees S shows the specific response of the isotopic values (delta O-18 and delta C-13) of G. bulloides. Such a response beyond 50 degrees S latitude is ascribable to the general decrease in the ambient temperature, resulting in a continuous increase in delta O-18 values, while delta C-13 values decrease as a result of reduced photosynthesis in regions approaching higher latitudes owing to low light penetration. To further corroborate our results, those of many such transects from geographically distinct regions need to be studied for isotopic variations in the calcareous shells of planktonic foraminiferal species. The results have the potential to be used as a proxy to assess the movement of frontal systems in southern high latitude regions.</t>
  </si>
  <si>
    <t>[Khare, Neloy] Minist Earth Sci, New Delhi 110003, India; [Chaturvedi, Subodh Kumar] SASTRA Univ, Sch Civil Engn, Thanjavur 613401, India</t>
  </si>
  <si>
    <t>Ministry of Earth Sciences (MoES) - India; Shanmugha Arts, Science, Technology &amp; Research Academy (SASTRA)</t>
  </si>
  <si>
    <t>Khare, N (corresponding author), Minist Earth Sci, Block 12,CGO Complex,Lodhi Rd, New Delhi 110003, India.</t>
  </si>
  <si>
    <t>nkhare45@gmail.com; chaturvedi@carism.sastra.edu</t>
  </si>
  <si>
    <t>Government of India, Ministry of Earth Sciences; SASTRA University</t>
  </si>
  <si>
    <t>Dr. Shailesh Nayak, Secretary to Government of India, Ministry of Earth Sciences and Prof. R. Sethuraman Vice-Chancellor of SASTRA University are gratefully acknowledged for their valuable support for this study. Our thanks go to Prof. A. Mackensen, Dr. Rajeev Saraswat and the Laboratory staff at the Alfred Wegener Institute for Polar and Marine Research Bremerhaven, Germany, for providing the facilities for the oxygen isotope analyses. The master, officers and crew of ORV Sagar Kanya are acknowledged for providing logistical support during the collection of the samples.</t>
  </si>
  <si>
    <t>POLISH ACAD SCIENCES INST OCEANOLOGY</t>
  </si>
  <si>
    <t>SOPOT</t>
  </si>
  <si>
    <t>POWSTANCOW WASZAWY 55, PL-81-712 SOPOT, POLAND</t>
  </si>
  <si>
    <t>0078-3234</t>
  </si>
  <si>
    <t>2300-7370</t>
  </si>
  <si>
    <t>Oceanologia</t>
  </si>
  <si>
    <t>10.5697/oc.54-2.311</t>
  </si>
  <si>
    <t>941OG</t>
  </si>
  <si>
    <t>WOS:000303971900008</t>
  </si>
  <si>
    <t>Lütz, C; Seidlitz, HK</t>
  </si>
  <si>
    <t>Lutz, C</t>
  </si>
  <si>
    <t>Luetz, Cornelius; Seidlitz, Harald K.</t>
  </si>
  <si>
    <t>Physiological and Ultrastructural Changes in Alpine Plants Exposed to High Levels of UV and Ozone</t>
  </si>
  <si>
    <t>PLANTS IN ALPINE REGIONS: CELL PHYSIOLOGY OF ADAPTION AND SURVIVAL STRATEGIES</t>
  </si>
  <si>
    <t>ULTRAVIOLET-B RADIATION; ANTARCTIC VASCULAR PLANTS; ABIES L KARST; COLOBANTHUS-QUITENSIS; PHOTOSYNTHETIC PERFORMANCE; TERRESTRIAL ECOSYSTEMS; TISSUE LOCALIZATION; ACID MIST; DEPLETION; NEEDLES</t>
  </si>
  <si>
    <t>[Luetz, Cornelius] Univ Innsbruck, Inst Bot, A-6020 Innsbruck, Austria; [Seidlitz, Harald K.] Helmholtz Zentrum, Dept Environm Engn, Inst Biochem Plant Pathol, Neuherberg, Germany</t>
  </si>
  <si>
    <t>University of Innsbruck; Helmholtz Association</t>
  </si>
  <si>
    <t>Lütz, C (corresponding author), Univ Innsbruck, Inst Bot, A-6020 Innsbruck, Austria.</t>
  </si>
  <si>
    <t>Cornelius.luetz@uibk.ac.at</t>
  </si>
  <si>
    <t>978-3-7091-0135-3</t>
  </si>
  <si>
    <t>10.1007/978-3-7091-0136-0_4</t>
  </si>
  <si>
    <t>10.1007/978-3-7091-0136-0</t>
  </si>
  <si>
    <t>BAD95</t>
  </si>
  <si>
    <t>WOS:000303896100004</t>
  </si>
  <si>
    <t>Galton-Fenzi, BK; Hunter, JR; Coleman, R; Young, N</t>
  </si>
  <si>
    <t>Galton-Fenzi, Ben K.; Hunter, John R.; Coleman, Richard; Young, Neal</t>
  </si>
  <si>
    <t>A decade of change in the hydraulic connection between an Antarctic epishelf lake and the ocean</t>
  </si>
  <si>
    <t>AMERY ICE SHELF; EAST ANTARCTICA; TIDE</t>
  </si>
  <si>
    <t>Observations of the water level in Beaver Lake, an epishelf lake in East Antarctica, show a regular tidal signal that is lagged and attenuated from the tides beneath the adjacent Amery Ice Shelf. The phase lag and amplitude attenuation can be created by a narrow inlet connection between Beaver Lake and the cavity beneath the Amery Ice Shelf. A forced linear damped oscillator is used to determine the inlet dimensions that are required to produce the observed phase lag and amplitude attenuation. The model shows that the observations are consistent with a tidal flow that is restricted by the drag created by flow in the narrow inlet. Analysis shows that the phase lag and amplitude attenuation of the tides in Beaver Lake has increased over the years 1991-2002, probably due to a thickening of the overlying ice shelf. The response is sensitive to subtle variations in the dimensions of the inlet.</t>
  </si>
  <si>
    <t>[Galton-Fenzi, Ben K.; Hunter, John R.] Antarctic Climate &amp; Ecosyst CRC, Hobart, Tas, Australia; [Coleman, Richard] Univ Tasmania, Inst Marine &amp; Antarctic Studies, Hobart, Tas, Australia; [Young, Neal] Australian Antarctic Div, Kingston, Tas, Australia</t>
  </si>
  <si>
    <t>University of Tasmania; University of Tasmania; Australian Antarctic Division</t>
  </si>
  <si>
    <t>Galton-Fenzi, BK (corresponding author), Antarctic Climate &amp; Ecosyst CRC, Hobart, Tas, Australia.</t>
  </si>
  <si>
    <t>Ben.Galton-Fenzi@utas.edu.au</t>
  </si>
  <si>
    <t>Coleman, Richard/H-4425-2012</t>
  </si>
  <si>
    <t>Coleman, Richard/0000-0002-9731-7498; Galton-Fenzi, Benjamin Keith/0000-0003-1404-4103; Young, Neal/0000-0001-9729-3273</t>
  </si>
  <si>
    <t>Australian Commonwealth Scientific and Industrial Research Organization; University of Tasmania; Alaska SAR Facility through NASA [NRA-OES-99-10]; Australian government through Antarctic Climate and Ecosystems Cooperative Research Centre</t>
  </si>
  <si>
    <t>Australian Commonwealth Scientific and Industrial Research Organization; University of Tasmania; Alaska SAR Facility through NASA; Australian government through Antarctic Climate and Ecosystems Cooperative Research Centre(Australian Government)</t>
  </si>
  <si>
    <t>We thank the Australian Antarctic Data Centre and the National Tidal Centre of the Bureau of Meteorology. Ben Galton-Fenzi was supported by the Australian Commonwealth Scientific and Industrial Research Organization and the University of Tasmania through the Quantitative Marine Science PhD program. ERS data were provided by the Alaska SAR Facility through a NASA Research Announcement NRA-OES-99-10 grant. This work was supported by the Australian government's Cooperative Research Centres Program through the Antarctic Climate and Ecosystems Cooperative Research Centre.</t>
  </si>
  <si>
    <t>10.3189/2012JoG10J206</t>
  </si>
  <si>
    <t>939BW</t>
  </si>
  <si>
    <t>WOS:000303782900003</t>
  </si>
  <si>
    <t>Treverrow, A; Budd, WF; Jacka, TH; Warner, RC</t>
  </si>
  <si>
    <t>Treverrow, Adam; Budd, William F.; Jacka, Tim H.; Warner, Roland C.</t>
  </si>
  <si>
    <t>The tertiary creep of polycrystalline ice: experimental evidence for stress-dependent levels of strain-rate enhancement</t>
  </si>
  <si>
    <t>DOME SUMMIT SOUTH; LAW DOME; FLOW-LAW; SIPLE-DOME; FABRICS; CORE; DEFORMATION; TEXTURES; SHEAR; RECRYSTALLIZATION</t>
  </si>
  <si>
    <t>Laboratory creep deformation experiments have been conducted on initially isotropic laboratory-made samples of polycrystalline ice. Steady-state tertiary creep rates, ((epsilon)over dot)(ter), were determined at strains exceeding 10% in either uniaxial-compression or simple-shear experiments. Isotropic minimum strain rates, ((epsilon)over dot)(min), determined at similar to 1% strain, provide a reference for comparing the relative magnitude of tertiary creep rates in shear and compression through the use of strain-rate enhancement factors, E, defined as the ratio of corresponding tertiary and isotropic minimum creep rates, i.e. E=((epsilon)over dot)(ter)/((epsilon)over dot)(min). The magnitude of strain-rate enhancement in simple shear was found to exceed that in uniaxial compression by a constant factor of 2.3. Results of experiments conducted at octahedral shear stresses of tau(0) = 0.04-0.80 MPa indicate a creep power-law stress exponent of n=3 for isotropic minimum creep rates and n=3.5 for tertiary creep rates. The difference in stress exponents for minimum and tertiary creep. regimes can be interpreted as a tau(0) stress-dependent level of strain-rate enhancement, i.e. E proportional to tau(1/2)(0). The implications of these results for deformation in complex multicomponent stress configurations and at stresses below those used in the current experiments are discussed.</t>
  </si>
  <si>
    <t>[Treverrow, Adam; Jacka, Tim H.; Warner, Roland C.] Univ Tasmania, Antarctic Climate &amp; Ecosyst CRC, Hobart, Tas, Australia; [Budd, William F.] Univ Tasmania, Inst Marine &amp; Antarctic Studies, Hobart, Tas, Australia; [Warner, Roland C.] Australian Antarctic Div, Kingston, Tas, Australia</t>
  </si>
  <si>
    <t>Treverrow, A (corresponding author), Univ Tasmania, Antarctic Climate &amp; Ecosyst CRC, Hobart, Tas, Australia.</t>
  </si>
  <si>
    <t>adamt0@utas.edu.au</t>
  </si>
  <si>
    <t>Warner, Roland Charles/ISS-2485-2023; Warner, Robert R./M-5342-2013; Treverrow, Adam/J-7450-2014</t>
  </si>
  <si>
    <t>Warner, Roland Charles/0000-0002-9778-3544; Treverrow, Adam/0000-0003-4666-0488</t>
  </si>
  <si>
    <t>Australian Government through Antarctic Climate and Ecosystems Cooperative Research Centre (ACE CRC); University of Tasmania</t>
  </si>
  <si>
    <t>Australian Government through Antarctic Climate and Ecosystems Cooperative Research Centre (ACE CRC)(Australian GovernmentDepartment of Industry, Innovation and ScienceCooperative Research Centres (CRC) Programme); University of Tasmania</t>
  </si>
  <si>
    <t>This work is supported by the Australian Government Cooperative Research Centres Programme, through the Antarctic Climate and Ecosystems Cooperative Research Centre (ACE CRC). The Australian Antarctic Division provided the laboratory facilities used in this study. A.T. was supported by an Australian Postgraduate Award at the University of Tasmania. We thank Jason Roberts, Jun Li and Denis Samyn for thoughtful reviews which improved the manuscript, and also Ralf Greve who acted as Scientific and Chief Editor.</t>
  </si>
  <si>
    <t>10.3189/2012JoG11J149</t>
  </si>
  <si>
    <t>WOS:000303782900010</t>
  </si>
  <si>
    <t>Wesche, C; Dierking, W</t>
  </si>
  <si>
    <t>Wesche, Christine; Dierking, Wolfgang</t>
  </si>
  <si>
    <t>Iceberg signatures and detection in SAR images in two test regions of the Weddell Sea, Antarctica</t>
  </si>
  <si>
    <t>SYNTHETIC-APERTURE RADAR; ICE; IDENTIFICATION; IMPACT</t>
  </si>
  <si>
    <t>A pixel-based methodology has been established for automatic identification of icebergs in satellite synthetic aperture radar (SAR) images acquired during different seasons and for different sea-ice conditions. This includes, in particular, smaller icebergs (longitudinal axis 100 m to 18.5 km). Investigations were carried out for two test regions located in the Weddell Sea, Antarctica, using images of the Envisat Advanced SAR (ASAR) at HH polarization and of the European Remote-sensing Satellite-2 (ERS-2) SAR (VV-polarized). From the former, a sequence of Image Mode and Wide Swath Mode data are available for the whole of 2006. The ERS data were acquired around the tip of the Antarctic Peninsula in spring and summer months of the years 2000-03. The minimum size of icebergs that could be identified in the IM images was &lt;0.02 km(2). Radar backscattering coefficients of icebergs, sea ice and open water were determined separately. We demonstrate that the error in separating icebergs from their surroundings (sea ice or open water) depends on meteorological, oceanographic and sea-ice conditions. Also the pre-processing of the SAR images (e.g. speckle reduction) influences iceberg recognition. Differences in detection accuracy as a function of season could not be substantiated for our test sites, but have in general to be taken into account, as results of other investigations indicate.</t>
  </si>
  <si>
    <t>[Wesche, Christine; Dierking, Wolfgang] Alfred Wegener Inst Polar &amp; Marine Res, Bremerhaven, Germany</t>
  </si>
  <si>
    <t>Wesche, C (corresponding author), Alfred Wegener Inst Polar &amp; Marine Res, Bremerhaven, Germany.</t>
  </si>
  <si>
    <t>christine.wesche@awi.de</t>
  </si>
  <si>
    <t>Omidi, Abdollah/G-8161-2017</t>
  </si>
  <si>
    <t>Wesche, Christine/0000-0002-9786-4010</t>
  </si>
  <si>
    <t>German Research Foundation (DFG) [1158, DI 909/3-1, -2]</t>
  </si>
  <si>
    <t>The SAR images were provided by ESA for the Cat-1 project C1P.5024. Funding was provided by German Research Foundation (DFG) Priority Programme 1158 - Antarctic research with comparative investigations in Arctic ice areas (DI 909/3-1 and -2). We thank Neal Young and two anonymous reviewers for constructive and helpful comments.</t>
  </si>
  <si>
    <t>10.3189/2012J0G11J020</t>
  </si>
  <si>
    <t>WOS:000303782900012</t>
  </si>
  <si>
    <t>Spaulding, NE; Spikes, VB; Hamilton, GS; Mayewski, PA; Dunbar, NW; Harvey, RP; Schutt, J; Kurbatov, AV</t>
  </si>
  <si>
    <t>Spaulding, Nicole E.; Spikes, Vandy B.; Hamilton, Gordon S.; Mayewski, Paul A.; Dunbar, Nelia W.; Harvey, Ralph P.; Schutt, John; Kurbatov, Andrei V.</t>
  </si>
  <si>
    <t>Ice motion and mass balance at the Allan Hills blue-ice area, Antarctica, with implications for paleoclimate reconstructions</t>
  </si>
  <si>
    <t>THICKNESS CHANGE; CLIMATE; CORE</t>
  </si>
  <si>
    <t>We present a new surface-balance and ice-motion dataset derived from high-precision GPS measurements from a network of steel poles within three icefields of the Allan Hills blue-ice area, Antarctica. The surveys were conducted over a 14 year time period. Ice-flow velocities and mass-balance estimates for the main icefield (MIF) are consistent with those from pre-GPS era measurements but have much smaller uncertainties. The current study also extends these measurements through the near-western icefield (NWIF) to the eastern edge of the mid-western icefield (MWIF). The new dataset includes, for the first time, well-constrained evidence of upward motion within the Allan Hills MIF, indicating that old ice should be present at the surface. These data and terrestrial meteorite ages suggest that paleoclimate reconstructions using the surface record within the Allan Hills MIF could potentially extend the ice-core-based record beyond the 800 000 years currently available in the [PICA Dome C core.</t>
  </si>
  <si>
    <t>[Spaulding, Nicole E.; Hamilton, Gordon S.; Mayewski, Paul A.; Kurbatov, Andrei V.] Univ Maine, Climate Change Inst, Orono, ME USA; [Spaulding, Nicole E.; Hamilton, Gordon S.; Mayewski, Paul A.] Univ Maine, Dept Earth Sci, Orono, ME USA; [Spikes, Vandy B.] Earth Sci Agcy LLC, Stateline, NV USA; [Dunbar, Nelia W.] New Mexico Inst Min &amp; Technol, Socorro, NM 87801 USA; [Harvey, Ralph P.; Schutt, John] Case Western Reserve Univ, Dept Geol Sci, Cleveland, OH 44106 USA</t>
  </si>
  <si>
    <t>University of Maine System; University of Maine Orono; University of Maine System; University of Maine Orono; New Mexico Institute of Mining Technology; University System of Ohio; Case Western Reserve University</t>
  </si>
  <si>
    <t>Spaulding, NE (corresponding author), Univ Maine, Climate Change Inst, Orono, ME USA.</t>
  </si>
  <si>
    <t>nicole.spaulding@maine.edu</t>
  </si>
  <si>
    <t>Hamilton, Gordon S/G-1679-2011; Dunbar, Nelia W./HZL-8693-2023; Mayewski, Paul Andrew/HRD-6969-2023</t>
  </si>
  <si>
    <t>Dunbar, Nelia W./0000-0002-5181-937X; Spaulding, Nicole/0000-0001-5159-3078; Kurbatov, Andrei/0000-0002-9819-9251</t>
  </si>
  <si>
    <t>Antarctic Geospatial Information Center; University Navstar Consortium (UNAVCO); US National Science Foundation Office of Polar Programs [0838843, 0229245, 9527571]; Directorate For Geosciences; Office of Polar Programs (OPP) [9527571, 0838843] Funding Source: National Science Foundation; Office of Polar Programs (OPP); Directorate For Geosciences [0229245] Funding Source: National Science Foundation</t>
  </si>
  <si>
    <t>Antarctic Geospatial Information Center; University Navstar Consortium (UNAVCO); US National Science Foundation Office of Polar Programs(National Science Foundation (NSF)); Directorate For Geosciences; Office of Polar Programs (OPP)(National Science Foundation (NSF)NSF - Directorate for Geosciences (GEO)); Office of Polar Programs (OPP); Directorate For Geosciences(National Science Foundation (NSF)NSF - Directorate for Geosciences (GEO))</t>
  </si>
  <si>
    <t>We thank John Annexstad, Georg De lisle, Ludo If Schultz, John Moore and the late Ian Whillans for their work in the Allan Hills and other BIAs and their willingness to share data from those expeditions. We acknowledge field assistance from Mike Waszkiewicz, Kristin Schild, Melissa Rohde, Erik Venteris and Leigh Stearns; GIS support from Spencer Niebuhr of the Antarctic Geospatial Information Center; and GPS support from Joe Pettit, Marianne Okal and Lisa Siegel of the University Navstar Consortium (UNAVCO). The logistic support provided by Raytheon Polar Services and field transportation by the Twin Otter pilots of Kenn Borek Air Ltd were indispensable. The manuscript was greatly improved by helpful comments from two anonymous reviewers. Funding for this research was provided by the US National Science Foundation Office of Polar Programs through grants 0838843, 0229245 and 9527571.</t>
  </si>
  <si>
    <t>10.3189/2012JoG11J176</t>
  </si>
  <si>
    <t>WOS:000303782900018</t>
  </si>
  <si>
    <t>Tkachenko, EY; Kozachkov, SG</t>
  </si>
  <si>
    <t>Tkachenko, Ekaterina Y.; Kozachkov, Sergey G.</t>
  </si>
  <si>
    <t>Possible contribution of triboelectricity to snow-air interactions</t>
  </si>
  <si>
    <t>ENVIRONMENTAL CHEMISTRY</t>
  </si>
  <si>
    <t>BOUNDARY-LAYER; BLOWING SNOW; ORGANIC-CHEMICALS; OZONE DEPLETION; PEROXY-RADICALS; SOUTH-POLE; OH; ELECTRIFICATION; GREENLAND; SUMMIT</t>
  </si>
  <si>
    <t>Reactions that proceed in polar snow cover may significantly affect the chemistry of the overlying atmosphere, but mechanisms and driving forces of these reactions are still under discussion. The proposed hypothesis attempts to explain some experimental data that cannot be fully understood (e. g. the effect of wind on OH radicals, ozone and persistent organic pollutants levels) by taking into account the influence of electrical phenomena on the snow surface. We assumed that a combination of such factors as low humidity, high wind speed and low temperatures makes the influence of triboelectrification of snow significant for polar areas, where purity and the depth of snow cover prevent fast charge dissipation. The major points of the hypothesis are: (1) when the electric field reaches a value sufficient for the onset of corona discharge, various free radical processes are initiated resulting in changes in the concentrations of ozone, OH radical, nitrate, etc., and the decomposition of pollutant molecules; (2) the high electric field can stimulate transport of ions (such as bromide and nitrate) from the condensed phase to the gas phase; and (3) the ageing of charged snow can increase its electrical potential.</t>
  </si>
  <si>
    <t>[Tkachenko, Ekaterina Y.] NAS Ukraine, Inst Geol Sci, Dept Antarctic Geoecol, UA-01054 Kiev, Ukraine; [Kozachkov, Sergey G.] Donau Lab, UA-03026 Kiev, Ukraine</t>
  </si>
  <si>
    <t>National Academy of Sciences Ukraine; Institute of Geological Sciences, National Academy of Sciences of Ukraine</t>
  </si>
  <si>
    <t>Tkachenko, EY (corresponding author), NAS Ukraine, Inst Geol Sci, Dept Antarctic Geoecol, 55B Gonchara St, UA-01054 Kiev, Ukraine.</t>
  </si>
  <si>
    <t>ktkachenko@igs-nas.org.ua</t>
  </si>
  <si>
    <t>Tkachenko, Ekaterina/T-1203-2017</t>
  </si>
  <si>
    <t>Tkachenko, Ekaterina/0000-0003-0334-2519; Kozachkov, Sergey/0000-0002-4396-960X</t>
  </si>
  <si>
    <t>1448-2517</t>
  </si>
  <si>
    <t>ENVIRON CHEM</t>
  </si>
  <si>
    <t>Environ. Chem.</t>
  </si>
  <si>
    <t>10.1071/EN10074</t>
  </si>
  <si>
    <t>935HI</t>
  </si>
  <si>
    <t>WOS:000303509300003</t>
  </si>
  <si>
    <t>Jeglinski, JWE; Werner, C; Robinson, PW; Costa, DP; Trillmich, F</t>
  </si>
  <si>
    <t>Jeglinski, Jana W. E.; Werner, Christiane; Robinson, Patrick W.; Costa, Daniel P.; Trillmich, Fritz</t>
  </si>
  <si>
    <t>Age, body mass and environmental variation shape the foraging ontogeny of Galapagos sea lions</t>
  </si>
  <si>
    <t>Ontogenetic foraging niche; Diving development; Stable isotope analysis; Time-depth recorder; Environmental variability; El Nino; Zalophus wollebaeki; Life history</t>
  </si>
  <si>
    <t>ANTARCTIC FUR SEALS; NITROGEN ISOTOPE VALUES; OXYGEN STORES; EL-NINO; STABLE-ISOTOPES; DIVING BEHAVIOR; CALLORHINUS-URSINUS; ZALOPHUS-WOLLEBAEKI; NUTRITIONAL STRESS; FEEDING ECOLOGY</t>
  </si>
  <si>
    <t>Size- and age-specific physiological constraints coupled with inexperience make the transition to independent foraging in juvenile divers a crucial period with important consequences for survival, dispersal and future reproduction. Variation in environmental conditions and associated changes in food availability can additionally constrain the juvenile's development to independence. Juvenile Galapagos sea lions Zalophus wollebaeki (GSL) represent an extreme example of these constraints owing to a low growth rate, seasonal variation in food abundance and unpredictable declines in food availability during El Nino events. Time-depth recorder (TDR) data and stable isotope data of delta N-15 and delta C-13 of known age juvenile GSL were analysed to investigate the development of diving and foraging, and a regular year was compared with an El Nino year to determine the effect of environmental change on the foraging behaviour of juvenile and adult GSL. GSL juveniles started diving activity at 12 mo of age and showed distinct juvenile-specific diving strategies that suggest there is an ontogenetic niche shift between juvenile and adult GSL foraging. Successful independent foraging, indicated by a strong decrease in delta N-15 ratio, started considerably later (at 18 mo of age) and was further delayed in the El Nino warm season, indicating there is an even longer dependency on maternal milk during environmentally adverse conditions. Our results suggest that prolonged maternal energetic investment buffers GSL juveniles against the constraints of diving and foraging under environmentally variable conditions and is linked to the low reproductive rate of this species.</t>
  </si>
  <si>
    <t>[Jeglinski, Jana W. E.; Trillmich, Fritz] Univ Bielefeld, Dept Anim Behav, D-33615 Bielefeld, Germany; [Werner, Christiane] Univ Bielefeld, Dept Expt &amp; Syst Ecol, D-33615 Bielefeld, Germany; [Robinson, Patrick W.; Costa, Daniel P.] Univ Calif Santa Cruz, Dept Ecol &amp; Evolutionary Biol, Santa Cruz, CA 95060 USA</t>
  </si>
  <si>
    <t>University of Bielefeld; University of Bielefeld; University of California System; University of California Santa Cruz</t>
  </si>
  <si>
    <t>Jeglinski, JWE (corresponding author), Univ Bielefeld, Dept Anim Behav, D-33615 Bielefeld, Germany.</t>
  </si>
  <si>
    <t>jjeglinski@uni-bielefeld.de</t>
  </si>
  <si>
    <t>Werner, Christiane/AAO-9976-2021; Carlos, Universidade Federal de São/W-8832-2019; Costa, Daniel Paul/E-2616-2013</t>
  </si>
  <si>
    <t>Werner, Christiane/0000-0002-7676-9057; Carlos, Universidade Federal de São/0000-0002-0334-3899; Costa, Daniel Paul/0000-0002-0233-5782</t>
  </si>
  <si>
    <t>German Science Foundation (DFG) [TR 105/19-1]; National Geographic Society [8682-09]; Panasonic; Ortlieb; Zarges; Huntsmann Advanced Materials</t>
  </si>
  <si>
    <t>German Science Foundation (DFG)(German Research Foundation (DFG)); National Geographic Society(National Geographic Society); Panasonic; Ortlieb; Zarges; Huntsmann Advanced Materials</t>
  </si>
  <si>
    <t>The present study was performed under permit nos. PC-11-08 and PC-043-09 of the National Park Service, Galapagos, and was financed by the German Science Foundation (DFG grant no. TR 105/19-1) and the National Geographic Society (grant no. 8682-09). We received highly appreciated material sponsorship by Panasonic, Ortlieb, Zarges and Huntsmann Advanced Materials. The Charles Darwin Research Station provided logistic support during field work. We thank B. Mueller, V. Franco-Trecu, D. Anchundia, M. Meija, K. Meise, M. Marquard, E. Garcia Bartholomei, S. Maxwell, G. McDonald and M. Tift for their help in the field. B. Teichner and E. Hippauf helped invaluably with lab work. P. Brock and 3 anonymous reviewers provided valuable comments to this manuscript.</t>
  </si>
  <si>
    <t>10.3354/meps09649</t>
  </si>
  <si>
    <t>937PK</t>
  </si>
  <si>
    <t>WOS:000303670200016</t>
  </si>
  <si>
    <t>Van de Vijver, B; Chattová, B; Metzeltin, D; Lebouvier, M</t>
  </si>
  <si>
    <t>Van de Vijver, Bart; Chattova, Barbora; Metzeltin, Ditmar; Lebouvier, Marc</t>
  </si>
  <si>
    <t>The genus Pinnularia (Bacillariophyta) on Ile Amsterdam (TAAF, Southern Indian Ocean)</t>
  </si>
  <si>
    <t>Diatoms; Ile Amsterdam; new species; Pinnularia; sub-Antarctica</t>
  </si>
  <si>
    <t>LA POSSESSION CROZET; DIATOM COMMUNITIES; ISLAND</t>
  </si>
  <si>
    <t>Ile Amsterdam (77 degrees 34' E, 37 degrees 47' S), a young, small volcanic island situated in the southern Indian Ocean has a very isolated geographic position and is one of the remotest places in the world. The geographic and physical features of the island have resulted in the presence of a very typical diatom (Bacillariophyta) flora dominated by species belonging to the genus Pinnularia. A total of 22 different Pinnularia taxa were observed during a taxonomic analysis of aquatic, moss and soil samples. Twelve taxa did not correspond to any of the currently known species and are described as new species. The new taxa are morphologically and ecologically characterized comparing each of them with all at present known species. The other Pinnularia species are briefly discussed. A comparison with the other sub-Antarctic islands in the southern Indian Ocean clearly demonstrated the unique floristic situation of Ile Amsterdam.</t>
  </si>
  <si>
    <t>[Van de Vijver, Bart] Natl Bot Garden Belgium, Dept Bryophyta &amp; Thallophyta, B-1860 Domein Van Bouchout, Meise, Belgium; [Chattova, Barbora] Masaryk Univ, Fac Sci, Dept Bot &amp; Zool, CS-61137 Brno, Czech Republic; [Lebouvier, Marc] Univ Rennes 1, UMR Ecobio CNRS 6553, Biol Stn, F-35380 Paimpont, France</t>
  </si>
  <si>
    <t>Masaryk University Brno; Universite de Rennes</t>
  </si>
  <si>
    <t>Van de Vijver, B (corresponding author), Natl Bot Garden Belgium, Dept Bryophyta &amp; Thallophyta, B-1860 Domein Van Bouchout, Meise, Belgium.</t>
  </si>
  <si>
    <t>914YS</t>
  </si>
  <si>
    <t>WOS:000301990400014</t>
  </si>
  <si>
    <t>Rippa, V; Papa, R; Giuliani, M; Pezzella, C; Parrilli, E; Tutino, ML; Marino, G; Duilio, A</t>
  </si>
  <si>
    <t>Lorence, A</t>
  </si>
  <si>
    <t>Rippa, Valentina; Papa, Rosanna; Giuliani, Maria; Pezzella, Cinzia; Parrilli, Ermenegilda; Tutino, Maria Luisa; Marino, Gennaro; Duilio, Angela</t>
  </si>
  <si>
    <t>Regulated Recombinant Protein Production in the Antarctic Bacterium Pseudoalteromonas haloplanktis TAC125</t>
  </si>
  <si>
    <t>RECOMBINANT GENE EXPRESSION: REVIEWS AND PROTOCOLS, THIRD EDITION</t>
  </si>
  <si>
    <t>Methods in Molecular Biology</t>
  </si>
  <si>
    <t>Cold-adapted bacteria; Regulated gene expression system; Pseudoalteromonas haloplanktis; Malate induction; Minimal medium</t>
  </si>
  <si>
    <t>ESCHERICHIA-COLI; EXPRESSION; PLASMID; SYSTEM; HOST</t>
  </si>
  <si>
    <t>This review reports results from our laboratory on the development of an effective inducible expression system for the homologous/heterologous protein production in cold-adapted bacteria. Recently, we isolated and characterized a regulative genomic region from Pseudoalteromonas haloplanktis TAC125; in particular, a two-component regulatory system was identified. It is involved in the transcriptional regulation of the gene coding for an outer membrane porin (PSHAb0363) that is strongly induced by the presence of L-malate in the growth medium. We used the regulative region comprising the two-component system located upstream the PSHAb0363 gene to construct an inducible expression vector - named pUCRP - under the control of L-malate. Performances of the inducible system were tested using the psychrophilic beta-galactosidase from P. haloplanktis TAE79 as model enzyme to be produced. Our results demonstrate that the recombinant cold-adapted enzyme is produced in P. haloplanktis TAC125 in good yields and in a completely soluble and catalytically competent form. Moreover, an evaluation of optimal induction conditions for protein production was also carried out in two consecutive steps: (1) definition of the optimal cellular growth phase in which the gene expression has to be induced; (2) definition of the optimal inducer concentration that has to be added in the growth medium.</t>
  </si>
  <si>
    <t>[Rippa, Valentina; Papa, Rosanna; Giuliani, Maria; Pezzella, Cinzia; Parrilli, Ermenegilda; Tutino, Maria Luisa; Marino, Gennaro; Duilio, Angela] Univ Naples Federico II, Dept Organ Chem &amp; Biochem, Naples, Italy</t>
  </si>
  <si>
    <t>University of Naples Federico II</t>
  </si>
  <si>
    <t>Rippa, V (corresponding author), Univ Naples Federico II, Dept Organ Chem &amp; Biochem, Complesso Univ MS Angelo, Naples, Italy.</t>
  </si>
  <si>
    <t>parrilli, ermenegilda/K-4616-2016; TUTINO, MARIA LUISA/L-1834-2013; Pezzella, Cinzia/L-2753-2014; parrilli, ermenegilda/JAZ-0586-2023</t>
  </si>
  <si>
    <t>parrilli, ermenegilda/0000-0002-9002-5409; DUILIO, Angela/0000-0002-6833-1303; Tutino, Maria Luisa/0000-0002-4978-6839; Pezzella, Cinzia/0000-0001-5694-472X</t>
  </si>
  <si>
    <t>HUMANA PRESS INC</t>
  </si>
  <si>
    <t>TOTOWA</t>
  </si>
  <si>
    <t>999 RIVERVIEW DR, STE 208, TOTOWA, NJ 07512-1165 USA</t>
  </si>
  <si>
    <t>1064-3745</t>
  </si>
  <si>
    <t>978-1-61779-433-9</t>
  </si>
  <si>
    <t>METHODS MOL BIOL</t>
  </si>
  <si>
    <t>Methods Mol. Biol.</t>
  </si>
  <si>
    <t>10.1007/978-1-61779-433-9_10</t>
  </si>
  <si>
    <t>10.1007/978-1-61779-433-9</t>
  </si>
  <si>
    <t>Biochemical Research Methods; Biochemistry &amp; Molecular Biology; Genetics &amp; Heredity</t>
  </si>
  <si>
    <t>BZZ36</t>
  </si>
  <si>
    <t>WOS:000303413800010</t>
  </si>
  <si>
    <t>Giuliani, M; Parrilli, E; Pezzella, C; Rippa, V; Duilio, A; Marino, G; Tutino, ML</t>
  </si>
  <si>
    <t>Giuliani, Maria; Parrilli, Ermenegilda; Pezzella, Cinzia; Rippa, Valentina; Duilio, Angela; Marino, Gennaro; Tutino, Maria Luisa</t>
  </si>
  <si>
    <t>A Novel Strategy for the Construction of Genomic Mutants of the Antarctic Bacterium Pseudoalteromonas haloplanktis TAC125</t>
  </si>
  <si>
    <t>Pseudoalteromonas haloplanktis TAC125; Allelic exchange; Counterselectable marker; Suicide vector</t>
  </si>
  <si>
    <t>RECOMBINANT PROTEIN SECRETION; TRUNCATED HEMOGLOBINS</t>
  </si>
  <si>
    <t>The sequencing and the annotation of the marine Antarctic Pseudoalteromonas haloplanktis TAC125 genome has paved the way to investigate on the molecular mechanisms involved in adaptation to cold conditions. The growing interest in this unique bacterium prompted the developing of several genetic tools for studying it at the molecular level. To allow a deeper understanding of the PhTAC125 physiology a genetic system for the reverse genetics in this bacterium was developed. In the present work, we describe a practical technique for allelic exchange and/or gene inactivation by in-frame deletion and the use of a counterselectable marker in P. haloplanktis. The construction of suitable non-replicating plasmid and methods used to carry out a two-step integration segregation strategy in this bacterium are reported in detail. Furthermore two examples, in which the developed methodology was applied to find out gene function or to construct genetically engineered bacterial strains, were described.</t>
  </si>
  <si>
    <t>[Giuliani, Maria; Parrilli, Ermenegilda; Pezzella, Cinzia; Rippa, Valentina; Duilio, Angela; Marino, Gennaro; Tutino, Maria Luisa] Univ Naples Federico II, Dept Organ Chem &amp; Biochem, Naples, Italy</t>
  </si>
  <si>
    <t>Giuliani, M (corresponding author), Univ Naples Federico II, Dept Organ Chem &amp; Biochem, Complesso Univ MS Angelo, Naples, Italy.</t>
  </si>
  <si>
    <t>TUTINO, MARIA LUISA/L-1834-2013; parrilli, ermenegilda/JAZ-0586-2023; Pezzella, Cinzia/L-2753-2014; parrilli, ermenegilda/K-4616-2016</t>
  </si>
  <si>
    <t>parrilli, ermenegilda/0000-0002-9002-5409; Tutino, Maria Luisa/0000-0002-4978-6839; DUILIO, Angela/0000-0002-6833-1303; Pezzella, Cinzia/0000-0001-5694-472X</t>
  </si>
  <si>
    <t>1940-6029</t>
  </si>
  <si>
    <t>978-1-61779-433-9; 978-1-61779-432-2</t>
  </si>
  <si>
    <t>10.1007/978-1-61779-433-9_11</t>
  </si>
  <si>
    <t>WOS:000303413800011</t>
  </si>
  <si>
    <t>Hu, MYA; Hagen, W; Jeng, MS; Saborowski, R</t>
  </si>
  <si>
    <t>Hu, Marian Yong-An; Hagen, Wilhelm; Jeng, Ming-Shiou; Saborowski, Reinhard</t>
  </si>
  <si>
    <t>Metabolic energy demand and food utilization of the hydrothermal vent crab Xenograpsus testudinatus (Crustacea: Brachyura)</t>
  </si>
  <si>
    <t>Hydrothermal vents; Crustacea; Xenograpsus testudinatus; Digestive enzymes; Fatty acids; Toxic environment; Heavy metals</t>
  </si>
  <si>
    <t>DIGESTIVE ENZYME-ACTIVITY; ANTARCTIC KRILL; MEGANYCTIPHANES-NORVEGICA; EUPHAUSIA-SUPERBA; FATTY-ACIDS; MARINE-INVERTEBRATES; NORTHERN KRILL; WAX ESTERS; SEA; DECAPODA</t>
  </si>
  <si>
    <t>The hydrothermal vent crab Xenograpsus testudinatus (Crustacea: Brachyura) is endemic near Kueishan Island, Taiwan, where it lives in shallow waters close to the hydrothermal vents located in this area. X. testudinatus is adapted to a sulfur-rich and thus potentially toxic environment. It has established a specialized feeding strategy focusing on dead zooplankton organisms killed by the toxic discharges from the vents. During slack water, when there is little or no current, the crabs leave their crevices to feed on this 'marine snow'. In the present study, we investigated the physiological aspects of nutritional adaptations of X. testudinatus. The crabs showed high digestive capacities of major digestive enzymes and particularly high activities for proteolytic enzymes. This feature can be regarded as an adaptation to irregular food availability. Furthermore, enzymes were stable at elevated temperatures, in a wide pH range, and in the presence of inorganic inhibitors like Cu2+, Fe2+, or Co2+. These enzyme properties can be considered essential to functioning in a vent habitat over long exposure times. Moreover, X. testudinatus is able to store significant amounts of lipid (50 to 60% of dry mass in the midgut gland), which may help to overcome periods of food scarcity. Fatty acid profiles revealed high amounts of saturated and monounsaturated components (mainly 16:0, 16:1(n-7), 18:1(n-9), and 18:1(n-7)). These findings reflect physiological adaptations and energetic strategies that enable this crab to exist in this extreme hydrothermal vent habitat.</t>
  </si>
  <si>
    <t>[Saborowski, Reinhard] Alfred Wegener Inst Polar &amp; Marine Res, D-27515 Bremerhaven, Germany; [Hu, Marian Yong-An; Hagen, Wilhelm] Univ Bremen NW2, BreMarE Bremen Marine Ecol Ctr Res &amp; Educ, D-28334 Bremen, Germany; [Jeng, Ming-Shiou] Acad Sinica, Res Ctr Biodivers, Taipei 115, Taiwan</t>
  </si>
  <si>
    <t>Helmholtz Association; Alfred Wegener Institute, Helmholtz Centre for Polar &amp; Marine Research; University of Bremen; Academia Sinica - Taiwan</t>
  </si>
  <si>
    <t>Saborowski, R (corresponding author), Alfred Wegener Inst Polar &amp; Marine Res, POB 120161, D-27515 Bremerhaven, Germany.</t>
  </si>
  <si>
    <t>reinhard.saborowski@awi.de</t>
  </si>
  <si>
    <t>Hagen, Wilhelm/0000-0002-7462-9931; Saborowski, Reinhard/0000-0003-0289-6501</t>
  </si>
  <si>
    <t>10.3354/ab00396</t>
  </si>
  <si>
    <t>931HG</t>
  </si>
  <si>
    <t>WOS:000303206400002</t>
  </si>
  <si>
    <t>Arendt, J</t>
  </si>
  <si>
    <t>Arendt, Josephine</t>
  </si>
  <si>
    <t>Biological Rhythms During Residence in Polar Regions</t>
  </si>
  <si>
    <t>CHRONOBIOLOGY INTERNATIONAL</t>
  </si>
  <si>
    <t>Antarctic; Arctic; Circadian; Light; Melatonin; Polar; Sleep</t>
  </si>
  <si>
    <t>HUMAN CIRCADIAN-RHYTHMS; PITUITARY-THYROID AXIS; SLEEP-WAKE RHYTHM; NIGHT-SHIFT WORK; BRIGHT LIGHT; METABOLIC-RESPONSES; POSTPRANDIAL HORMONE; MELATONIN SECRETION; MIDWINTER INSOMNIA; SEASONAL-VARIATION</t>
  </si>
  <si>
    <t>At Arctic and Antarctic latitudes, personnel are deprived of natural sunlight in winter and have continuous daylight in summer: light of sufficient intensity and suitable spectral composition is the main factor that maintains the 24-h period of human circadian rhythms. Thus, the status of the circadian system is of interest. Moreover, the relatively controlled artificial light conditions in winter are conducive to experimentation with different types of light treatment. The hormone melatonin and/or its metabolite 6-sulfatoxymelatonin (aMT6s) provide probably the best index of circadian (and seasonal) timing. A frequent observation has been a delay of the circadian system in winter. A skeleton photoperiod (2 x 1-h, bright white light, morning and evening) can restore summer timing. A single 1-h pulse of light in the morning may be sufficient. A few people desynchronize from the 24-h day (free-run) and show their intrinsic circadian period, usually &gt;24 h. With regard to general health in polar regions, intermittent reports describe abnormalities in various physiological processes from the point of view of daily and seasonal rhythms, but positive health outcomes are also published. True winter depression (SAD) appears to be rare, although subsyndromal SAD is reported. Probably of most concern are the numerous reports of sleep problems. These have prompted investigations of the underlying mechanisms and treatment interventions. A delay of the circadian system with normal working hours implies sleep is attempted at a suboptimal phase. Decrements in sleep efficiency, latency, duration, and quality are also seen in winter. Increasing the intensity of ambient light exposure throughout the day advanced circadian phase and was associated with benefits for sleep: blue-enriched light was slightly more effective than standard white light. Effects on performance remain to be fully investigated. At 75 S, base personnel adapt the circadian system to night work within a week, in contrast to temperate zones where complete adaptation rarely occurs. A similar situation occurs on high-latitude North Sea oil installations, especially when working 18:00-06:00 h. Lack of conflicting light exposure (and social obligations) is the probable explanation. Many have problems returning to day work, showing circadian desynchrony. Timed light treatment again has helped to restore normal phase/sleep in a small number of people. Postprandial response to meals is compromised during periods of desynchrony with evidence of insulin resistance and elevated triglycerides, risk factors for heart disease. Only small numbers of subjects have been studied intensively in polar regions; however, these observations suggest that suboptimal light conditions are deleterious to health. They apply equally to people living in temperate zones with insufficient light exposure. (Author correspondence: arendtjo@gmail.com)</t>
  </si>
  <si>
    <t>Univ Surrey, Ctr Chronobiol, Fac Hlth &amp; Med Sci, Guildford GU2 7XH, Surrey, England</t>
  </si>
  <si>
    <t>University of Surrey</t>
  </si>
  <si>
    <t>Arendt, J (corresponding author), Univ Surrey, Ctr Chronobiol, Fac Hlth &amp; Med Sci, Guildford GU2 7XH, Surrey, England.</t>
  </si>
  <si>
    <t>arendtjo@gmail.com</t>
  </si>
  <si>
    <t>British Antarctic Survey; Antarctic Funding Initiative; Medical Research Council; Institute of Petroleum; Energy Institute; Stockgrand Ltd.; University of Surrey</t>
  </si>
  <si>
    <t>British Antarctic Survey; Antarctic Funding Initiative; Medical Research Council(UK Research &amp; Innovation (UKRI)Medical Research Council UK (MRC)); Institute of Petroleum; Energy Institute; Stockgrand Ltd.; University of Surrey</t>
  </si>
  <si>
    <t>Studies by the author, referred to in this review, were supported throughout by the British Antarctic Survey, and in part by the Antarctic Funding Initiative, the Medical Research Council, the Institute of Petroleum, and The Energy Institute. Philips Lighting B. V. Eindhoven provided lighting equipment and an unrestricted research grant. Dr. Benita Middleton (Stockgrand Ltd., University of Surrey) supplied reagents, expertise, advice, and unlimited support. In addition to those mentioned by publication herein, the author wishes to thank all the Halley base doctors who have carried out chronobiology research projects at the ends of the Earth and all the willing (and unpaid) volunteers who took part in these studies. She would also like to thank Dr. Iain Grant, British Antarctic Survey Medical Unit, UK, Dr. Benita Middleton, University of Surrey, UK, and Michel Paul, Defense Research and Development, Canada, for their expert review of the manuscript.</t>
  </si>
  <si>
    <t>0742-0528</t>
  </si>
  <si>
    <t>1525-6073</t>
  </si>
  <si>
    <t>CHRONOBIOL INT</t>
  </si>
  <si>
    <t>Chronobiol. Int.</t>
  </si>
  <si>
    <t>10.3109/07420528.2012.668997</t>
  </si>
  <si>
    <t>Biology; Physiology</t>
  </si>
  <si>
    <t>Life Sciences &amp; Biomedicine - Other Topics; Physiology</t>
  </si>
  <si>
    <t>931VC</t>
  </si>
  <si>
    <t>WOS:000303246400001</t>
  </si>
  <si>
    <t>Grohmann, E; Arends, K</t>
  </si>
  <si>
    <t>Malik, A; Grohmann, E</t>
  </si>
  <si>
    <t>Grohmann, Elisabeth; Arends, Karsten</t>
  </si>
  <si>
    <t>Molecular Detection of Resistance and Transfer Genes in Environmental Samples</t>
  </si>
  <si>
    <t>ENVIRONMENTAL PROTECTION STRATEGIES FOR SUSTAINABLE DEVELOPMENT</t>
  </si>
  <si>
    <t>Strategies for Sustainability</t>
  </si>
  <si>
    <t>Antibiotic resistance; Heavy metal resistance; Plasmid transfer; Contamination; PCR; Microarray; Terrestrial habitats; Aquatic habitats</t>
  </si>
  <si>
    <t>COMPLETE GENOME SEQUENCE; MACROLIDE-LINCOSAMIDE-STREPTOGRAMIN; BACTERIAL MERCURY RESISTANCE; POLYMERASE-CHAIN-REACTION; HEAVY-METAL RESISTANCE; TIME PCR ASSAYS; ANTIBIOTIC-RESISTANCE; WASTE-WATER; ANTIMICROBIAL RESISTANCE; SULFONAMIDE RESISTANCE</t>
  </si>
  <si>
    <t>Horizontal plasmid transfer is the most important means of spreading resistance to antibiotics and heavy metals, as well as virulence genes, to closely and remotely related microorganisms thereby increasing the horizontal gene pool in so diverse habitats such as soils, wastewater, aquifer recharge systems and glacier ice. An overview about the currently used molecular tools to detect and quantify the abundance of antibiotic and heavy metal resistance and transfer genes in aquatic and terrestrial environments is provided. Habitats studied range from nutrient rich environments such as manured agricultural soils to oligotrophic habitats such as drinking water or glaciers in the Antarctic. The state of the art in antibiotic and heavy metal resistance mechanisms and monitoring of conjugative transfer factors to assess the transmissibility of the resistance factors is summarized. The chapter ends with perspectives on emerging new molecular monitoring tools suited to rapid, reliable and high throughput analysis of environmental samples differing in origin and level of pollution.</t>
  </si>
  <si>
    <t>[Grohmann, Elisabeth] Univ Hosp Freiburg, Dept Infect Dis, D-79106 Freiburg, Germany; [Arends, Karsten] Tech Univ Berlin, Dept Environm Microbiol, D-10587 Berlin, Germany</t>
  </si>
  <si>
    <t>University of Freiburg; Technical University of Berlin</t>
  </si>
  <si>
    <t>Grohmann, E (corresponding author), Univ Hosp Freiburg, Dept Infect Dis, Hugstetter Str 55, D-79106 Freiburg, Germany.</t>
  </si>
  <si>
    <t>elisabeth.grohmann@uniklinik-freiburg.de; karsten.arends@tu-berlin.de</t>
  </si>
  <si>
    <t>Grohmann, Elisabeth/0000-0003-3061-6490</t>
  </si>
  <si>
    <t>978-94-007-1591-2; 978-94-007-1590-5</t>
  </si>
  <si>
    <t>STRAT SUSTAIN</t>
  </si>
  <si>
    <t>10.1007/978-94-007-1591-2_5</t>
  </si>
  <si>
    <t>10.1007/978-94-007-1591-2</t>
  </si>
  <si>
    <t>BZT25</t>
  </si>
  <si>
    <t>WOS:000302879400005</t>
  </si>
  <si>
    <t>Lowe, AT; Ross, RM; Quetin, LB; Vernet, M; Fritsen, CH</t>
  </si>
  <si>
    <t>Lowe, Alexander T.; Ross, Robin M.; Quetin, Langdon B.; Vernet, Maria; Fritsen, Christian H.</t>
  </si>
  <si>
    <t>Simulating larval Antarctic krill growth and condition factor during fall and winter in response to environmental variability</t>
  </si>
  <si>
    <t>Euphausia superba; Larval Antarctic krill; Condition factor; Growth; Individual-based model; Fall and winter; Critical period</t>
  </si>
  <si>
    <t>EUPHAUSIA-SUPERBA DANA; MARGINAL ICE-ZONE; SEA-ICE; ENERGY BUDGETS; SOUTHERN-OCEAN; CLIMATE-CHANGE; FRAZIL ICE; PACK ICE; PENINSULA; DYNAMICS</t>
  </si>
  <si>
    <t>The first winter in the life cycle of Antarctic krill Euphausia superba is a critical period in which larval survival and recruitment to the adult population are highly sensitive to environmental conditions, yet little is known about larval physiological dynamics during this period. An individual-based model was developed to investigate patterns of larval krill growth and condition factor in response to environmental variability during fall and winter, west of the Antarctic Peninsula. Field and experimental observations from Southern Ocean Global Ocean Ecosystems Dynamics cruises in 2001 and 2002 and the Palmer Long-Term Ecological Research program were used to parameterize the model. Growth was modeled by partitioning total body carbon between length and condition factor. Total body carbon was simulated with empirical temperature-dependent rates of ingestion of phytoplankton and respiration, and ingestion of algae grown on a surface to simulate sea ice algae. Light-driven diel vertical migration modulated ingestion of phytoplankton and sea ice algae as a function of latitude, season and sea ice cover. Simulations highlighted 3 environmental processes that controlled food availability, and consequently, physiological condition of krill: the fall phytoplankton decline, sea ice advance and development of sea ice microbial communities, and the late winter increase in sea ice microbial community biomass. Fall phytoplankton dynamics were identified as a major driver of the physiological condition of larval krill throughout this critical period. The model presents a mechanism that links larval krill survival and recruitment to fall and winter variability in phytoplankton and sea ice dynamics along the western Antarctic Peninsula.</t>
  </si>
  <si>
    <t>[Vernet, Maria] Univ Calif San Diego, Scripps Inst Oceanog, Integrat Oceanog Div, La Jolla, CA 92093 USA; [Fritsen, Christian H.] Desert Res Inst, Div Earth &amp; Ecosyst Sci, Reno, NV 89512 USA; [Lowe, Alexander T.; Ross, Robin M.; Quetin, Langdon B.] Univ Calif Santa Barbara, Inst Marine Sci, Santa Barbara, CA 93106 USA</t>
  </si>
  <si>
    <t>University of California System; University of California San Diego; Scripps Institution of Oceanography; Nevada System of Higher Education (NSHE); Desert Research Institute NSHE; University of California System; University of California Santa Barbara</t>
  </si>
  <si>
    <t>Lowe, AT (corresponding author), Univ Washington, Friday Harbor Labs, Friday Harbor, WA 98250 USA.</t>
  </si>
  <si>
    <t>alowe70@u.washington.edu</t>
  </si>
  <si>
    <t>National Science Foundation Office of Polar Programs [ANT-0529087, ANT-0529666, ANT-0528728]; Regents of the University of California; University of California at Santa Barbara; [DPP-8518872]; [DPP-8820589]; [OPP-9117633]; [OPP-9909933]; [OPP-9011927]; [OPP-9632763]</t>
  </si>
  <si>
    <t>National Science Foundation Office of Polar Programs(National Science Foundation (NSF)NSF - Directorate for Geosciences (GEO)); Regents of the University of California(University of California System); University of California at Santa Barbara; ; ; ; ; ;</t>
  </si>
  <si>
    <t>Funding for this work was provided by the National Science Foundation Office of Polar Programs through projects ANT-0529087, ANT-0529666 and ANT-0528728 in the Collaborative Research: United States Southern Ocean Global Ocean Ecosystems Dynamics Synthesis and Modeling program. Larval ingestion experiments and analysis were supported under award numbers DPP-8518872 and ANT-0529087. Sample collection and analysis of condition factor and total length and weight measurements were supported under award numbers DPP-8518872, DPP-8820589 and OPP-9117633 (for the WinCruises and Mar-Apr 1988) and award number OPP-9909933 for the SO GLOBEC cruises. Additional sample collection was supported by award numbers OPP-9011927, OPP-9632763 (for CF from the LTER cruises) and OPP-9117633 (for respiration). Retrieval and analysis of historical data were supported by award number ANT-0529087 and by the Regents of the University of California and the University of California at Santa Barbara. This work formed part of A.T.L.'s Master's thesis, and feedback from R. Nisbet and A. Alldredge was greatly appreciated during model development and the writing process. Comments from the anonymous reviewers also greatly improved the manuscript. We extend special thanks to the US Antarctic Program, the crews of the RV 'Lawrence M. Gould' and RVIB 'Nathanial B. Palmer' and the scientific support staff at Palmer Station.</t>
  </si>
  <si>
    <t>10.3354/meps09409</t>
  </si>
  <si>
    <t>931KD</t>
  </si>
  <si>
    <t>WOS:000303213900003</t>
  </si>
  <si>
    <t>Vernet, M; Kozlowski, WA; Yarmey, LR; Lowe, AT; Ross, RM; Quetin, LB; Fritsen, CH</t>
  </si>
  <si>
    <t>Vernet, Maria; Kozlowski, Wendy A.; Yarmey, Lynn R.; Lowe, Alexander T.; Ross, Robin M.; Quetin, Langdon B.; Fritsen, Christian H.</t>
  </si>
  <si>
    <t>Primary production throughout austral fall, during a time of decreasing daylength in the western Antarctic Peninsula</t>
  </si>
  <si>
    <t>Phytoplankton; Primary production; Antarctica; Bloom demise; Fall; Winter; Growth rates; Loss rates</t>
  </si>
  <si>
    <t>KRILL EUPHAUSIA-SUPERBA; SOUTHERN-OCEAN; PHYTOPLANKTON GROWTH; LARVAL KRILL; SEA-ICE; BRANSFIELD STRAIT; BIOOPTICAL PROPERTIES; NATURAL ASSEMBLAGES; BELLINGSHAUSEN SEA; ENERGY BUDGETS</t>
  </si>
  <si>
    <t>Antarctic phytoplankton is characterized by a pronounced seasonality in abundance, driven mainly by changes in sunlight. We combined measurements and modeling to describe the influence of changing daylength on fall and winter phytoplankton production in coastal waters of the western Antarctic Peninsula (wAP) in 2001 and 2002. The model was parameterized with field observations from the Palmer Long-Term Ecological program in the wAP during summer and early fall and from the Southern Ocean Global Ecosystems Dynamics program fall and winter cruises to Marguerite Bay and shelf waters. Shorter daylength and a deepening of the mixed layer account for most of the decrease in primary production during March, April, and May. At this time, biomass decreases by an order of magnitude and remains low and constant until the end of August. An additional loss rate was added to the primary production model to fit output to observations. This loss rate, estimated at similar to 0.1 to 0.15 d(-1), is due to physical, chemical, and biological processes such as scavenging by sea ice, zooplankton grazing, cell lysis, and cell sedimentation, which are expected to be high at this time of year. Growth and loss rates of phytoplankton populations are similar on 1 March, with growth decreasing rapidly over time while the loss rates remain constant. By the beginning of winter (1 June), growth is low, with minimum rates in July and increasing towards September. During a period of diminishing food supply, preliminary estimates of grazing indicate that fall biomass could support existing macrozooplankton populations, but the timing and concentration of food supply is variable and expected to affect health of zooplankton as they enter the winter.</t>
  </si>
  <si>
    <t>[Vernet, Maria; Kozlowski, Wendy A.; Yarmey, Lynn R.] Univ Calif San Diego, Scripps Inst Oceanog, Integrat Oceanog Div, La Jolla, CA 92093 USA; [Lowe, Alexander T.; Ross, Robin M.; Quetin, Langdon B.] Univ Calif Santa Barbara, Inst Marine Sci, Santa Barbara, CA 93106 USA; [Fritsen, Christian H.] Desert Res Inst, Div Earth &amp; Ecosyst Sci, Reno, NV 89512 USA</t>
  </si>
  <si>
    <t>University of California System; University of California San Diego; Scripps Institution of Oceanography; University of California System; University of California Santa Barbara; Nevada System of Higher Education (NSHE); Desert Research Institute NSHE</t>
  </si>
  <si>
    <t>Vernet, M (corresponding author), Univ Calif San Diego, Scripps Inst Oceanog, Integrat Oceanog Div, La Jolla, CA 92093 USA.</t>
  </si>
  <si>
    <t>mvernet@ucsd.edu</t>
  </si>
  <si>
    <t>Yarmey, Lynn/0000-0003-4575-2292</t>
  </si>
  <si>
    <t>National Science Foundation (NSF) [28728, 29087, 29666, 10175, 09933, 10098]; [OPP96-32763]</t>
  </si>
  <si>
    <t>National Science Foundation (NSF)(National Science Foundation (NSF));</t>
  </si>
  <si>
    <t>We thank the collaborators and volunteers of the Palmer LTER and SO GLOBEC programs for data collection and analysis (2000-2002). Thanks to K. Sines for invaluable contributions in the field and data analysis; R. C. Smith, K. Ireson, and M. Montes-Hugo for analysis of optical data; K. Pistone for technical help in manuscript preparation; D. G. Martinson and R. Iannuzzi for discussions on mixed layer depth calculations; C. Gle for thoughtful manuscript reviews; and M. Cape for SeaWiFS chl a estimates. We gratefully acknowledge the support of Raytheon Polar Services for logistical support in the field, in particular the Station Manager at Palmer, and to the captains and crew of the ASRV 'Nathaniel B. Palmer.' This project was funded by National Science Foundation (NSF) ANT05-PIIAK awards to M. V. (28728), R. M. R. and L. B. Q. (29087), and C. F. (29666), ANT99-GLOBEC awards to M. V. (10175), R. M. R. and L. B. Q. (09933), and C. F. (10098), and OPP96-32763 to the Palmer LTER project; the NSF support is gratefully acknowledged. This is US GLOBEC Contribution no. 719.</t>
  </si>
  <si>
    <t>10.3354/meps09704</t>
  </si>
  <si>
    <t>WOS:000303213900004</t>
  </si>
  <si>
    <t>Espinasse, B; Zhou, M; Zhu, YW; Hazen, EL; Friedlaender, AS; Nowacek, DP; Chu, DZ; Carlotti, F</t>
  </si>
  <si>
    <t>Espinasse, Boris; Zhou, Meng; Zhu, Yiwu; Hazen, Elliott L.; Friedlaender, Ari S.; Nowacek, Douglas P.; Chu, Dezhang; Carlotti, Francois</t>
  </si>
  <si>
    <t>Austral fall-winter transition of mesozooplankton assemblages and krill aggregations in an embayment west of the Antarctic Peninsula</t>
  </si>
  <si>
    <t>Antarctic Peninsula; Chlorophyll; Zooplankton; Krill; Food web; Austral fall</t>
  </si>
  <si>
    <t>DOPPLER CURRENT PROFILER; LIFE-CYCLE STRATEGIES; IN-SITU GROWTH; EUPHAUSIA-SUPERBA; POPULATION-DYNAMICS; TARGET STRENGTH; MARGUERITE BAY; OVERWINTERING STRATEGY; SEASONAL VARIABILITY; BRANSFIELD STRAIT</t>
  </si>
  <si>
    <t>To assess krill aggregations and humpback whale Megaptera novaeangliae foraging behavior, spatial and temporal relationships between Antarctic krill Euphausia superba and zooplankton taxonomic groups were studied during an interdisciplinary cruise conducted in May and June 2009 within Wilhelmina Bay on the western side of the Antarctic Peninsula. A vessel-mounted acoustic Doppler current profiler (ADCP) and a calibrated EK-60 echo sounder were used to assess circulation patterns and krill distributions in the bay, and a multiple opening and closing net (with 333 mu m mesh) and environmental sensing system (MOCNESS) was used to collect live samples of mesozooplankton and krill for taxonomic composition analysis. The results from this field study complement a previous one that examined an anticyclonic bay-scale circulation of Antarctic krill. This super-aggregation of krill covered similar to 100 km(2), had a concentration of 1000s of individuals m(-2) and was associated with more than 306 humpback whales present in Wilhelmina Bay. Our results from the mesozooplankton study revealed that krill continuously conducted diel vertical migrations and formed aggregations in the inner bay, while the chlorophyll concentration at the surface decreased from 2.2 to 0.6 g C m(-2) due to the decrease of daylight, and zooplankton concentrations increased from 0.5 to 1.5 g C m(-2) probably from advective influx. Most zooplankton were distributed below 200 m while krill fed in the upper 150 m. The spatial and temporal correlations between krill and small-to medium-sized mesozooplankton imply that krill may become omnivorous when there is a lack of phytoplankton in the late austral fall. Though both phytoplankton and zooplankton biomasses contributed only small fractions of the daily ration needed for krill metabolism in Wilhelmina Bay, it is not clear what caused krill to aggregate on such a large scale, as this led to high mortality as a result of starvation and predation by whales and other top predators.</t>
  </si>
  <si>
    <t>[Zhou, Meng; Zhu, Yiwu] Univ Massachusetts, Dept Environm Earth &amp; Ocean Sci, Boston, MA 02125 USA; [Espinasse, Boris; Carlotti, Francois] Univ Mediterranee, Lab Oceanog Phys &amp; Biogeochim, Ctr Oceanol Marseille, CNRS, F-13288 Marseille 09, France; [Hazen, Elliott L.; Friedlaender, Ari S.; Nowacek, Douglas P.] Duke Univ, Marine Lab, Nicholas Sch Environm, Beaufort, NC 28516 USA; [Hazen, Elliott L.; Friedlaender, Ari S.; Nowacek, Douglas P.] Duke Univ, Marine Lab, Pratt Sch Engn, Beaufort, NC 28516 USA; [Chu, Dezhang] Natl Ocean &amp; Atmospher Adm Fisheries, Seattle, WA 98112 USA</t>
  </si>
  <si>
    <t>University of Massachusetts System; University of Massachusetts Boston; Centre National de la Recherche Scientifique (CNRS); Aix-Marseille Universite; Duke University; Duke University; National Oceanic Atmospheric Admin (NOAA) - USA</t>
  </si>
  <si>
    <t>Zhou, M (corresponding author), Univ Massachusetts, Dept Environm Earth &amp; Ocean Sci, 100 Morrissey Blvd, Boston, MA 02125 USA.</t>
  </si>
  <si>
    <t>meng.zhou@umb.edu</t>
  </si>
  <si>
    <t>Espinasse, Boris/AFS-7849-2022; Chu, Dezhang/L-7004-2015; Espinasse, Boris/AAE-1435-2022; Hazen, Elliott/G-4149-2014</t>
  </si>
  <si>
    <t>Espinasse, Boris/0000-0002-7490-5588; Hazen, Elliott/0000-0002-0412-7178</t>
  </si>
  <si>
    <t>US National Science Foundation [ANT-0739566, ANT-073948]; CNRS; Division Of Polar Programs; Directorate For Geosciences [0948378, 0739566] Funding Source: National Science Foundation</t>
  </si>
  <si>
    <t>US National Science Foundation(National Science Foundation (NSF)); CNRS(Centre National de la Recherche Scientifique (CNRS)); Division Of Polar Programs; Directorate For Geosciences(National Science Foundation (NSF)NSF - Directorate for Geosciences (GEO))</t>
  </si>
  <si>
    <t>We thank the Captain and crews of the ASRV 'LM Gould' and Raytheon Polar Service Company for all their assistance during the cruise. We acknowledge E. Firing and J. Hummon at the University of Hawaii and T. Chereskin at Scripps Institution of Oceanography for the ADCP operation and data acquisition during the cruise. This research was supported by the US National Science Foundation grants ANT-0739566 and ANT-073948. B. E. acknowledges the PhD fellowship from CNRS.</t>
  </si>
  <si>
    <t>10.3354/meps09626</t>
  </si>
  <si>
    <t>WOS:000303213900005</t>
  </si>
  <si>
    <t>Dragon, AC; Bar-Hen, A; Monestiez, P; Guinet, C</t>
  </si>
  <si>
    <t>Dragon, Anne-Cecile; Bar-Hen, Avner; Monestiez, Pascal; Guinet, Christophe</t>
  </si>
  <si>
    <t>Comparative analysis of methods for inferring successful foraging areas from Argos and GPS tracking data</t>
  </si>
  <si>
    <t>Area-restricted-search; Drift dive; First bottom time; Mirounga leonine; Movement analysis; State-space modelling</t>
  </si>
  <si>
    <t>SOUTHERN ELEPHANT SEALS; STATE-SPACE MODELS; ANIMAL MOVEMENT; DIVING BEHAVIOR; TORTUOSITY; BUOYANCY; PREDATOR; CURRENTS; HABITAT; FRONTS</t>
  </si>
  <si>
    <t>Identifying animals' successful foraging areas is a major challenge, but such comprehensive knowledge is needed for the management and conservation of wild populations. In recent decades, numerous specific analytic methods have been developed to handle tracking data and to identify preferred foraging areas. In this study, we assessed the efficiency of different track-based methods on Argos and GPS predators' tracks. We investigated (1) the consistency in the detection of foraging areas between track-based methods applied to 2 tracking data resolutions and (2) the similarity of foraging behaviour identification between track-based methods and an independent index of foraging success. We focused on methods that are commonly used in the literature: empirical descriptors of foraging effort, Hidden Markov Models (HMMs) and first passage time analysis. We applied these methods to satellite tracking data collected on 6 long-ranging elephant seals equipped with both Argos and GPS tags. Seals were also equipped with time depth recorder loggers from which we estimated an independent index, based on the drift rate and the changes in the seals' body condition, as a proxy for foraging success along the tracks. Favourable foraging zones identified by track-based methods were compared to locations where the body condition of the seals significantly increased. With or without an environmental covariate, HMMs were the most reliable for identifying successful foraging areas on both high (GPS) and low (Argos) resolution data. Areas identified by HMMs as intensively used were congruent with the locations where seals significantly increased their body condition given a 4 d metabolisation lag.</t>
  </si>
  <si>
    <t>[Dragon, Anne-Cecile; Guinet, Christophe] CEBC CNRS, F-79360 Villiers En Bois, France; [Dragon, Anne-Cecile; Bar-Hen, Avner] MAP5 CNRS, F-75270 Paris 06, France; [Dragon, Anne-Cecile] LOCEAN UPMC, F-75252 Paris 05, France; [Monestiez, Pascal] INRA, Biostat &amp; Proc Spatiaux BioSP UR546, F-84914 Avignon, France</t>
  </si>
  <si>
    <t>Centre National de la Recherche Scientifique (CNRS); Centre National de la Recherche Scientifique (CNRS); Sorbonne Universite; INRAE</t>
  </si>
  <si>
    <t>Dragon, AC (corresponding author), CEBC CNRS, F-79360 Villiers En Bois, France.</t>
  </si>
  <si>
    <t>acdlod@locean-ipsl.upmc.fr</t>
  </si>
  <si>
    <t>Patterson, Ruth/A-7540-2018; Guinet, Christophe/AAR-8457-2020</t>
  </si>
  <si>
    <t>Monestiez, Pascal/0000-0001-5851-2699</t>
  </si>
  <si>
    <t>IPEV (Institut Polaire Francais); Total Foundation; TAAF (Terres Australes et Antarctiques Francaises)</t>
  </si>
  <si>
    <t>IPEV (Institut Polaire Francais); Total Foundation(Total SA); TAAF (Terres Australes et Antarctiques Francaises)</t>
  </si>
  <si>
    <t>The authors are grateful to Brigitte Planade, Matthieu Authier, Nory El Ksabi, Quentin Delorme and the field workers of Kerguelen 59th and 60th missions for their assistance in the field. This work was carried out in the framework of the IPSOS-SEAL (ANR VMC 07) program. We are indebted to IPEV (Institut Polaire Francais), Total Foundation and TAAF (Terres Australes et Antarctiques Francaises) for financial support of Antarctic research program 109. We are also grateful to Pr Guihennec (MAP5, France) for her assistance in WinBUGS utilisation. Special thanks go to Tiphaine Jeanniard du Dot and 2 anonymous reviewers for very useful comments on a previous version of the manuscript.</t>
  </si>
  <si>
    <t>10.3354/meps09618</t>
  </si>
  <si>
    <t>WOS:000303213900019</t>
  </si>
  <si>
    <t>Mastroianni, M</t>
  </si>
  <si>
    <t>Mastroianni, Michele</t>
  </si>
  <si>
    <t>The Brazil of Andre Thevet: The Singularities of Antarctic France (1557)</t>
  </si>
  <si>
    <t>STUDI FRANCESI</t>
  </si>
  <si>
    <t>Italian</t>
  </si>
  <si>
    <t>Book Review</t>
  </si>
  <si>
    <t>ROSENBERG &amp; SELLIER</t>
  </si>
  <si>
    <t>TURIN</t>
  </si>
  <si>
    <t>VIA ANDREA DORIA 14, 10123 TURIN, ITALY</t>
  </si>
  <si>
    <t>0039-2944</t>
  </si>
  <si>
    <t>STUD FRANCESI</t>
  </si>
  <si>
    <t>Studi Francesi</t>
  </si>
  <si>
    <t>JAN-APR</t>
  </si>
  <si>
    <t>Literature, Romance</t>
  </si>
  <si>
    <t>Arts &amp; Humanities Citation Index (A&amp;HCI)</t>
  </si>
  <si>
    <t>Literature</t>
  </si>
  <si>
    <t>932DG</t>
  </si>
  <si>
    <t>WOS:000303270000061</t>
  </si>
  <si>
    <t>Gazeaux, J; Bekki, S; Naveau, P; Keckhut, P; Jumelet, J; Parades, J; David, C</t>
  </si>
  <si>
    <t>Gazeaux, J.; Bekki, S.; Naveau, P.; Keckhut, P.; Jumelet, J.; Parades, J.; David, C.</t>
  </si>
  <si>
    <t>Detection of particle layers in backscatter profiles: application to Antarctic lidar measurements</t>
  </si>
  <si>
    <t>POLAR STRATOSPHERIC CLOUDS; VOLCANIC AEROSOLS; SPACEBORNE LIDAR; DUMONT DURVILLE; TEMPERATURE; CLIMATOLOGY; INVERSION; ALGORITHM; STATION; CALIPSO</t>
  </si>
  <si>
    <t>A detection method is proposed and studied to infer the presence of hidden signals in a statistical way. It is applied here to the detection of Polar Stratospheric Cloud (PSC) layers in lidar backscatter profiles measured over the Dumont D'Urville station (Antarctica). PSCs appear as layers with enhanced variance in non stationary, heteroscedastic signal profiles, between two unknown altitudes to be estimated. The method is based on a three step algorithm. The first step is the stationarization of the signal, the second performs the maximum likelihoods estimation of the signal (PSC altitude range and variance inside and outside the PSC layer). The last step uses a Fisher-Sn,d,cor test to decide whether the detection of PSC layer is statistically significant. Performances and robustness of the method are tested on simulated data with given statistical properties. Bias and detection limit are estimated. The method is then applied to lidar backscatter profiles measured in 2008. No PSC are detected during seasons when PSCs are not expected to form. As expected, PSC layers are detected during the austral winter and early spring. The effect of time averaging of the profiles is investigated. The best compromise for detection of PSC layers in lidar backscatter profiles acquired at Dumont D'Urville is a time averaging window of 1 h typically.</t>
  </si>
  <si>
    <t>[Gazeaux, J.; Bekki, S.; Keckhut, P.; Jumelet, J.; Parades, J.; David, C.] Observat Spatiales LATMOS, Lab Atmospheres, CNRS INSU, UMR8190, Paris, France; [Naveau, P.] IPSL CNRS, LSCE, Gif Sur Yvette, France</t>
  </si>
  <si>
    <t>Sorbonne Universite; Universite Paris Saclay; Centre National de la Recherche Scientifique (CNRS); CNRS - National Institute for Earth Sciences &amp; Astronomy (INSU); CEA; Centre National de la Recherche Scientifique (CNRS); Universite Paris Saclay</t>
  </si>
  <si>
    <t>Bekki, S (corresponding author), Observat Spatiales LATMOS, Lab Atmospheres, CNRS INSU, UMR8190, Paris, France.</t>
  </si>
  <si>
    <t>slimane.bekki@latmos.ipsl.fr</t>
  </si>
  <si>
    <t>Keckhut, Philippe/AFO-0077-2022; bekki, slimane/J-7221-2015</t>
  </si>
  <si>
    <t>bekki, slimane/0000-0002-5538-0800; Naveau, Philippe/0000-0002-7231-6210</t>
  </si>
  <si>
    <t>CNRS-INSU; GEOmon project; EU; French Research National Agency (Agence National de la Recherche - ANR) [BLAN06-1 135745]</t>
  </si>
  <si>
    <t>CNRS-INSU(Centre National de la Recherche Scientifique (CNRS)); GEOmon project; EU(European Union (EU)); French Research National Agency (Agence National de la Recherche - ANR)(Agence Nationale de la Recherche (ANR))</t>
  </si>
  <si>
    <t>The authors acknowledge the support of the GEOmon project (www.geomon.eu), and also the support of the RECONCILE EU-project: www.fp7-reconcile.eu. The programs used were made with the functional language and environment R: www.r-project.org, see R Development Core Team (2009). Part of this work has been supported by the EU-FP7 ACQWA Project (www.acqwa.ch). The Dumont d'Urville lidar station is a primary site of the NDACC and is managed by the IPSL NDACC-France Observing Service. The logistics and operations are funded and supported by the French Polar Institute Paul-Emile-Victor (IPEV). The authors wish to thanks all the involved members of IPEV for their constant implication and their never-failing efficiency. This work has also been supported by the French Research National Agency (Agence National de la Recherche - ANR) under the current contract No. BLAN06-1 135745. (ORACLE-France).; The publication of this article is financed by CNRS-INSU.</t>
  </si>
  <si>
    <t>10.5194/acp-12-3205-2012</t>
  </si>
  <si>
    <t>926BQ</t>
  </si>
  <si>
    <t>WOS:000302806700005</t>
  </si>
  <si>
    <t>Yamanokuchi, T</t>
  </si>
  <si>
    <t>Yamanokuchi, Tsutomu</t>
  </si>
  <si>
    <t>Detection of Boundary between Antarctic Ice Sheet and Ice Shelf by Satellite Data</t>
  </si>
  <si>
    <t>JOURNAL OF JAPANESE SOCIETY OF TRIBOLOGISTS</t>
  </si>
  <si>
    <t>SAR; SAR interferometry; grounding line; Antarctica; ice sheet; ice shelf</t>
  </si>
  <si>
    <t>MOTION</t>
  </si>
  <si>
    <t>Remote Sensing Technol Ctr Japan, Minato Ku, Tokyo 1060032, Japan</t>
  </si>
  <si>
    <t>Yamanokuchi, T (corresponding author), Remote Sensing Technol Ctr Japan, Minato Ku, Roppongi 1st BLDG 12 F,9-9,Roppongi 1 Chome, Tokyo 1060032, Japan.</t>
  </si>
  <si>
    <t>tsutomuy@restec.or.jp</t>
  </si>
  <si>
    <t>JAPAN SOC TRIBOLOGISTS</t>
  </si>
  <si>
    <t>KIKAI SHINKO KAIKAN NO 407-2 5-8 SHIBA-KOEN 3-CHOME MINATO-KU, TOKYO, 105, JAPAN</t>
  </si>
  <si>
    <t>0915-1168</t>
  </si>
  <si>
    <t>J JPN SOC TRIBOLOGIS</t>
  </si>
  <si>
    <t>J. Jpn. Soc. Tribol.</t>
  </si>
  <si>
    <t>Engineering, Mechanical</t>
  </si>
  <si>
    <t>927FN</t>
  </si>
  <si>
    <t>WOS:000302892600003</t>
  </si>
  <si>
    <t>Capicciotti, CJ; Leclère, M; Perras, FA; Bryce, DL; Paulin, H; Harden, J; Liu, Y; Ben, RN</t>
  </si>
  <si>
    <t>Capicciotti, Chantelle J.; Leclere, Mathieu; Perras, Frederic A.; Bryce, David L.; Paulin, Hilary; Harden, James; Liu, Yun; Ben, Robert N.</t>
  </si>
  <si>
    <t>Potent inhibition of ice recrystallization by low molecular weight carbohydrate-based surfactants and hydrogelators</t>
  </si>
  <si>
    <t>CHEMICAL SCIENCE</t>
  </si>
  <si>
    <t>HYPERACTIVE ANTIFREEZE PROTEIN; BETA-D-GLUCOPYRANOSIDE; SOLID-STATE NMR; ANTARCTIC FISHES; FREEZING RESISTANCE; DYNAMICS SIMULATION; AQUEOUS-SOLUTION; CELL VIABILITY; CRYSTAL-GROWTH; LOLIUM-PERENNE</t>
  </si>
  <si>
    <t>Ice recrystallization inhibition (IRI) activity is a very desirable property for an effective cryoprotectant. This property was first observed in biological antifreezes (BAs), which cannot be utilized in cryopreservation due to their ability to bind to ice. To date, potent IRI active compounds have been limited to BAs or synthetic C-linked AFGP analogues (1 and 2), all of which are large peptide-based molecules. This paper describes the first example of low molecular weight carbohydrate-based derivatives that exhibit potent IRI activity. Non-ionic surfactant n-octyl-beta-D-galactopyranoside (4) exhibited potent IRI activity at a concentration of 22 mM, whereas hydrogelator N-octyl-D-gluconamide (5) exhibited potent IRI activity at a low concentration of 0.5 mM. Thermal hysteresis measurements and solid-state NMR experiments indicated that these derivatives are not exhibiting IRI activity by binding to ice. For non-ionic surfactant derivatives (3 and 4), we demonstrated that carbohydrate hydration is important for IRI activity and that the formation of micelles in solution is not a prerequisite for IRI activity. Furthermore, using solid-state NMR and rheology we demonstrated that the ability of hydrogelators 5 and 6 to form a hydrogel is not relevant to IRI activity. Structure-function studies indicated that the amide bond in 5 is an essential structural feature required for potent IRI activity.</t>
  </si>
  <si>
    <t>[Capicciotti, Chantelle J.; Leclere, Mathieu; Perras, Frederic A.; Bryce, David L.; Ben, Robert N.] Univ Ottawa, Dept Chem, Ottawa, ON K1N 6N5, Canada; [Paulin, Hilary; Harden, James] Univ Ottawa, Dept Phys, Ottawa, ON K1N 6N5, Canada; [Liu, Yun] Univ Ottawa, Ctr Catalysis Res &amp; Innovat, Ottawa, ON K1N 6N5, Canada</t>
  </si>
  <si>
    <t>University of Ottawa; University of Ottawa; University of Ottawa</t>
  </si>
  <si>
    <t>robert.ben@uottawa.ca</t>
  </si>
  <si>
    <t>Perras, Frédéric A/B-8087-2017; Perras, Frédéric A/AAK-5508-2020; Bryce, David/A-3534-2008</t>
  </si>
  <si>
    <t>Bryce, David/0000-0001-9989-796X; Ben, Robert/0000-0002-4625-5389</t>
  </si>
  <si>
    <t>Natural Sciences and Engineering Research Council of Canada (NSERC); Canadian Blood Services (CBS); Canadian Foundation for Innovation (CFI)</t>
  </si>
  <si>
    <t>Natural Sciences and Engineering Research Council of Canada (NSERC)(Natural Sciences and Engineering Research Council of Canada (NSERC)); Canadian Blood Services (CBS); Canadian Foundation for Innovation (CFI)(Canada Foundation for Innovation)</t>
  </si>
  <si>
    <t>The authors acknowledge the Natural Sciences and Engineering Research Council of Canada (NSERC), Canadian Blood Services (CBS) and Canadian Foundation for Innovation (CFI) for financial support. The views expressed herein do not necessarily represent the view of the federal government. We would like to thank Peter L. Davies (Queens University, Canada) for providing the LpAFP plasmids and Christopher N. Boddy (University of Ottawa, Canada) for assistance with recombinant protein expression. C. J. C. thanks CBS for a GFP award.</t>
  </si>
  <si>
    <t>2041-6520</t>
  </si>
  <si>
    <t>2041-6539</t>
  </si>
  <si>
    <t>CHEM SCI</t>
  </si>
  <si>
    <t>Chem. Sci.</t>
  </si>
  <si>
    <t>10.1039/c2sc00885h</t>
  </si>
  <si>
    <t>Chemistry, Multidisciplinary</t>
  </si>
  <si>
    <t>919JA</t>
  </si>
  <si>
    <t>WOS:000302319000005</t>
  </si>
  <si>
    <t>Liepert, BG; Previdi, M</t>
  </si>
  <si>
    <t>Liepert, Beate G.; Previdi, Michael</t>
  </si>
  <si>
    <t>Inter-model variability and biases of the global water cycle in CMIP3 coupled climate models</t>
  </si>
  <si>
    <t>ENVIRONMENTAL RESEARCH LETTERS</t>
  </si>
  <si>
    <t>global water cycle; climate model validation; atmospheric moisture convergence; ghost forcing; climate predictions; dry zones</t>
  </si>
  <si>
    <t>Observed changes such as increasing global temperatures and the intensification of the global water cycle in the 20th century are robust results of coupled general circulation models (CGCMs). In spite of these successes, model-to-model variability and biases that are small in first order climate responses, however, have considerable implications for climate predictability especially when multi-model means are used. We show that most climate simulations of the 20th and 21st century A2 scenario performed with CMIP3 (Coupled Model Inter-comparison Project Phase 3) models have deficiencies in simulating the global atmospheric moisture balance. Large biases of only a few models (some biases reach the simulated global precipitation changes in the 20th and 21st centuries) affect the multi-model mean global moisture budget. An imbalanced flux of -0.14 Sv exists while the multi-model median imbalance is only -0.02 Sv. Moreover, for most models the detected imbalance changes over time. As a consequence, in 13 of the 18 CMIP3 models examined, global annual mean precipitation exceeds global evaporation, indicating that there should be a 'leaking' of moisture from the atmosphere whereas for the remaining five models a 'flooding' is implied. Nonetheless, in all models, the actual atmospheric moisture content and its variability correctly increases during the course of the 20th and 21st centuries. These discrepancies therefore imply an unphysical and hence 'ghost' sink/source of atmospheric moisture in the models whose atmospheres flood/leak. The ghost source/sink of moisture can also be regarded as atmospheric latent heating/cooling and hence as positive/negative perturbation of the atmospheric energy budget or non-radiative forcing in the range of -1 to +6 W m(-2) (median +0.1 W m(-2)). The inter-model variability of the global atmospheric moisture transport from oceans to land areas, which impacts the terrestrial water cycle, is also quite high and ranges from 0.26 to 1.78 Sv. In the 21st century this transport to land increases by about 5% per century with a model-to-model range from 1 to 13%. We suggest that this variability is weakly correlated to the land-sea contrast in air temperature change of these models. Spatially heterogeneous forcings such as aerosols contribute to the variability in moisture transport, at least in one model. The polewards shifts of dry zones in climate simulations of the 21st century are also assessed. It is shown that the multi-model means of the two subsets of models with negative and positive imbalances in the atmospheric moisture budget produce spatial variability in the dry zone positions similar in size to the spatial shifts expected from 21st century global warming. Thus, the selection of models also affects the multi-model mean dry zone extension. In general, we caution the use of multi-model means of E - P fields and suggest self-consistency tests for climate models.</t>
  </si>
  <si>
    <t>[Liepert, Beate G.] NW Res Associates Inc, Redmond, WA 98052 USA; [Previdi, Michael] Columbia Univ, Lamont Doherty Earth Observ, Palisades, NY 10964 USA</t>
  </si>
  <si>
    <t>NorthWest Research Associates; Columbia University</t>
  </si>
  <si>
    <t>Liepert, BG (corresponding author), NW Res Associates Inc, 4118 148th Ave NE, Redmond, WA 98052 USA.</t>
  </si>
  <si>
    <t>Liepert@nwra.com</t>
  </si>
  <si>
    <t>Office of Science, US Department of Energy; NASA-MAP [NNG06GC66G]; NSF [0944103]; Directorate For Geosciences; Office of Polar Programs (OPP) [0944103] Funding Source: National Science Foundation; Directorate For Geosciences; Office of Polar Programs (OPP) [0944063] Funding Source: National Science Foundation</t>
  </si>
  <si>
    <t>Office of Science, US Department of Energy(United States Department of Energy (DOE)); NASA-MAP(National Aeronautics &amp; Space Administration (NASA)); NSF(National Science Foundation (NSF)); Directorate For Geosciences; Office of Polar Programs (OPP)(National Science Foundation (NSF)NSF - Directorate for Geosciences (GEO)); Directorate For Geosciences; Office of Polar Programs (OPP)(National Science Foundation (NSF)NSF - Directorate for Geosciences (GEO))</t>
  </si>
  <si>
    <t>The authors thank the reviewers and particularly V Lucarini for their insightful comments. The authors also thank the modeling groups for making their model output available for analysis, the Program for Climate Model Diagnosis and Inter-comparison (PCMDI) for collecting and archiving this data, and the WCRP's Working Group on Coupled Modeling (WGCM) for organizing the model data analysis activity. The WCRP CMIP3 multi-model dataset is supported by the Office of Science, US Department of Energy. This work was sponsored by NASA-MAP Program grant #NNG06GC66G and NSF Antarctic Oceans and Atmospheric Sciences grant #0944103. We thank Reto Ruedi, and Ken Lo for providing the NASA-GISS model simulations and the reviewers for their insightful comments.</t>
  </si>
  <si>
    <t>IOP Publishing Ltd</t>
  </si>
  <si>
    <t>TEMPLE CIRCUS, TEMPLE WAY, BRISTOL BS1 6BE, ENGLAND</t>
  </si>
  <si>
    <t>1748-9326</t>
  </si>
  <si>
    <t>ENVIRON RES LETT</t>
  </si>
  <si>
    <t>Environ. Res. Lett.</t>
  </si>
  <si>
    <t>JAN-MAR</t>
  </si>
  <si>
    <t>10.1088/1748-9326/7/1/014006</t>
  </si>
  <si>
    <t>922XA</t>
  </si>
  <si>
    <t>WOS:000302580600016</t>
  </si>
  <si>
    <t>Liu, HX; Wang, L; Tang, SJ; Jezek, KC</t>
  </si>
  <si>
    <t>Liu, Hongxing; Wang, Lei; Tang, Sheng-Jung; Jezek, Kenneth C.</t>
  </si>
  <si>
    <t>Robust multi-scale image matching for deriving ice surface velocity field from sequential satellite images</t>
  </si>
  <si>
    <t>MASS-BALANCE; GLACIER VELOCITY; MOTION; SHEET; ANTARCTICA; TRACKING; LEVEL; IDENTIFICATION; DYNAMICS; OUTLIERS</t>
  </si>
  <si>
    <t>The cross-correlation-based image matching method has been widely used to derive ice surface motion information from sequential satellite images through tracking spatial displacements of surface features over time. However, this conventional method is not adequate for handling areas with a high velocity variation, in which case a large search window has to be specified in order to find the correct match points for fast-moving features. The computation involved in the cross-correlation matching with a large search window is often so intensive that only a sparse set of velocity measurements can be attempted. Furthermore, with a greater search window the cross-correlation method is prone to more spurious matches. This article presents a robust multi-scale image matching method to address the deficiencies of the conventional cross-correlation technique. The main idea is to use approximate match points obtained at a coarse resolution as a guide for searching for more precise matches at a higher resolution. A robust local statistical operator is embedded at each scale in the multi-scale matching process to eliminate match outliers. The strategy of progressively refining the match precision from coarse-resolution images to the full-resolution image allows for a small search range in pixels. Our robust multi-scale matching method significantly speeds up the computation and also reduces the occurrences of bad and spurious match points. We have implemented our method as a software tool with a graphical user interface and successfully applied it to process sequential Radarsat synthetic aperture radar images for extracting high-resolution velocity fields for Antarctic glaciers and ice shelves. This software tool will be freely available to the public through the Internet.</t>
  </si>
  <si>
    <t>[Liu, Hongxing] Univ Cincinnati, Dept Geog, Cincinnati, OH 45221 USA; [Wang, Lei] Louisiana State Univ, Dept Geog &amp; Anthropol, Baton Rouge, LA 70803 USA; [Tang, Sheng-Jung] Ankang Comp Co, New Taipei City 231, Taiwan; [Jezek, Kenneth C.] Ohio State Univ, Byrd Polar Res Ctr, Columbus, OH 43210 USA</t>
  </si>
  <si>
    <t>University System of Ohio; University of Cincinnati; Louisiana State University System; Louisiana State University; University System of Ohio; Ohio State University</t>
  </si>
  <si>
    <t>Liu, HX (corresponding author), Univ Cincinnati, Dept Geog, Cincinnati, OH 45221 USA.</t>
  </si>
  <si>
    <t>hongxing.liu@uc.edu</t>
  </si>
  <si>
    <t>National Science Foundation (NSF) [0126149]</t>
  </si>
  <si>
    <t>National Science Foundation (NSF)(National Science Foundation (NSF))</t>
  </si>
  <si>
    <t>This work was supported by the National Science Foundation (NSF) grant no. 0126149.</t>
  </si>
  <si>
    <t>10.1080/01431161.2011.602128</t>
  </si>
  <si>
    <t>917GX</t>
  </si>
  <si>
    <t>WOS:000302162000008</t>
  </si>
  <si>
    <t>Aguirre, GE; Capitanio, FL; Lovrich, GA; Esnal, GB</t>
  </si>
  <si>
    <t>Aguirre, Gaston E.; Capitanio, Fabiana L.; Lovrich, Gustavo A.; Esnal, Graciela B.</t>
  </si>
  <si>
    <t>Seasonal variability of metazooplankton in coastal sub-Antarctic waters (Beagle Channel)</t>
  </si>
  <si>
    <t>Zooplankton; community structure; Beagle Channel; sub-Antarctic</t>
  </si>
  <si>
    <t>CALANUS-FINMARCHICUS; MAGELLAN REGION; ARGENTINA; COPEPOD; SEA; SIPHONOPHORES; REPRODUCTION; ZOOPLANKTON; COMMUNITIES; ASSEMBLAGES</t>
  </si>
  <si>
    <t>The aim of this study was to analyse the variability in the species composition and abundance of the metazooplankton community in different coastal areas of the Beagle Channel (southern tip of South America) during a seasonal cycle. Sampling was conducted during November (spring) 2005, March (summer), June (autumn) and September (winter) 2006 at 12 coastal stations. Copepods were the most abundant group throughout the study, and their assemblages were composed of a mixture of species typical of the south-western Atlantic, the south-eastern Pacific and the Southern Ocean. Among them, Oithona similis, Ctenocalanus citer and Drepanopus forcipatus were the dominant species. The copepod Acartia tonsa was the only taxon that displayed a spatial pattern of abundance, showing higher densities in areas with lower salinities. The community structure showed a strong temporal pattern. The metazooplankton community in March and June was mainly composed of copepods, while in November and September the community showed a greater diversity. In these two months high densities of meroplanktonic larvae were found, in coincidence with higher chlorophyll-a concentration. This temporal pattern seems to be more dependent on primary production than on physical factors such as temperature or salinity. The absence of a clear spatial pattern may suggest that the studied area of the Beagle Channel behaves as a semi-enclosed water body.</t>
  </si>
  <si>
    <t>[Aguirre, Gaston E.] Alfred Wegener Inst Polar &amp; Marine Res, D-27570 Bremerhaven, Germany; [Capitanio, Fabiana L.; Esnal, Graciela B.] Univ Buenos Aires, Fac Ciencias Exactas &amp; Nat, Buenos Aires, DF, Argentina; [Lovrich, Gustavo A.] Ctr Austral Invest Cient, Ushuaia, Tierra Del Fueg, Argentina</t>
  </si>
  <si>
    <t>Helmholtz Association; Alfred Wegener Institute, Helmholtz Centre for Polar &amp; Marine Research; University of Buenos Aires</t>
  </si>
  <si>
    <t>Aguirre, GE (corresponding author), Alfred Wegener Inst Polar &amp; Marine Res, Handelshafen 12, D-27570 Bremerhaven, Germany.</t>
  </si>
  <si>
    <t>Gaston.Aguirre@awi.de</t>
  </si>
  <si>
    <t>Consejo Nacional de Investigaciones Cientificas y Tecnicas, Argentina; UBACYT [X025/X073, 20020100200048]; CONICET PIP [5507/11220080100420]</t>
  </si>
  <si>
    <t>Consejo Nacional de Investigaciones Cientificas y Tecnicas, Argentina(Consejo Nacional de Investigaciones Cientificas y Tecnicas (CONICET)); UBACYT; CONICET PIP(Consejo Nacional de Investigaciones Cientificas y Tecnicas (CONICET))</t>
  </si>
  <si>
    <t>We thank all the members of the Laboratorio de Crustaceos Marinos (Centro Austral de Investigaciones Cientificas, Ushuaia) and Marcelo Hernando for their support during field work. We also thank David McKinnon and the three anonymous reviewers for their valuable comments. Gaston E. Aguirre was funded by a doctoral fellowship (Consejo Nacional de Investigaciones Cientificas y Tecnicas, Argentina). This work was supported by UBACYT X025/X073 and CONICET PIP 5507/11220080100420 grants to G.B. Esnal, and UBACYT 20020100200048 grant to F.L. Capitanio.</t>
  </si>
  <si>
    <t>10.1080/17451000.2011.627922</t>
  </si>
  <si>
    <t>920WO</t>
  </si>
  <si>
    <t>WOS:000302439700004</t>
  </si>
  <si>
    <t>Hubble, T; Yu, P; Airey, D; Clarke, S; Boyd, R; Keene, J; Exon, N; Gardner, J</t>
  </si>
  <si>
    <t>Yamada, Y; Kawamura, K; Ikehara, K; Ogawa, Y; Urgeles, R; Mosher, D; Chaytor, J; Strasser, M</t>
  </si>
  <si>
    <t>Hubble, Thomas; Yu, Phyllis; Airey, David; Clarke, Samantha; Boyd, Ron; Keene, John; Exon, Neville; Gardner, James</t>
  </si>
  <si>
    <t>Shipboard Party SS12 2008</t>
  </si>
  <si>
    <t>Physical Properties and Age of Continental Slope Sediments Dredged from the Eastern Australian Continental Margin - Implications for Timing of Slope Failure</t>
  </si>
  <si>
    <t>SUBMARINE MASS MOVEMENTS AND THEIR CONSEQUENCES</t>
  </si>
  <si>
    <t>Advances in Natural and Technological Hazards Research</t>
  </si>
  <si>
    <t>5th International Symposium on Submarine Mass Movements and Their Consequences</t>
  </si>
  <si>
    <t>OCT 24-26, 2011</t>
  </si>
  <si>
    <t>Submarine landslides; Mass failure; Multibeam; Seafloor geomorphology; Passive margin</t>
  </si>
  <si>
    <t>HISTORY; ARRAY</t>
  </si>
  <si>
    <t>A large number of submarine landslides were identified on the continental slope of the southeastern Australian margin during voyages aboard the RV Southern Surveyor in 2008. Preliminary sedimentological, geotechnical and biostratigraphic data are reported for dredge samples of Neogene compacted, calcareous sandy-muds recovered from submarine scarps located on the mid-continental slope. The scarps are interpreted to represent submarine landslide failure surfaces. Slope stability modeling using classical soil mechanics techniques and measured sediment shear-strengths indicate that the slopes should be stable; however, the ubiquity of evidence for mid-slope landslides on this margin indicates that their occurrence is a relatively commonplace event and that submarine-landsliding can probably be considered a normal characteristic of the margin. This presents an apparent contradiction that is probably resolved by one or both of the following: an as yet unidentified mechanism acts to reduce the shear resistance of these sediments to values low enough to enable slope failure; or geologically frequent seismic shaking events large enough to mobilise slides. It is hypothesised that the expansion of the Antarctic Icesheet in Mid-Miocene time and the consequent large-scale production of cold, equator-ward migrating, bottom water has caused significant erosion and removal of material from the mid and lower slope of the Australian continental margin in the Tasman Sea since the Mid-Miocene. It is also hypothesised that erosion due to equator-ward moving bottom water effectively and progressively removed material from the toe of the continental slope sediment wedge. This rendered the slope sediments that were deposited throughout the Tertiary more susceptible to mass failure than would have otherwise been the case.</t>
  </si>
  <si>
    <t>[Hubble, Thomas; Yu, Phyllis; Airey, David; Clarke, Samantha] Univ Sydney, Sydney, NSW 2006, Australia; [Boyd, Ron] Univ Newcastle, Newcastle, NSW, Australia; [Boyd, Ron] Conoco Phillips, Houston, TX USA; [Keene, John] Australian Natl Univ, Earth &amp; Marine Sci, Canberra, ACT, Australia; [Gardner, James] Univ New Hampshire, CCOM, Durham, NH USA</t>
  </si>
  <si>
    <t>University of Sydney; University of Newcastle; ConocoPhillips; Australian National University; University System Of New Hampshire; University of New Hampshire</t>
  </si>
  <si>
    <t>Hubble, T (corresponding author), Univ Sydney, Sydney, NSW 2006, Australia.</t>
  </si>
  <si>
    <t>tom.hubble@sydney.edu.au; samantha.clarke@sydney.edu.au</t>
  </si>
  <si>
    <t>Hubble, Thomas/F-6636-2016; Hubble, Thomas/R-2150-2019; airey, david/E-1985-2012; Clarke, Samantha/AAG-7919-2021</t>
  </si>
  <si>
    <t>Hubble, Thomas/0000-0003-0875-8636; Hubble, Thomas/0000-0003-0875-8636; Clarke, Samantha/0000-0003-4997-1580; Boyd, Ronald/0000-0002-2374-7567; Exon, Neville/0000-0003-4169-4144</t>
  </si>
  <si>
    <t>ARC australia and conoco phillips assistance with dating was provided tony allen CSIRO</t>
  </si>
  <si>
    <t>ARC australia and conoco phillips assistance with dating was provided tony allen CSIRO(Australian Research Council)</t>
  </si>
  <si>
    <t>we would like to Acknowledge the P&amp;O crew and scientifice crews of the RV southern surve yor voyage (12/2008). funding for this voyage was provided by ARC australia and conoco phillips assistance with dating was provided tony allen CSIRO sydney this paper benefiteed form reviews by Dr. greg sklibeck (university of technology ,sydney ) anad Dr .jason D. chaytor (U.S. Geological Survey)</t>
  </si>
  <si>
    <t>978-94-007-2161-6</t>
  </si>
  <si>
    <t>ADV NAT TECH HAZ RES</t>
  </si>
  <si>
    <t>10.1007/978-94-007-2162-3_4</t>
  </si>
  <si>
    <t>BZO82</t>
  </si>
  <si>
    <t>WOS:000302282300004</t>
  </si>
  <si>
    <t>Li, J</t>
  </si>
  <si>
    <t>Li, Jiao</t>
  </si>
  <si>
    <t>China installs trio of Antarctic telescopes</t>
  </si>
  <si>
    <t>PHYSICS WORLD</t>
  </si>
  <si>
    <t>0953-8585</t>
  </si>
  <si>
    <t>PHYS WORLD</t>
  </si>
  <si>
    <t>Phys. World</t>
  </si>
  <si>
    <t>JAN</t>
  </si>
  <si>
    <t>882XG</t>
  </si>
  <si>
    <t>WOS:000299596600012</t>
  </si>
  <si>
    <t>Vera, EI</t>
  </si>
  <si>
    <t>Vera, Ezequiel I.</t>
  </si>
  <si>
    <t>Millerocaulis tekelili sp nov., a new species of osmundalean fern from the Aptian Cerro Negro Formation (Antarctica)</t>
  </si>
  <si>
    <t>ALCHERINGA</t>
  </si>
  <si>
    <t>Millerocaulis; Pteridophyta; Cretaceous; Osmundaceae; Livingston Island; Byers Peninsula; Antarctica</t>
  </si>
  <si>
    <t>SOUTH SHETLAND ISLANDS; CRETACEOUS BYERS GROUP; WESTERN NORTH-AMERICA; LIVINGSTON ISLAND; ADDITIONAL EVIDENCE; OSMUNDACEAE; STRATIGRAPHY; PHYLOGENY; EVOLUTION; PENINSULA</t>
  </si>
  <si>
    <t>A new species of the osmundalean fossil morphogenus Millerocaulis Tidwell emend. Vera, Millerocaulis tekelili sp. nov. is defined, based on several permineralized stems recovered from exposures of the Lower Cretaceous Cerro Negro Formation on Livingston Island, South Shetland Islands, Antarctica. This new species is characterized by the presence of an ectophloic-dictyoxylic siphonostele, inner parenchymatic and outer sclerotic cortices, heterogeneous sclerotic ring in the petiole bases, absence of sclerenchyma associated with the petiolar xylem trace, petiolar inner cortex with sclerenchyma strands and stipular wings having a large sclerenchyma bundle and several smaller ones. The presence of non-homogeneous sclerotic rings in the petiole bases allows this new species to be clearly distinguished from other Antarctic Millerocaulis, and suggests that it may represent an intermediate form in the evolutionary lineage leading from Millerocaulis to subgenus Claytosmunda of Osmunda.</t>
  </si>
  <si>
    <t>[Vera, Ezequiel I.] Museo Argentino Ciencias Nat Bernardino Rivadavia, Div Paleobot, Buenos Aires, DF, Argentina; [Vera, Ezequiel I.] Univ Buenos Aires, Fac Ciencias Exactas &amp; Nat, Area Paleontol, Dept Ciencias Geol, Buenos Aires, DF, Argentina</t>
  </si>
  <si>
    <t>Museo Argentino de Ciencias Naturales Bernardino Rivadavia (MACN); University of Buenos Aires</t>
  </si>
  <si>
    <t>Vera, EI (corresponding author), Museo Argentino Ciencias Nat Bernardino Rivadavia, Div Paleobot, Av Angel Gallardo 470,C1524DJR, Buenos Aires, DF, Argentina.</t>
  </si>
  <si>
    <t>evera@macn.gov.ar</t>
  </si>
  <si>
    <t>Vera, Ezequiel/0000-0002-0267-5277</t>
  </si>
  <si>
    <t>ANPCyT [PICT 32320]; CONICET [PIP 512]</t>
  </si>
  <si>
    <t>ANPCyT(ANPCyT); CONICET(Consejo Nacional de Investigaciones Cientificas y Tecnicas (CONICET))</t>
  </si>
  <si>
    <t>Thanks are due to Drs Silvia Cesari and Rafael Herbst for reading earlier versions of this manuscript and providing helpful comments. Thanks are extended to Editor Stephen McLoughlin, who kindly provided extensive suggestions regarding the English language; and to two anonymous reviewers, whose comments greatly improved the final version of the manuscript. This research was supported by the PICT 32320 (ANPCyT) and PIP 512 (CONICET) research projects.</t>
  </si>
  <si>
    <t>0311-5518</t>
  </si>
  <si>
    <t>Alcheringa</t>
  </si>
  <si>
    <t>10.1080/03115518.2011.576541</t>
  </si>
  <si>
    <t>911HH</t>
  </si>
  <si>
    <t>WOS:000301707400004</t>
  </si>
  <si>
    <t>Kravchenko, VO; Evtushevsky, OM; Grytsai, AV; Klekociuk, AR; Milinevsky, GP; Grytsai, ZI</t>
  </si>
  <si>
    <t>Kravchenko, V. O.; Evtushevsky, O. M.; Grytsai, A. V.; Klekociuk, A. R.; Milinevsky, G. P.; Grytsai, Z. I.</t>
  </si>
  <si>
    <t>Quasi-stationary planetary waves in late winter Antarctic stratosphere temperature as a possible indicator of spring total ozone</t>
  </si>
  <si>
    <t>SOUTHERN-HEMISPHERE; INTERANNUAL VARIABILITY; EP FLUX; VORTEX; HOLE; TRANSPORT; CLIMATOLOGY; ATMOSPHERE; PROPAGATION; CIRCULATION</t>
  </si>
  <si>
    <t>Stratospheric preconditions for the annual Antarctic ozone hole are analyzed using the amplitude of quasi-stationary planetary waves in temperature as a predictor of total ozone column behaviour. It is found that the quasi-stationary wave amplitude in August is highly correlated with September-November total ozone over Antarctica with correlation coefficient (r) as high as 0.83 indicating that quasi-stationary wave effects in late winter have a persisting influence on the evolution of the ozone hole during the following three months. Correlation maxima are found in both the lower and middle stratosphere. These likely result from the influence of wave activity on ozone depletion due to chemical processes, and ozone accumulation due to large-scale ozone transport, respectively. Both correlation maxima indicate that spring total ozone tends to increase in the case of amplified activity of quasi-stationary waves in late winter. Since the stationary wave number one dominates the planetary waves that propagate into the Antarctic stratosphere in late austral winter, it is largely responsible for the stationary zonal asymmetry of the ozone hole relative to the South Pole. Processes associated with zonally asymmetric ozone and temperature which possibly contribute to differences in the persistence and location of the correlation maxima are discussed.</t>
  </si>
  <si>
    <t>[Kravchenko, V. O.; Evtushevsky, O. M.; Grytsai, A. V.; Milinevsky, G. P.; Grytsai, Z. I.] Kyiv Natl Taras Shevchenko Univ, Space Phys Lab, Kiev, Ukraine; [Klekociuk, A. R.] Australian Antarctic Div, Ice Ocean Atmosphere &amp; Climate Program, Kingston, Tas, Australia</t>
  </si>
  <si>
    <t>Ministry of Education &amp; Science of Ukraine; Taras Shevchenko National University of Kyiv; Australian Antarctic Division</t>
  </si>
  <si>
    <t>Milinevsky, GP (corresponding author), Kyiv Natl Taras Shevchenko Univ, Space Phys Lab, Kiev, Ukraine.</t>
  </si>
  <si>
    <t>genmilinevsky@gmail.com</t>
  </si>
  <si>
    <t>Grytsai, Asen/AAS-7114-2020; Milinevsky, Gennadi/AAD-8801-2019; Evtushevsky, Oleksandr O.M./F-2065-2017; Klekociuk, Andrew/A-4498-2015</t>
  </si>
  <si>
    <t>Milinevsky, Gennadi/0000-0002-2342-2615; Evtushevsky, Oleksandr O.M./0000-0003-0582-559X; Klekociuk, Andrew/0000-0003-3335-0034; Grytsai, Asen/0000-0002-2545-9833</t>
  </si>
  <si>
    <t>Kyiv National Taras Shevchenko University [11BF051-01]; Australian Antarctic Science project [737]</t>
  </si>
  <si>
    <t>Kyiv National Taras Shevchenko University; Australian Antarctic Science project</t>
  </si>
  <si>
    <t>NCEP Reanalysis data provided by the NOAA/OAR/ESRL PSD, Boulder, Colorado, USA, from their Web site at http://www.esrl.noaa.gov/psd/. TOMS/OMI data have been obtained from the NASA Web site at http://ozoneaq.gsfc.nasa.gov. The total ozone Multi Sensor reanalysis data provided by the ESA TEMIS project at the KNMI Web site http://www.temis.nl/protocols/o3field/o3mean_msr.php. The authors thank two anonymous referees for detailed comments and useful suggestions. The authors would like to thank Lon Hood of the University of Arizona for reading the manuscript and useful advice. The work was supported in part by Kyiv National Taras Shevchenko University, project 11BF051-01 and Australian Antarctic Science project 737.</t>
  </si>
  <si>
    <t>10.5194/acp-12-2865-2012</t>
  </si>
  <si>
    <t>917LM</t>
  </si>
  <si>
    <t>WOS:000302178000004</t>
  </si>
  <si>
    <t>Lambert, A; Santee, ML; Wu, DL; Chae, JH</t>
  </si>
  <si>
    <t>Lambert, A.; Santee, M. L.; Wu, D. L.; Chae, J. H.</t>
  </si>
  <si>
    <t>A-train CALIOP and MLS observations of early winter Antarctic polar stratospheric clouds and nitric acid in 2008</t>
  </si>
  <si>
    <t>LARGE HNO3-CONTAINING PARTICLES; ARCTIC LOWER STRATOSPHERE; LIDAR OBSERVATIONS; OZONE DEPLETION; ICE PARTICLES; SAGE-II; MICROPHYSICAL PROPERTIES; PHASE-TRANSITIONS; VAPOR-PRESSURES; TRIHYDRATE NAT</t>
  </si>
  <si>
    <t>A-train Cloud-Aerosol Lidar with Orthogonal Polarization (CALIOP) and Microwave Limb Sounder (MLS) observations are used to investigate the development of polar stratospheric clouds (PSCs) and the gas-phase nitric acid distribution in the early 2008 Antarctic winter. Observational evidence of gravity-wave activity is provided by Atmospheric Infrared Sounder (AIRS) radiances and infrared spectroscopic detection of nitric acid trihydrate (NAT) in PSCs is obtained from the Michelson Interferometer for Passive Atmospheric Sounding (MIPAS). Goddard Earth Observing System Data Assimilation System (GEOS-5 DAS) analyses are used to derive Lagrangian trajectories and to determine temperature-time histories of air parcels. We use CALIOP backscatter and depolarization measurements to classify PSCs and the MLS measurements to determine the corresponding gas-phase HNO3 as a function of temperature. For liquid PSCs the uptake of HNO3 follows the theoretical equilibrium curve for supercooled ternary solutions (STS), but at temperatures about 1 K lower as determined from GEOS-5. In the presence of solid phase PSCs, above the ice frost-point, the HNO3 depletion occurs over a wider range of temperatures (+2 to -7 K) distributed about the NAT equilibrium curve. Rapid gas-phase HNO3 depletion is first seen by MLS from from 23-25 May 2008, consisting of a decrease in the volume mixing ratio from 14 ppbv (parts per billion by volume) to 7 ppbv on the 46-32 hPa (hectopascal) pressure levels and accompanied by a 2-3 ppbv increase by renitrification at the 68 hPa pressure level. The observed region of depleted HNO3 is substantially smaller than the region bounded by the NAT existence temperature threshold. Temperature-time histories of air parcels demonstrate that the depletion is more clearly correlated with prior exposure to temperatures a few kelvin above the frost-point. From the combined data we infer the presence of large-size NAT particles with effective radii &gt; 5-7 mu m and low NAT number densities &lt; 1 x 10(-3) cm(-3). This denitrification event is observed close to the pole in the Antarctic vortex before synoptic temperatures first fall below the ice frost point and before the widespread occurrence of large-scale NAT PSCs. An episode of mountain wave activity detected by AIRS on 28 May 2008 led to wave-ice formation in the rapid cooling phases over the Antarctic Peninsula and Ellsworth Mountains, seeding an outbreak of NAT PSCs that were detected by CALIOP and MIPAS. The NAT clouds formed at altitudes of 18-26 km in a polar freezing belt and appear to be composed of relatively small particles with estimated effective radii of around 1 mu m and high NAT number densities &gt; 0.2 cm(-3). This NAT outbreak is similar to an event previously reported from MIPAS observations in mid-June 2003.</t>
  </si>
  <si>
    <t>[Lambert, A.; Santee, M. L.; Wu, D. L.; Chae, J. H.] NASA, Jet Prop Lab, CALTECH, Pasadena, CA USA</t>
  </si>
  <si>
    <t>National Aeronautics &amp; Space Administration (NASA); NASA Jet Propulsion Laboratory (JPL); California Institute of Technology</t>
  </si>
  <si>
    <t>Lambert, A (corresponding author), NASA, Jet Prop Lab, CALTECH, Pasadena, CA USA.</t>
  </si>
  <si>
    <t>alyn.lambert@jpl.nasa.gov</t>
  </si>
  <si>
    <t>Lambert, Alyn/I-8415-2014; Santee, MIchelle/R-5762-2019; Wu, Dong L/D-5375-2012</t>
  </si>
  <si>
    <t>Lambert, Alyn/0000-0003-3182-1824;</t>
  </si>
  <si>
    <t>National Aeronautics and Space Administration</t>
  </si>
  <si>
    <t>National Aeronautics and Space Administration(National Aeronautics &amp; Space Administration (NASA))</t>
  </si>
  <si>
    <t>We gratefully acknowledge all of the teams associated with the AIRS, CALIOP, MLS and MIPAS instruments, and the GEOS-5 meteorological analyses. AIRS and MLS data were obtained from the NASA Goddard Earth Sciences Data Information and Services Center. CALIOP data were obtained from the NASA Langley Research Center Atmospheric Science Data Center. EnviSat MIPAS Level-1 data were provided by the European Space Agency. We thank A. Dudhia for supplying MIPAS cloud top height data and maintaining an online resource of MIPAS related information (http://www.atm.ox.ac.uk/group/mipas/). IDL software for calculation of PSC thermodynamic properties provided by M. E. Hervig was obtained from the GATS Scientific Software website (http://gwest.gats-inc.com/software/software_page.html). Fortran software for T-matrix calculations provided by M. I. Mishchenko was obtained from the NASA GISS website (http://www.giss.nasa.gov/staff/mmishchenko/t_matrix.html). We are grateful to M. C. Pitts and L. R. Poole for their comments on an early version of the manuscript. Work at the Jet Propulsion Laboratory, California Institute of Technology, was carried out under a contract with the National Aeronautics and Space Administration.</t>
  </si>
  <si>
    <t>10.5194/acp-12-2899-2012</t>
  </si>
  <si>
    <t>WOS:000302178000006</t>
  </si>
  <si>
    <t>Dixon, R</t>
  </si>
  <si>
    <t>Dixon, Robert</t>
  </si>
  <si>
    <t>The Heart of the Great Alone: Scott, Shackleton and Antarctic Photography</t>
  </si>
  <si>
    <t>HISTORY OF PHOTOGRAPHY</t>
  </si>
  <si>
    <t>[Dixon, Robert] Univ Sydney, Sydney, NSW 2006, Australia</t>
  </si>
  <si>
    <t>University of Sydney</t>
  </si>
  <si>
    <t>Dixon, R (corresponding author), Univ Sydney, Sydney, NSW 2006, Australia.</t>
  </si>
  <si>
    <t>0308-7298</t>
  </si>
  <si>
    <t>HIST PHOTOGR</t>
  </si>
  <si>
    <t>Hist. Photogr.</t>
  </si>
  <si>
    <t>10.1080/03087298.2012.638128</t>
  </si>
  <si>
    <t>Art</t>
  </si>
  <si>
    <t>914IE</t>
  </si>
  <si>
    <t>WOS:000301942200014</t>
  </si>
  <si>
    <t>Siingh, D; Chate, DM; Ali, K</t>
  </si>
  <si>
    <t>Siingh, Devendraa; Chate, D. M.; Ali, Kaushar</t>
  </si>
  <si>
    <t>Time-elapsed evolution of aerosol size distributions by snow particles after the passage of blizzards over the Maitri (Antarctica)</t>
  </si>
  <si>
    <t>SOLAR ULTRAVIOLET-RADIATION; ATMOSPHERIC CORRECTION; AIR-POLLUTION; SATELLITE; OZONE; DEPOSITION; CLIMATE; ATHENS</t>
  </si>
  <si>
    <t>Measurements of the aerosol size distribution in the diameter range 0.003-20 mu m were made by a scanning mobility particle sizer (SMPS) and an aerodynamic particle sizer (APS) at Maitri (70 degrees 45' 52 '' S, 11 degrees 44' 03 '' E, Antarctica) during the 24th Indian Antarctic Expedition, which took place in January and February 2005. Time-elapsed evolutions of the aerosol size distributions on 30 January and 17 and 20 February 2005, after the passage of blizzards, were selected for estimation of the scavenging coefficient by considering the aerosol size distribution changes with snowfall over Antarctica. Scavenging efficiencies of snow particles and ice crystals collecting aerosols are obtained from the observed scavenging coefficients for 0.002-10 mu m aerosols. Also, theoretical snow scavenging efficiencies of snow particles and ice crystals in the diameter range 0.02-10 mm for 0.002-10 mu m aerosols are determined and, thereupon, scavenging coefficients are calculated by assuming snowfall rates of 0.25 and 4 mm h(-1) (in view of the reported decadal mean annual Antarctica snowfall accumulation rate of 180 mm yr(-1)). Snow scavenging efficiencies based on the scavenging coefficients found by considering the aerosol size distribution changes with snowfall after the occurrences of blizzards are higher than theoretical scavenging efficiencies and those of laboratory experiments for planar and columnar ice crystals. Also, the scavenging coefficients found are higher by two to three orders of magnitude than theoretical scavenging coefficients. Scavenging coefficients found from aerosol size distribution changes by snowfall after the passage of blizzards on 30 January and 17 and 20 February 2005 over Antarctica suggest that the orders of magnitude of their best estimation and the corresponding scavenging efficiencies can be viewed as being on a par with the natural snow scavenging of aerosols over this remote region.</t>
  </si>
  <si>
    <t>[Siingh, Devendraa; Chate, D. M.; Ali, Kaushar] Indian Inst Trop Meteorol, Pune 411008, Maharashtra, India</t>
  </si>
  <si>
    <t>Ministry of Earth Sciences (MoES) - India; Indian Institute of Tropical Meteorology (IITM)</t>
  </si>
  <si>
    <t>Chate, DM (corresponding author), Indian Inst Trop Meteorol, Pune 411008, Maharashtra, India.</t>
  </si>
  <si>
    <t>chate@tropmet.res.in</t>
  </si>
  <si>
    <t>Siingh, Dr Devendraa/ABF-2491-2021</t>
  </si>
  <si>
    <t>Siingh, Dr Devendraa/0000-0003-3044-596X; Siingh, Devendraa Siingh/0000-0002-1716-3688</t>
  </si>
  <si>
    <t>10.1080/01431161.2010.542206</t>
  </si>
  <si>
    <t>917GO</t>
  </si>
  <si>
    <t>WOS:000302161100005</t>
  </si>
  <si>
    <t>Hill, C; Ferreira, D; Campin, JM; Marshall, J; Abernathey, R; Barrier, N</t>
  </si>
  <si>
    <t>Hill, Chris; Ferreira, David; Campin, Jean-Michel; Marshall, John; Abernathey, Ryan; Barrier, Nicolas</t>
  </si>
  <si>
    <t>Controlling spurious diapycnal mixing in eddy-resolving height-coordinate ocean models - Insights from virtual deliberate tracer release experiments</t>
  </si>
  <si>
    <t>Ocean modeling; Diapyncnal mixing; Numerical mixing; Advection; Southern ocean; Adiabatic</t>
  </si>
  <si>
    <t>ANTARCTIC CIRCUMPOLAR CURRENT; NUMERICAL ADVECTION; SOUTHERN-OCEAN; CIRCULATION; TRANSPORT; SCHEMES; PARAMETERIZATION; CONSERVATION; VARIABILITY; PYCNOCLINE</t>
  </si>
  <si>
    <t>A perceived limitation of z-coordinate models associated with spurious diapycnal mixing in eddying, frontal flow, can be readily addressed through appropriate attention to the tracer advection schemes employed. It is demonstrated that tracer advection schemes developed by Prather and collaborators for application in the stratosphere, greatly improve the fidelity of eddying flows, reducing levels of spurious diapycnal mixing to below those directly measured in field experiments, similar to 1 x 10(-5) m(2) s(-1). This approach yields a model in which geostrophic eddies are quasi-adiabatic in the ocean interior, so that the residual-mean overturning circulation aligns almost perfectly with density contours. A reentrant channel configuration of the MIT General Circulation Model, that approximates the Antarctic Circumpolar Current, is used to examine these issues. Virtual analogs of ocean deliberate tracer release field experiments reinforce our conclusion, producing passive tracer solutions that parallel field experiments remarkably well. (C) 2011 Elsevier Ltd. All rights reserved.</t>
  </si>
  <si>
    <t>[Hill, Chris; Ferreira, David; Campin, Jean-Michel; Marshall, John; Abernathey, Ryan; Barrier, Nicolas] MIT, Dept Earth Atmospher &amp; Planetary Sci, Cambridge, MA 02139 USA</t>
  </si>
  <si>
    <t>Massachusetts Institute of Technology (MIT)</t>
  </si>
  <si>
    <t>Hill, C (corresponding author), MIT, Dept Earth Atmospher &amp; Planetary Sci, Cambridge, MA 02139 USA.</t>
  </si>
  <si>
    <t>cnh@mit.edu</t>
  </si>
  <si>
    <t>Barrier, Nicolas/JME-3194-2023; Ferreira, David/JJD-6133-2023; Ferreira, David/JNR-2354-2023</t>
  </si>
  <si>
    <t>Barrier, Nicolas/0000-0002-1693-4719; Ferreira, David/0000-0003-3243-9774; Abernathey, Ryan/0000-0001-5999-4917</t>
  </si>
  <si>
    <t>Office of Advanced Cyberinfrastructure (OAC); Direct For Computer &amp; Info Scie &amp; Enginr [0904338] Funding Source: National Science Foundation</t>
  </si>
  <si>
    <t>Office of Advanced Cyberinfrastructure (OAC); Direct For Computer &amp; Info Scie &amp; Enginr(National Science Foundation (NSF)NSF - Directorate for Computer &amp; Information Science &amp; Engineering (CISE))</t>
  </si>
  <si>
    <t>1463-5011</t>
  </si>
  <si>
    <t>45-46</t>
  </si>
  <si>
    <t>10.1016/j.ocemod.2011.12.001</t>
  </si>
  <si>
    <t>917ON</t>
  </si>
  <si>
    <t>WOS:000302187700002</t>
  </si>
  <si>
    <t>Mozer, A</t>
  </si>
  <si>
    <t>Mozer, Anna</t>
  </si>
  <si>
    <t>Pre-glacial sedimentary facies of the Point Thomas Formation (Eocene) at Cytadela, Admiralty Bay, King George Island, West Antarctica</t>
  </si>
  <si>
    <t>Antarctic; King George Island; Point Thomas Formation; Eocene; preglacial environments; plant fossils; weathering</t>
  </si>
  <si>
    <t>FOSSIL WOOD</t>
  </si>
  <si>
    <t>New evidence of Eocene preglacial environments has been found on the southern coast of Ezcurra Inlet on King George Island, South Shetland Islands, West Antarctica. Plant remains (trunks, leaves, detritus) and carbonaceous seams and beds occur in sedimentary strata in a 4 km long Cytadela outcrop of the Point Thomas Formation. They are an evidence for the presence and diversity of terrestrial vegetation in the northern Antarctic Peninsula region. The forests were composed mostly of Podocarpaceae-Araucaria-Nothofagus, with an undergrowth of hygrophilous and thermophilous ferns, and grew on volcanic slopes and surrounding lowland areas of King George Island during breaks in volcanic activity. The succession that crops out at Cytadela provides a record of changing climatic conditions from a warm and wet climate with extensive vegetation to a much drier climate with limited vegetation and ubiquitous weathering of volcanic bedrock. The geochemical indices of weathering (CIA, PIA and CIW) have narrow and relatively high value ranges (76-88), suggesting moderate to high chemical weathering under warm and humid climate conditions. The decrease in humidity and the decline in plant life through the succession can be related to the gradually cooling climate preceding development of the Oligocene ice cover across the Antarctic continent.</t>
  </si>
  <si>
    <t>Osrodek Badawczy Warszawie, Inst Nauk Geol PAN, PL-00818 Warsaw, Poland</t>
  </si>
  <si>
    <t>Polish Academy of Sciences; Institute of Geological Sciences of the Polish Academy of Sciences</t>
  </si>
  <si>
    <t>Mozer, A (corresponding author), Osrodek Badawczy Warszawie, Inst Nauk Geol PAN, Ul Twarda 51-55, PL-00818 Warsaw, Poland.</t>
  </si>
  <si>
    <t>amozer@twarda.pan.pl</t>
  </si>
  <si>
    <t>10.2478/v10183-012-0002-7</t>
  </si>
  <si>
    <t>922BI</t>
  </si>
  <si>
    <t>WOS:000302521400004</t>
  </si>
  <si>
    <t>Chwedorzewska, KJ; Bednarek, PT</t>
  </si>
  <si>
    <t>Chwedorzewska, Katarzyna J.; Bednarek, Piotr T.</t>
  </si>
  <si>
    <t>Genetic and epigenetic variation in a cosmopolitan grass Poa annua from Antarctic and Polish populations</t>
  </si>
  <si>
    <t>Antarctic; Poa annua; invasive species; metAFLP</t>
  </si>
  <si>
    <t>DNA METHYLATION; PUTATIVE ANCESTORS; MARKERS; INHERITANCE; DIVERSITY; INVASIONS; PATTERNS; CONSEQUENCES; EVOLUTION; RESPONSES</t>
  </si>
  <si>
    <t>Poa annua L. is the only non-native vascular plant that was successfully established in the maritime Antarctic. This project aimed to determine the amount of genetic and epigenetic variation within and between two populations of P. annua, one from South Shetland Is. (Antarctic) and the other one from Central Europe. We applied two AFLP marker systems, using endonucleases that recognised the same restriction site but differed in their sensitivity towards methylation. The Antarctic population differed from the Polish one both at the genetic and epigenetic levels. Genetic variability in the Antarctic population was lower than in the Polish one. Some loci in the Antarctic population showed signs of selection. The difference between Polish and Antarctic populations might be due to a weak bottleneck effect followed by population expansion. Using only epigenetic markers, the Antarctic population exhibited increased variation level compared to the Polish one. These may have resulted from plastic responses to environmental factors and could be associated with survival in extreme conditions.</t>
  </si>
  <si>
    <t>[Chwedorzewska, Katarzyna J.] Inst Biochem &amp; Biofizyki PAN, Zaklad Biol Antarktyki, PL-02106 Warsaw, Poland; [Bednarek, Piotr T.] Inst Hodowli &amp; Aklimatyzacji Roslin, PL-05870 Blonie, Radzikow, Poland</t>
  </si>
  <si>
    <t>Polish Academy of Sciences; Institute of Biochemistry &amp; Biophysics - Polish Academy of Sciences; Institute of Plant Breeding &amp; Acclimatization</t>
  </si>
  <si>
    <t>Chwedorzewska, KJ (corresponding author), Inst Biochem &amp; Biofizyki PAN, Zaklad Biol Antarktyki, Ul Pawinskiego 5A, PL-02106 Warsaw, Poland.</t>
  </si>
  <si>
    <t>kchwedorzewska@go2.pl; p.bednarek@ihar.edu.pl</t>
  </si>
  <si>
    <t>Chwedorzewska, Katarzyna/M-9721-2019; Chwedorzewska, Katarzyna J/A-9480-2008; Bednarek, Piotr/A-9523-2009</t>
  </si>
  <si>
    <t>Chwedorzewska, Katarzyna/0000-0001-6860-3666; Bednarek, Piotr Tomasz/0000-0002-1553-8378</t>
  </si>
  <si>
    <t>Ministry of Scientific Research and Higher Education [N N304 000236]</t>
  </si>
  <si>
    <t>Ministry of Scientific Research and Higher Education</t>
  </si>
  <si>
    <t>This research was supported by the Ministry of Scientific Research and Higher Education by a grant N N304 000236. The authors would like to thank Professor Maria Olech from the Institute of Botany, Jagiellonian University for providing assistance with the field and research work. We would like to thank two anonymous reviewers for constructive advice that has improved our paper.</t>
  </si>
  <si>
    <t>10.2478/v10183-012-0004-5</t>
  </si>
  <si>
    <t>WOS:000302521400005</t>
  </si>
  <si>
    <t>Laskowski, Z; Korczak-Abshire, M; Zdzitowiecki, K</t>
  </si>
  <si>
    <t>Laskowski, Zdzislaw; Korczak-Abshire, Malgorzata; Zdzitowiecki, Krzysztof</t>
  </si>
  <si>
    <t>Changes in acanthocephalan infection of the Antarctic fish Notothenia coriiceps in Admiralty Bay, King George Island, over 29 years</t>
  </si>
  <si>
    <t>Antarctic; Acanthocephala; Admiralty Bay; change of infection; Notothenia coriiceps</t>
  </si>
  <si>
    <t>SOUTH-SHETLAND ISLANDS; PARASITES</t>
  </si>
  <si>
    <t>A comparison between the levels of infection with Acanthocephala of the fish Notothenia coriiceps in Admiralty Bay (South Shetland Islands, Antarctic) in 1978/79 and 2007/08 is presented. The same eight acanthocephalan species, three echinorhynchids maturing in fish, Aspersentis megarhynchus (dominant species), Metacanthocephalus johnstoni (subdominant species) and M. dahnori (common species), and five polymorphids maturing in mammals and birds, Corynosoma hamanni, C. pseudohamanni (both co-dominant species), C. arctocephali and C. bullosum (both common species), and C. shackletoni (rare species), were found. Echinorhynchids were more numerous in 2007/08 (mean abundance 46.54 versus 35.35 in 1978/79), whereas polymorphids more numerous in 1978/79 (mean abundance 74.35 versus 36.40 in 2007/08). The overall results therefore demonstrated that echinorhynchids were more numerous than polymorphids in 2007/08 and the reverse was true in 1978/79. This situation is dependent mainly upon the decreased infections with C. hamanni, C. pseudohamanni and C. bullosum, and to a lesser degree upon the increasing of infections with M. johtistoni. The decrease of the three Corynosoma spp. is possibly associated with the decreasing of populations of final hosts, seals, on the shore of Admiralty Bay in the vicinity of Arctowski Station.</t>
  </si>
  <si>
    <t>[Laskowski, Zdzislaw; Zdzitowiecki, Krzysztof] Polish Acad Sci, Inst Parazytol W Stefanskiego, PL-00818 Warsaw, Poland; [Korczak-Abshire, Malgorzata] Inst Biochem &amp; Biofizyki PAN, Zaklad Biol Antarktyki, PL-02141 Warsaw, Poland</t>
  </si>
  <si>
    <t>Polish Academy of Sciences; Witold Stefanski Institute of Parasitology of the Polish Academy of Sciences; Polish Academy of Sciences; Institute of Biochemistry &amp; Biophysics - Polish Academy of Sciences</t>
  </si>
  <si>
    <t>Laskowski, Z (corresponding author), Polish Acad Sci, Inst Parazytol W Stefanskiego, Ul Twarda 51-55, PL-00818 Warsaw, Poland.</t>
  </si>
  <si>
    <t>laskowz@twarda.pan.pl; kzdzit@twarda.pan.pl</t>
  </si>
  <si>
    <t>Korczak-Abshire, Malgorzata/AAA-1563-2020; Laskowski, Zdzislaw/V-5682-2018</t>
  </si>
  <si>
    <t>Korczak-Abshire, Malgorzata/0000-0001-7695-0588; Laskowski, Zdzislaw/0000-0001-8542-6307</t>
  </si>
  <si>
    <t>10.2478/v10183-012-0005-4</t>
  </si>
  <si>
    <t>WOS:000302521400007</t>
  </si>
  <si>
    <t>Hall, JA; Bigg, GR; Hall, R</t>
  </si>
  <si>
    <t>Hall, Jennifer A.; Bigg, Grant R.; Hall, Richard</t>
  </si>
  <si>
    <t>Identification and tracking of individual sea ice floes from ENVISAT wide swath SAR images: a case study from Fram Strait</t>
  </si>
  <si>
    <t>REMOTE SENSING LETTERS</t>
  </si>
  <si>
    <t>ICEBERGS; FLUX</t>
  </si>
  <si>
    <t>Observations from satellites play an important role in tracking sea ice movement. Synthetic aperture radar (SAR) images are preferred because they are neither weather nor daylight dependent. Tracking the movement of individual objects (icebergs or sea ice floes) that may threaten ships or installations is of particular interest. The Ice Tracking from SAR Images (ITSARI) algorithm was originally developed to track large icebergs in the Antarctic. An adaptation of this algorithm to identify and track themovement of sea ice floes in Arctic conditions is presented, using ENVISAT wide swath SAR images of the Fram Strait acquired at 1-3-day intervals during the month of February 2008. It is shown that the algorithm can be successfully adapted to gain a general sense of the direction of movement of the ice due to both winds and ocean currents and, significantly, to identify and track specific objects of interest over a series of images.</t>
  </si>
  <si>
    <t>[Hall, Jennifer A.; Bigg, Grant R.] Univ Sheffield, Dept Geog, Sheffield S10 2TN, S Yorkshire, England; [Hall, Richard] Kongsberg Satellite Serv, N-9292 Tromso, Norway</t>
  </si>
  <si>
    <t>University of Sheffield</t>
  </si>
  <si>
    <t>Hall, JA (corresponding author), Univ Sheffield, Dept Geog, Sheffield S10 2TN, S Yorkshire, England.</t>
  </si>
  <si>
    <t>j.a.hall@sheffield.ac.uk</t>
  </si>
  <si>
    <t>Bigg, Grant/GXW-2219-2022</t>
  </si>
  <si>
    <t>King, Jennifer/0000-0001-9421-4314</t>
  </si>
  <si>
    <t>Kongsberg Satellite Services</t>
  </si>
  <si>
    <t>This work was supported by a PhD studentship funded by Kongsberg Satellite Services, who also provided the ENVISAT images, courtesy of European Space Agency (ESA). Surface wind vector data were downloaded from http://www.esrl.noaa.gov/psd/data/composites/day/.</t>
  </si>
  <si>
    <t>2150-704X</t>
  </si>
  <si>
    <t>2150-7058</t>
  </si>
  <si>
    <t>REMOTE SENS LETT</t>
  </si>
  <si>
    <t>Remote Sens. Lett.</t>
  </si>
  <si>
    <t>10.1080/01431161.2011.583288</t>
  </si>
  <si>
    <t>918KK</t>
  </si>
  <si>
    <t>WOS:000302248200003</t>
  </si>
  <si>
    <t>Wang, L</t>
  </si>
  <si>
    <t>Wang, Lei</t>
  </si>
  <si>
    <t>Deriving spatially varying thresholds for real-time snowmelt detection from space-borne passive microwave observations</t>
  </si>
  <si>
    <t>DURATION</t>
  </si>
  <si>
    <t>Previously, detecting surface snowmelt from passive microwave remote sensing data based on thresholding used arbitrarily selected cut-off values. To avoid the problems of the arbitrary threshold, this letter aims to find optimal threshold values through automated calibration. By using a wavelet-transform-based method and an interactive visualization and analysis software tool, 6-year snowmelt data were derived as reference for the calibration. The optimal threshold value is determined by minimizing the melt index error. This study shows that the previously used threshold value tends to systematically underestimate the surface melt. The spatial and temporal variability of the threshold value is examined. Although the optimal threshold value varies from region to region in the Antarctic Ice Sheet, it is relatively consistent from year to year, which implies that the optimally determined threshold value for each region can be extended to other years.</t>
  </si>
  <si>
    <t>Louisiana State Univ, Dept Geog &amp; Anthropol, Baton Rouge, LA 70803 USA</t>
  </si>
  <si>
    <t>Louisiana State University System; Louisiana State University</t>
  </si>
  <si>
    <t>Wang, L (corresponding author), Louisiana State Univ, Dept Geog &amp; Anthropol, Baton Rouge, LA 70803 USA.</t>
  </si>
  <si>
    <t>leiwang@lsu.edu</t>
  </si>
  <si>
    <t>10.1080/01431161.2011.592514</t>
  </si>
  <si>
    <t>WOS:000302248200004</t>
  </si>
  <si>
    <t>Jara-Arancio, P; Carmona, MR; Correa, C; Squeo, FA; Arancio, G</t>
  </si>
  <si>
    <t>Jara-Arancio, P.; Carmona, M. R.; Correa, C.; Squeo, F. A.; Arancio, G.</t>
  </si>
  <si>
    <t>Leaf morphological and genetic divergence in populations of Drimys (Winteraceae) in Chile</t>
  </si>
  <si>
    <t>Drimys; RAPD; Fray Jorge/Talinay; Divergence</t>
  </si>
  <si>
    <t>SOUTH-AMERICAN CONIFER; TEMPERATE RAIN-FOREST; SPACER SEQUENCES; ATACAMA DESERT; RIBOSOMAL DNA; RAPD MARKERS; PHYLOGENY; HISTORY; CLIMATE; ANDES</t>
  </si>
  <si>
    <t>The genus Drimys is distributed in Chile from semi-arid zones to sub-Antarctic forests; there are three species of this tree, D. andina, D. confertifolia and D. winteri, the latter with varieties chilensis and winteri. Northern populations are found in small disjunct natural refuges, specifically mountain cloud forests and the bottom of ravines. The size and continuity of populations are greater in the south, where wetter conditions prevail. Morphological differences between populations have been observed, particularly between the northern populations of Fray Jorge and Talinay. This observation, led to the following questions: a) what is the level of morphological and genetic divergence among the populations of Drimys in Chile? and b) do the populations from Fray Jorge/Talinay, currently classified as D. winteri var. chilensis, differ genetically from the other populations of this variety? To answer these questions, we collected leaf samples from 37 populations of all Chilean Drimys, performed leaf morphology analysis and estimated genetic divergence using RAPD markers. We found a high degree of leaf morphological and genetic divergence between the populations of Fray Jorge/Talinay and the other Chilean species of Drimys. The morphological and genetic divergence among varieties of D. winteri was greater than that among the species of Drimys, which may indicate problems with their taxonomic classification.</t>
  </si>
  <si>
    <t>[Jara-Arancio, P.; Carmona, M. R.; Squeo, F. A.; Arancio, G.] Univ Chile, Fac Ciencias, Inst Ecol &amp; Biodiversidad, Santiago, Chile; [Jara-Arancio, P.] Univ Andres Bello, Fac Ciencias Biol, Dept Ciencias Biol, Santiago, Chile; [Jara-Arancio, P.] Univ Andres Bello, Fac Ecol &amp; Recursos Nat, Dept Ecol &amp; Biodiversidad, Santiago, Chile; [Carmona, M. R.] Pontificia Univ Catolica Chile, Dept Ecol, Santiago, Chile; [Correa, C.] Pontificia Univ Catolica Chile, Dept Ecol, Lab Biol Evolutiva, Santiago, Chile; [Correa, C.] Pontificia Univ Catolica Chile, CASEB, Santiago, Chile; [Squeo, F. A.; Arancio, G.] Univ La Serena, Fac Ciencias, Dept Biol, La Serena, Chile; [Squeo, F. A.] Ctr Estudios Avanzados Zonas Aridas, La Serena, Chile</t>
  </si>
  <si>
    <t>Universidad de Chile; Universidad Andres Bello; Universidad Andres Bello; Pontificia Universidad Catolica de Chile; Pontificia Universidad Catolica de Chile; Pontificia Universidad Catolica de Chile; Universidad de La Serena</t>
  </si>
  <si>
    <t>Jara-Arancio, P (corresponding author), Univ Chile, Fac Ciencias, Inst Ecol &amp; Biodiversidad, Santiago, Chile.</t>
  </si>
  <si>
    <t>pjarancio@gmail.com</t>
  </si>
  <si>
    <t>Jara-Arancio, Paola/ABG-2884-2021</t>
  </si>
  <si>
    <t>Squeo, Francisco/0000-0003-3559-0250; Jara-Arancio, Paola/0000-0002-5835-2768</t>
  </si>
  <si>
    <t>IEB [ICM P05-002, PFB-23]; Senda Darwin Biological Station</t>
  </si>
  <si>
    <t>IEB; Senda Darwin Biological Station</t>
  </si>
  <si>
    <t>A special thank to CONAF. We thank the herbaria ULS, CONC, SGO, M.A. Hershkovitz, Melica Munoz, Mary Kalin Arroyo, Eduardo Soto, Rafael Guevara and Andrea Loayza, and the Biology Department of Universidad de La Serena and the Ecology Department of the Universidad de Chile. This study is part of a Master's thesis in Ecology of Arid Zones, presented by P. Jara-Arancio to the University of La Serena. This is a contribution to the research program of Senda Darwin Biological Station, Chiloe, Chile. P. Jara-Arancio was the recipient of a postdoctoral fellowship from IEB, ICM P05-002, PFB-23.</t>
  </si>
  <si>
    <t>RUA HUDSON 655, JARDIM CANADA, RIBEIRAO PRETO, SP, BRAZIL</t>
  </si>
  <si>
    <t>10.4238/2012.February.3.3</t>
  </si>
  <si>
    <t>914BK</t>
  </si>
  <si>
    <t>WOS:000301923500025</t>
  </si>
  <si>
    <t>Learn-Han, L; Yoke-Kqueen, C; Shiran, MS; Vui-Ling, CMW; Nurul-Syakima, AM; Son, R; Andrade, HM</t>
  </si>
  <si>
    <t>Learn-Han, L.; Yoke-Kqueen, C.; Shiran, M. S.; Vui-Ling, C. M. W.; Nurul-Syakima, A. M.; Son, R.; Andrade, H. M.</t>
  </si>
  <si>
    <t>Identification of actinomycete communities in Antarctic soil from Barrientos Island using PCR-denaturing gradient gel electrophoresis</t>
  </si>
  <si>
    <t>Actinomycetes; Barrientos Island; Antarctic, PCR-DGGE; 16S rDNA</t>
  </si>
  <si>
    <t>16S RIBOSOMAL-RNA; BACTERIAL DIVERSITY; ARCTOWSKI STATION; STREPTOMYCES; REGION; LEAVES; GENES; FUNGI; FJORD</t>
  </si>
  <si>
    <t>The diversity of specific bacteria taxa, such as the actinomycetes, has not been reported from the Antarctic island of Barrientos. The diversity of actinomycetes was estimated with two different strategies that use PCR-denaturing gradient gel electrophoresis. First, a PCR was applied, using a group-specific primer that allows selective amplification of actinomycete sequences. Second, a nested-PCR approach was used that allows the estimation of the relative abundance of actinomycetes within the bacterial community. Molecular identification, which was based on 16S rDNA sequence analysis, revealed eight genera of actinomycetes, Actinobacterium, Actinomyces, an uncultured Actinomycete, Streptomyces, Leifsonia, Frankineae, Rhodococcus, and Mycobacterium. The uncultured Actinomyces sp and Rhodococcus sp appear to be the prominent genera of actinomycetes in Barrientos Island soil. PCR-denaturing gradient gel electrophoresis patterns were used to look for correlations between actinomycete abundance and environmental characteristics, such as type of rookery and vegetation. There was a significant positive correlation between type of rookery and abundance of actinomycetes; soil samples collected from active chinstrap penguin rookeries had the highest actinomycete abundance. Vegetation type, such as moss, which could provide a microhabitat for bacteria, did not correlate significantly with actinomycete abundance.</t>
  </si>
  <si>
    <t>[Learn-Han, L.; Yoke-Kqueen, C.; Nurul-Syakima, A. M.] Univ Putra Malaysia, Fac Med &amp; Hlth Sci, Dept Biomed Sci, Serdang, Selangor Darul, Malaysia; [Shiran, M. S.] Univ Putra Malaysia, Fac Med &amp; Hlth Sci, Dept Pathol, Serdang, Selangor Darul, Malaysia; [Vui-Ling, C. M. W.] Univ Malaysia Sabah, Biotechnol Res Inst, Kota Kinabalu, Sabah, Malaysia; [Son, R.] Univ Putra Malaysia, Fac Food Sci &amp; Technol, Dept Food Sci, Serdang, Selangor Darul, Malaysia; [Andrade, H. M.] Inst Antartico Ecuatoriano, Guayaquil, Ecuador</t>
  </si>
  <si>
    <t>Universiti Putra Malaysia; Universiti Putra Malaysia; Universiti Malaysia Sabah; Universiti Putra Malaysia</t>
  </si>
  <si>
    <t>Yoke-Kqueen, C (corresponding author), Univ Putra Malaysia, Fac Med &amp; Hlth Sci, Dept Biomed Sci, Serdang, Selangor Darul, Malaysia.</t>
  </si>
  <si>
    <t>Wong, Clemente Michael Vui Ling/M-8372-2013; Lee, Learn-Han/I-5331-2015; Andrade, Helida M/F-1360-2014; Mutalib, Nurul Syakima Ab/C-2461-2014; lee, lee/KHW-4323-2024</t>
  </si>
  <si>
    <t>Wong, Clemente Michael Vui Ling/0000-0003-3431-8896; Lee, Learn-Han/0000-0002-8589-7456; Cheah, Yoke Kqueen/0000-0001-9258-3749; Ab Mutalib, Nurul Syakima/0000-0001-6914-2224</t>
  </si>
  <si>
    <t>Instituto Antartico Ecuatoriano (INAE); Malaysia Antarctic Research Program; Academy of Sciences Malaysia; Universiti Putra Malaysia Research Universiti Grant Scheme [05-01-11-1219RU]</t>
  </si>
  <si>
    <t>Instituto Antartico Ecuatoriano (INAE); Malaysia Antarctic Research Program; Academy of Sciences Malaysia; Universiti Putra Malaysia Research Universiti Grant Scheme</t>
  </si>
  <si>
    <t>Authors are grateful to Alex Foong Choon Pin for the helpful technical advices on PCR-DGGE. Authors would like to extend their deepest appreciation to Instituto Antartico Ecuatoriano (INAE) for its kind support during the XI Ecuadorian Antarctic Expedition to Pedro Vicente Maldonado Research Station, Greenwich Island, and South Shetland Islands. Research supported by the Malaysia Antarctic Research Program, the Academy of Sciences Malaysia and the Universiti Putra Malaysia Research Universiti Grant Scheme (#05-01-11-1219RU).</t>
  </si>
  <si>
    <t>10.4238/2012.February.8.3</t>
  </si>
  <si>
    <t>WOS:000301923500030</t>
  </si>
  <si>
    <t>Bringué, M; Rochon, A</t>
  </si>
  <si>
    <t>Bringue, Manuel; Rochon, Andre</t>
  </si>
  <si>
    <t>Late Holocene paleoceanography and climate variability over the Mackenzie Slope (Beaufort Sea, Canadian Arctic)</t>
  </si>
  <si>
    <t>Arctic; palynology; dinoflagellate cysts; Mackenzie Slope; climate variability</t>
  </si>
  <si>
    <t>GREAT SALINITY ANOMALIES; NORTHERN NORTH-ATLANTIC; DINOFLAGELLATE CYSTS; SURFACE CONDITIONS; ORGANIC-CARBON; BARENTS SEA; HYDROGRAPHIC CONDITIONS; MARINE-SEDIMENTS; VICTORIA ISLAND; LATE QUATERNARY</t>
  </si>
  <si>
    <t>Late Holocene paleoceanography and climate variability of the Southeastern Beaufort Sea (Canadian Arctic) have been investigated on the basis of sedimentary cores collected over the Mackenzie Slope. Piston, trigger and box cores were sampled at station 803 in 2004 aboard the CCGS Amundsen at 218 m water depth. The chronology of the piston core is constrained by 4 AMS-C-14 dates, as the sedimentation rate in the box core is assessed from Pb-210 data. We obtain a continuous composite sequence covering the last 4600 years, with a sedimentation rate of similar to 140 cm.kyr(-1). Transfer functions (modern analogue technique) based on dinoflagellate cyst (dinocyst) assemblages were used to reconstruct the evolution of sea-surface conditions over the time period covered by the cores. Palynological data reveal that dinocyst assemblages are dominated by Operculodinium centrocarpum sensu lato (mean of 43.3%) throughout the core, with the accompanying taxa Brigantedinium spp. (19.6%), Islandinium minutum (15.6%) and cysts of Pentapharsodinium dalei (13.7%). Four zones have been established on the basis of dinocyst relative abundances. Dinocyst assemblage zone 1 (D1), from 4600 to 2700 cal years BP, is dominated by O. centrocarpum (mean of 49.0%). In zone D2 (2700-1500 cal years BP), the relative abundances of 0. centrocarpum decrease (34.4%) in favour of the opportunistic, heterotrophic taxa Brigantedinium spp. (28.8%) and cysts of Polykrikos sp. var. arctic/quadratus (2.8%). Dinocyst zone D3 (1500-30 cal years BP or 450-1920 AD) is characterised by the high relative abundance of the peridinioid taxa I. minutum (19.9%). The last zone (D4), spanning from 1920 to 2004 AD, is again dominated by 0. centrocarpum (44.5%), and shows low relative abundances of Brigantedinium spp. and cf. Echinidinium karaense. Quantitative reconstructions of past sea-surface parameters (August sea-surface temperature: SST. August sea-surface salinity: SSS, and duration of sea-ice cover) indicate relatively stable conditions over the last 4.6 kyr, with episodic cooling events (SST of similar to 1.5 degrees C below the modem value of 6 degrees C) that took place between 700 and 1820 AD. We associate the last and the longest of these cooling events (1560-1820 AD) with the Little Ice Age. Reconstructed SSS shows decadal oscillations since 1920 AD that we tentatively associate with the accumulation of freshwater by the Beaufort Gyre and the subsequent Great Salinity Anomalies. Our data suggest that similar salinity anomalies could have occurred ca. 1860 and 1790 AD. Stable isotopic data show a slight increase in delta C-13 values (from similar to-27.1% at the base to similar to-25.8%,, at the top) over the last 4.6 kyr that we associate with the gradual increase in atmospheric CO2 concentration as recorded by Antarctic ice cores. Variations in the delta N-15 profile suggest variations in Pacific water influence from 4600 to similar to 1300 cal years BP, associated with centennial scale shifts of the Arctic Oscillation phases. (C) 2011 Elsevier B.V. All rights reserved.</t>
  </si>
  <si>
    <t>[Bringue, Manuel; Rochon, Andre] Univ Quebec, ISMER, Rimouski, PQ G5L 3A1, Canada</t>
  </si>
  <si>
    <t>University of Quebec</t>
  </si>
  <si>
    <t>Bringué, M (corresponding author), Univ Victoria, SEOS, Bob Wright Ctr A405, POB 3065 STN CSC, Victoria, BC V8W 3V6, Canada.</t>
  </si>
  <si>
    <t>mbringue@uvic.ca; andre_rochon@uqar.qc.ca</t>
  </si>
  <si>
    <t>Bringue, Manuel/0000-0003-4460-8344</t>
  </si>
  <si>
    <t>Natural Sciences and Engineering Research Council of Canada (NSERC); International Polar Year project; Canadian Foundation for Innovation; NSERC PGS-M</t>
  </si>
  <si>
    <t>Natural Sciences and Engineering Research Council of Canada (NSERC)(Natural Sciences and Engineering Research Council of Canada (NSERC)); International Polar Year project; Canadian Foundation for Innovation(Canada Foundation for Innovation); NSERC PGS-M(Natural Sciences and Engineering Research Council of Canada (NSERC))</t>
  </si>
  <si>
    <t>This work is a contribution to the Canadian Arctic Shelf Exchange Study program (CASES) and was funded by the Natural Sciences and Engineering Research Council of Canada (NSERC), the International Polar Year project, Natural climate variability and forcings in Canadian Arctic and Arctic Ocean - NSERC Special Research Opportunity - International Polar Year and the Canadian Foundation for Innovation. Manuel Bringue was funded through a NSERC PGS-M scholarship. We are grateful to the officers and crew of the CCGS Amundsen who helped during the collection and analyses of the cores, in addition to David B. Scott and Trecia Schell, Dalhousie University; Kate Jarrett and Robbie Bennett, Bedford Institute of Oceanography; Jean-Francois Helie and Bassam Ghaleb, GEOTOP, UQAM; Claude Belzile, Ursule Boyer-Villemaire and Hubert Gagne, Institut des sciences de la mer de Rimouski, UQAR. Many thanks to Jacques Labrie, Francesco Barletta, David Ledu and Gwenaelle Chaillou (ISMER-UQAR) and Michael Whiticar (SEOS, University of Victoria) for their technical support and advice. Finally, we wish to express our gratitude to Guillaume St-Onge (ISMER-UQAR), Fabienne Marret (University of Liverpool) and two anonymous reviewers who helped in improving the manuscript.</t>
  </si>
  <si>
    <t>10.1016/j.margeo.2011.11.004</t>
  </si>
  <si>
    <t>910GQ</t>
  </si>
  <si>
    <t>WOS:000301625600008</t>
  </si>
  <si>
    <t>Dalla Rosa, L; Félix, F; Stevick, PT; Secchi, ER; Allen, JM; Chater, K; Martin, AR; Bassoi, M</t>
  </si>
  <si>
    <t>Dalla Rosa, Luciano; Felix, Fernando; Stevick, Peter T.; Secchi, Eduardo R.; Allen, Judith M.; Chater, Kim; Martin, Anthony R.; Bassoi, Manuela</t>
  </si>
  <si>
    <t>Feeding grounds of the eastern South Pacific humpback whale population include the South Orkney Islands</t>
  </si>
  <si>
    <t>Humpback whale; photo-identification; breeding stocks; migration; South Orkney Islands; Southern Ocean</t>
  </si>
  <si>
    <t>MOVEMENTS</t>
  </si>
  <si>
    <t>This paper reports on two photo-identified humpback whales (Megaptera novaeangliae) that were sighted in different years in the proximity of the South Orkney Islands, at the boundary between the Scotia and Weddell seas (60 degrees 54.5'S-46 degrees 40.4'W and 60 degrees 42.6'S-45 degrees 33'W). One of the whales had been previously sighted off Ecuador, a breeding ground for the eastern South Pacific population. The other whale was subsequently resighted in Bransfield Strait, off the western Antarctic Peninsula, a well-documented feeding ground for the same population. These matches give support to a hypothesis that the area south of the South Orkney Islands is occupied by whales from the eastern South Pacific breeding stock. Consequently, we propose 40 degrees W as a new longitudinal boundary between the feeding grounds associated with the eastern South Pacific and western South Atlantic breeding stocks.</t>
  </si>
  <si>
    <t>[Dalla Rosa, Luciano; Secchi, Eduardo R.; Bassoi, Manuela] Univ Fed Rio Grande, Inst Oceanografia, Lab Tartarugas &amp; Mamiferos Marinhos, Projeto Baleias Brazilian Antarct Program, BR-96201900 Rio Grande, RS, Brazil; [Felix, Fernando] Museo Ballenas, Salinas, Ecuador; [Stevick, Peter T.; Allen, Judith M.; Chater, Kim] Coll Atlantic, Bar Harbor, ME 04609 USA; [Martin, Anthony R.] NERC, Cambridge CB3 OET, England; [Martin, Anthony R.] Univ Dundee, Ctr Remote Environm, Dundee DD1 4JE, Scotland</t>
  </si>
  <si>
    <t>Universidade Federal do Rio Grande; UK Research &amp; Innovation (UKRI); Natural Environment Research Council (NERC); University of Dundee</t>
  </si>
  <si>
    <t>Dalla Rosa, L (corresponding author), Univ Fed Rio Grande, Inst Oceanografia, Lab Tartarugas &amp; Mamiferos Marinhos, Projeto Baleias Brazilian Antarct Program, Av Italia Km 8, BR-96201900 Rio Grande, RS, Brazil.</t>
  </si>
  <si>
    <t>l.dalla@furg.br</t>
  </si>
  <si>
    <t>Secchi, Eduardo R./ABF-1191-2020; Félix, Fernando/AGM-2677-2022; Secchi, Eduardo/D-5038-2013; Rosa, Luciano Dalla/D-5660-2012</t>
  </si>
  <si>
    <t>Secchi, Eduardo R./0000-0001-9087-9909; Secchi, Eduardo/0000-0001-9087-9909; Rosa, Luciano Dalla/0000-0002-1583-6471</t>
  </si>
  <si>
    <t>Brazilian Council for Scientific and Technological Development; Whale and Dolphin Conservation Society</t>
  </si>
  <si>
    <t>Brazilian Council for Scientific and Technological Development(Conselho Nacional de Desenvolvimento Cientifico e Tecnologico (CNPQ)); Whale and Dolphin Conservation Society</t>
  </si>
  <si>
    <t>We thank all contributors to the AHWC. Projeto Baleias/Brazilian Antarctic Program is indebted to Marcos C.O. Santos, Paulo Flores, Daniel Danilewicz and Ignacio Moreno for field assistance. Projeto Baleias/Brazilian Antarctic Program was funded by the Brazilian Council for Scientific and Technological Development and received logistical support from the Brazilian Navy. Research in Ecuador by Museo de Ballenas was supported by the Whale and Dolphin Conservation Society. Useful comments were provided by Ari Friedlaender and an anonymous reviewer.</t>
  </si>
  <si>
    <t>10.3402/polar.v31i0.17324</t>
  </si>
  <si>
    <t>918PZ</t>
  </si>
  <si>
    <t>WOS:000302264000001</t>
  </si>
  <si>
    <t>Domaschke, S; Fernández-Mendoza, F; García, MA; Martín, MP; Printzen, C</t>
  </si>
  <si>
    <t>Domaschke, Stephanie; Fernandez-Mendoza, Fernando; Garcia, Miguel A.; Martin, Maria P.; Printzen, Christian</t>
  </si>
  <si>
    <t>Low genetic diversity in Antarctic populations of the lichen-forming ascomycete Cetraria aculeata and its photobiont</t>
  </si>
  <si>
    <t>Genetic diversity; lichens; Cetraria aculeata; Trebouxia jamesii; polar lichens; global change</t>
  </si>
  <si>
    <t>LOBARIA-PULMONARIA; VARIABILITY; PRIMERS; DIFFERENTIATION; DISPERSAL; SELECTION; ALGAL; FUNGI; PHYLOGEOGRAPHY; COLONIZATION</t>
  </si>
  <si>
    <t>Lichens, symbiotic associations of fungi (mycobionts) and green algae or cyanobacteria (photobionts), are poikilohydric organisms that are particularly well adapted to withstand adverse environmental conditions. Terrestrial ecosystems of the Antarctic are therefore largely dominated by lichens. The effects of global climate change are especially pronounced in the maritime Antarctic and it may be assumed that the lichen vegetation will profoundly change in the future. The genetic diversity of populations is closely correlated to their ability to adapt to changing environmental conditions and to their future evolutionary potential. In this study, we present evidence for low genetic diversity in Antarctic mycobiont and photobiont populations of the widespread lichen Cetraria aculeata. We compared between 110 and 219 DNA sequences from each of three gene loci for each symbiont. A total of 222 individuals from three Antarctic and nine antiboreal, temperate and Arctic populations were investigated. The mycobiont diversity is highest in Arctic populations, while the photobionts are most diverse in temperate regions. Photobiont diversity decreases significantly towards the Antarctic but less markedly towards the Arctic, indicating that ecological factors play a minor role in determining the diversity of Antarctic photobiont populations. Richness estimators calculated for the four geographical regions suggest that the low genetic diversity of Antarctic populations is not a sampling artefact. Cetraria aculeata appears to have diversified in the Arctic and subsequently expanded its range into the Southern Hemisphere. The reduced genetic diversity in the Antarctic is most likely due to founder effects during long-distance colonization.</t>
  </si>
  <si>
    <t>[Domaschke, Stephanie; Fernandez-Mendoza, Fernando; Printzen, Christian] Senckenberg Res Inst, Dept Bot &amp; Mol Evolut, DE-60325 Frankfurt, Germany; [Domaschke, Stephanie; Fernandez-Mendoza, Fernando] Biodivers &amp; Climate Res Ctr, DE-60325 Frankfurt, Germany; [Garcia, Miguel A.; Martin, Maria P.] CSIC, RJB, ES-28014 Madrid, Spain</t>
  </si>
  <si>
    <t>Senckenberg Gesellschaft fur Naturforschung (SGN); Consejo Superior de Investigaciones Cientificas (CSIC); CSIC - Real Jardin Botanico de Madrid</t>
  </si>
  <si>
    <t>Domaschke, S (corresponding author), Senckenberg Res Inst, Dept Bot &amp; Mol Evolut, Senckenberganlage 25, DE-60325 Frankfurt, Germany.</t>
  </si>
  <si>
    <t>sdomaschke@senckenberg.de</t>
  </si>
  <si>
    <t>Martín, María/HDL-9512-2022; Garcia, Miguel Angel/GXH-1021-2022; Fernández-Mendoza, Fernando/E-2479-2013; Printzen, Christian/ABF-8242-2021; Martin, Maria P./H-8069-2012</t>
  </si>
  <si>
    <t>Garcia, Miguel Angel/0000-0002-0366-043X; Fernández-Mendoza, Fernando/0000-0002-0328-0808; Martin, Maria P./0000-0002-1235-4418</t>
  </si>
  <si>
    <t>German Research Foundation [Pr 567/12-1]; European Union [ES-TAF 3621]; Marga and Kurt Mollgaard Foundation; Hesse's Ministry of Higher Education, Research, and the Arts</t>
  </si>
  <si>
    <t>German Research Foundation(German Research Foundation (DFG)); European Union(European Union (EU)); Marga and Kurt Mollgaard Foundation; Hesse's Ministry of Higher Education, Research, and the Arts</t>
  </si>
  <si>
    <t>The staff of the Grunelius-Mollgaard Laboratory for Molecular Evolution, especially Heike Kappes, and Selina Becker, Jasmin Seifried (Frankfurt) and Bastian Millgramm (Kassel) are thanked for technical support in the laboratory, Indra Ottich and Patrick Jordan (Frankfurt) for field assistance and Toby Spribille (Graz), Viktoria Wagner (Halle) and Sergio Perez-Ortega (Madrid) for population samples of C. aculeata. Funding by the German Research Foundation grant no. Pr 567/12-1, the European Union through Synthesys grant no. ES-TAF 3621 to CP and the Marga and Kurt Mollgaard Foundation are gratefully acknowledged. The present study was financially supported by the research funding programme LOEWE-Landes-Offensive zur Entwicklung Wissenschaftlich-okonomischer Exzellenz of Hesse's Ministry of Higher Education, Research, and the Arts.</t>
  </si>
  <si>
    <t>10.3402/polar.v31i0.17353</t>
  </si>
  <si>
    <t>918QB</t>
  </si>
  <si>
    <t>WOS:000302264200001</t>
  </si>
  <si>
    <t>Nel, W</t>
  </si>
  <si>
    <t>Nel, Werner</t>
  </si>
  <si>
    <t>A preliminary synoptic assessment of soil frost on Marion Island and the possible consequences of climate change in a maritime sub-Antarctic environment</t>
  </si>
  <si>
    <t>Marion Island; climate change; synoptic weather; soil frost; sub-Antarctic; air mass circulation</t>
  </si>
  <si>
    <t>TEMPERATURES</t>
  </si>
  <si>
    <t>Located in the sub-Antarctic, Marion Island (46 degrees 54' S, 37 degrees 45' E) has a distinct periglacial environment that is sensitive to climate change. Diurnal soil frost is the most important geomorphic process occurring on the island and this paper aims to understand the synoptic weather circulation pattern associated with summer soil frost occurrence in a sub-Antarctic environment. Preliminary results from automated microclimate measurements in the interior of Marion Island show that summer soil frost is dependent on Antarctic air mass circulation. This occurs exclusively during post-cyclonic airflow after the passage of a cold front connected to a mid-latitudinal cyclone and subsequent ridging in of the South Atlantic Anticyclone behind the cold front, or when a series of low pressure systems passes over the island. The duration and intensity of soil frost cycles are dependent on the duration of post-cyclonic Antarctic air mass circulation. Summer soil frost on Marion Island is driven by a complex interaction between the latitudinal position of the passing cyclone, the latitudinal position of the ridging anticyclone as well as the trajectory of the air mass circulation. The data suggest that predicted trends in synoptic climate change in the sub-Antarctic may lead to non-linear responses in soil frost dynamics.</t>
  </si>
  <si>
    <t>Univ Ft Hare, Dept Geog &amp; Environm Sci, ZA-5700 Alice, South Africa</t>
  </si>
  <si>
    <t>University of Fort Hare</t>
  </si>
  <si>
    <t>Nel, W (corresponding author), Univ Ft Hare, Dept Geog &amp; Environm Sci, ZA-5700 Alice, South Africa.</t>
  </si>
  <si>
    <t>wnel@ufh.ac.za</t>
  </si>
  <si>
    <t>Nel, Werner/0000-0002-3769-4937</t>
  </si>
  <si>
    <t>South African National Research Foundation</t>
  </si>
  <si>
    <t>South African National Research Foundation(National Research Foundation - South Africa)</t>
  </si>
  <si>
    <t>The South African National Research Foundation provided financial support, while the Directorate: Antarctica and Islands from the Department of Environmental Affairs provided logistical assistance. The South African Weather Service is thanked for providing the weather data and shipping charts. Jan Boelhouwers is thanked for numerous discussions on this topic and Mphumzi Zilindile is thanked for field observations and logger maintenance. Kevin Hall and an anonymous referee are thanked for their input, which greatly improved the quality of the manuscript.</t>
  </si>
  <si>
    <t>10.3402/polar.v31i0.17626</t>
  </si>
  <si>
    <t>918QJ</t>
  </si>
  <si>
    <t>WOS:000302265100001</t>
  </si>
  <si>
    <t>Yde, JC; Hodson, AJ; Solovjanova, I; Steffensen, JP; Nornberg, P; Heinemeier, J; Olsen, J</t>
  </si>
  <si>
    <t>Yde, Jacob C.; Hodson, Andy J.; Solovjanova, Irina; Steffensen, Jorgen P.; Nornberg, Per; Heinemeier, Jan; Olsen, Jesper</t>
  </si>
  <si>
    <t>Chemical and isotopic characteristics of a glacier-derived naled in front of Austre Gronfjordbreen, Svalbard</t>
  </si>
  <si>
    <t>Naled; naled chemistry; naled isotope composition; surge-type glaciers; Svalbard</t>
  </si>
  <si>
    <t>SURGE-TYPE GLACIERS; DISKO ISLAND; VARIEGATED GLACIER; SOLUTE PROVENANCE; BASAL ICE; DENUDATION; HYDROCHEMISTRY; WATER; SEDIMENT; ALASKA</t>
  </si>
  <si>
    <t>The chemical and stable isotope composition of a glacier-derived naled in front of the glacier Austre Gronfjordbreen, Svalbard, is examined to elucidate how secondary processes such as preferential retention and leaching affect naled chemistry. Internal candle ice layers have a chemical composition almost similar to that of the lower stratified granular ice layer, whereas the upper granular ice layer has a significantly different composition, which resembles the composition found in glacier meltwater. Grey, platy cryogenic calcite precipitates are found in clusters on the surface of the naled assemblage, indicating preferential retention of Ca2+ and HCO3-. This process is particular pronounced in the distal part of the naled. The isotopic composition in the naled is in accordance with the local meteoric water line and without indications of kinetic fractionation during freezing. The ability to form ice-marginal naled indicates that Austre Gronfjordbreen has the high meltwater storage potential required for triggering a glacier surge event.</t>
  </si>
  <si>
    <t>[Yde, Jacob C.] Sogn Fjordane Univ Coll, Fac Sci &amp; Engn, NO-6851 Sogndal, Norway; [Yde, Jacob C.] Aarhus Univ, Ctr Geomicrobiol, Dept Biol Sci, DK-8000 Aarhus C, Denmark; [Yde, Jacob C.] Univ Bergen, Bjerknes Ctr Climate Res, NO-5007 Bergen, Norway; [Hodson, Andy J.] Univ Sheffield, Dept Geog, Sheffield S10 2TN, S Yorkshire, England; [Solovjanova, Irina] Arctic &amp; Antarctic Res Inst, St Petersburg 199397, Russia; [Steffensen, Jorgen P.] Univ Copenhagen, Ctr Ice &amp; Climate, DK-2100 Copenhagen, Denmark; [Nornberg, Per] Aarhus Univ, Dept Earth Sci, DK-8000 Aarhus C, Denmark; [Heinemeier, Jan] Aarhus Univ, AMS Dating Ctr 14C, Dept Phys &amp; Astron, DK-8000 Aarhus C, Denmark; [Olsen, Jesper] Queens Univ Belfast, CHRONO Ctr Climate Environm &amp; Chronol, Sch Geog Archaeol &amp; Palaeoecol, Belfast BT7 1NN, Antrim, North Ireland</t>
  </si>
  <si>
    <t>Western Norway University of Applied Sciences; Aarhus University; University of Bergen; Bjerknes Centre for Climate Research; University of Sheffield; Arctic &amp; Antarctic Research Institute; University of Copenhagen; Aarhus University; Aarhus University; Queens University Belfast</t>
  </si>
  <si>
    <t>Yde, JC (corresponding author), Sogn Fjordane Univ Coll, Fac Sci &amp; Engn, POB 133, NO-6851 Sogndal, Norway.</t>
  </si>
  <si>
    <t>jacob.yde@hisf.no</t>
  </si>
  <si>
    <t>Olsen, Jesper/F-1656-2013; Yde, Jacob/M-8839-2017; Nornberg, Per/A-6228-2012; Steffensen, Jorgen Peder/JFS-7831-2023</t>
  </si>
  <si>
    <t>Olsen, Jesper/0000-0002-4445-5520; Steffensen, Jorgen Peder/0000-0002-5516-1093; Hodson, Andrew/0000-0002-1255-7987; Yde, Jacob Clement/0000-0002-6211-2601</t>
  </si>
  <si>
    <t>University of Sheffield; Carlsberg Foundation [2007/01/0383]; Leverhulme Trust [RF/4/RFG/2007/0398]; Royal Geographical Society; National Geographic Research and Exploration Committee</t>
  </si>
  <si>
    <t>University of Sheffield; Carlsberg Foundation(Carlsberg Foundation); Leverhulme Trust(Leverhulme Trust); Royal Geographical Society; National Geographic Research and Exploration Committee</t>
  </si>
  <si>
    <t>This study is part of the Sheffield University Gronfjord Expedition funded by the University of Sheffield. JCY was funded by the Carlsberg Foundation (2007/01/0383), and AJH was funded by a Leverhulme Trust research fellowship (RF/4/RFG/2007/0398), a Royal Geographical Society Peter Fleming award and the National Geographic Research and Exploration Committee. We thank Claire Boulter, Chris Clark, Simon Chatten, Simon Cook, Matteo Spagnolo and Darrel Swift for field assistance, Bill Nandris for boat handling, and Bente Rasmussen and Birte Eriksen for laboratory assistance. We thank three reviewers for insightful comments to a previous version of this manuscript. This is publication A365 from the Bjerknes Centre for Climate Research.</t>
  </si>
  <si>
    <t>10.3402/polar.v31i0.17628</t>
  </si>
  <si>
    <t>918QK</t>
  </si>
  <si>
    <t>WOS:000302265200001</t>
  </si>
  <si>
    <t>Zwolinski, Z; Szpikowski, J; Wisniewska, K</t>
  </si>
  <si>
    <t>Zwolinski, Zbigniew; Szpikowski, Jozef; Wisniewska, Katarzyna</t>
  </si>
  <si>
    <t>Provenance of surface waters on the western coast of Admiralty Bay, King George Island, Antarctica</t>
  </si>
  <si>
    <t>ZEITSCHRIFT FUR GEOMORPHOLOGIE</t>
  </si>
  <si>
    <t>hydrochemical characteristics; ion elements; lake waters; stream waters; Antarctica</t>
  </si>
  <si>
    <t>COLD ENVIRONMENTS; SEDIMENT BUDGETS</t>
  </si>
  <si>
    <t>The aim of this paper is a hydro chemical characterisation of surface waters on the western coast of Admiralty Bay. This area is representative for sub-Antarctic zone. Collected waters are divided in two hydrochemical facies: lakes and stream waters. They differ in chemical composition as a function of contact time of waters with bedrock. Lake waters are more reach in chemical substances in comparison to stream waters. These facies are characterised by longer contact with ground, even multiyear. Stream waters have shorter contact with the bedrock in terms of distance and time and therefore they are more low-grade from the hydrochemical point of view. A brief description of environmental controls completes and motivates characterisation of hydrochemical water facies.</t>
  </si>
  <si>
    <t>[Zwolinski, Zbigniew] Adam Mickiewicz Univ, Inst Geoecol &amp; Geoinformat, Poznan, Poland; [Szpikowski, Jozef] Adam Mickiewicz Univ, Geoecol Stn, Storkowo, Poland; [Wisniewska, Katarzyna] Disaster Monitoring Constelat Int Imaging, Guildford, Surrey, England</t>
  </si>
  <si>
    <t>Adam Mickiewicz University; Adam Mickiewicz University</t>
  </si>
  <si>
    <t>Zwolinski, Z (corresponding author), Adam Mickiewicz Univ, Inst Geoecol &amp; Geoinformat, Poznan, Poland.</t>
  </si>
  <si>
    <t>ZbZw@amu.edu.pl</t>
  </si>
  <si>
    <t>Zwolinski, Zbigniew/D-5583-2011</t>
  </si>
  <si>
    <t>Zwolinski, Zbigniew/0000-0002-3252-3143</t>
  </si>
  <si>
    <t>State Committee for Scientific Research [PBZ-KBN-108/PO4/2004]; Department of Geoecology of Adam Mickiewicz University in Poznan</t>
  </si>
  <si>
    <t>State Committee for Scientific Research(Polish State Committee for Scientific Research); Department of Geoecology of Adam Mickiewicz University in Poznan</t>
  </si>
  <si>
    <t>We would like to thank Prof. Andrzej Mizgajski for his field assistance and Dr. Graiyna Szpikowska for laboratory analyses. We are grateful for comments from the anonymous reviewers. Financial support for this study was provided by the State Committee for Scientific Research under the project Structure, evolution and dynamics of lithosphere, cryosphere and biosphere in European sector of Arctic and in Antarctica (PBZ-KBN-108/PO4/2004), and Department of Geoecology of Adam Mickiewicz University in Poznan.</t>
  </si>
  <si>
    <t>0372-8854</t>
  </si>
  <si>
    <t>Z GEOMORPHOL</t>
  </si>
  <si>
    <t>Z. Geomorphol.</t>
  </si>
  <si>
    <t>10.1127/0372-8854/2012/S-00076</t>
  </si>
  <si>
    <t>913QZ</t>
  </si>
  <si>
    <t>WOS:000301893800009</t>
  </si>
  <si>
    <t>Ialongo, I; Sofieva, V; Kalakoski, N; Tamminen, J; Kyrölä, E</t>
  </si>
  <si>
    <t>Ialongo, I.; Sofieva, V.; Kalakoski, N.; Tamminen, J.; Kyrola, E.</t>
  </si>
  <si>
    <t>Ozone zonal asymmetry and planetary wave characterization during Antarctic spring</t>
  </si>
  <si>
    <t>MEAN-FLOW INTERACTION; INTERANNUAL VARIABILITY; STRATOSPHERE; TEMPERATURE</t>
  </si>
  <si>
    <t>A large zonal asymmetry of ozone has been observed over Antarctica during winter-spring, when the ozone hole develops. It is caused by a planetary wave-driven displacement of the polar vortex. The total ozone data by OMI (Ozone Monitoring Instrument) and the ozone profiles by MLS (Microwave Limb Sounder) and GOMOS (Global Ozone Monitoring by Occultation of Stars) were analysed to characterize the ozone zonal asymmetry and the wave activity during Antarctic spring. Both total ozone and profile data have shown a persistent zonal asymmetry over the last years, which is usually observed from September to mid-December. The largest amplitudes of planetary waves at 65A degrees S (the perturbations can achieve up to 50% of zonal mean values) is observed in October. The wave activity is dominated by the quasi-stationary wave 1 component, while the wave 2 is mainly an eastward travelling wave. Wave numbers 1 and 2 generally explain more than the 90% of the ozone longitudinal variations. Both GOMOS and MLS ozone profile data show that ozone zonal asymmetry covers the whole stratosphere and extends up to the altitudes of 60-65 km. The wave amplitudes in ozone mixing ratio decay with altitude, with maxima (up to 50%) below 30 km. The characterization of the ozone zonal asymmetry has become important in the climate research. The inclusion of the polar zonal asymmetry in the climate models is essential for an accurate estimation of the future temperature trends. This information might also be important for retrieval algorithms that rely on ozone a priori information.</t>
  </si>
  <si>
    <t>[Ialongo, I.; Sofieva, V.; Kalakoski, N.; Tamminen, J.; Kyrola, E.] Finnish Meteorol Inst, Earth Observat Unit, FIN-00101 Helsinki, Finland</t>
  </si>
  <si>
    <t>Finnish Meteorological Institute</t>
  </si>
  <si>
    <t>Ialongo, I (corresponding author), Finnish Meteorol Inst, Earth Observat Unit, FIN-00101 Helsinki, Finland.</t>
  </si>
  <si>
    <t>iolanda.ialongo@fmi.fi</t>
  </si>
  <si>
    <t>Kalakoski, Niilo/D-8441-2014; Ialongo, Iolanda/E-1638-2014; Kyrölä, Erkki T/E-1835-2014; Tamminen, Johanna/D-7959-2014; Sofieva, Viktoria/E-1958-2014</t>
  </si>
  <si>
    <t>Kalakoski, Niilo/0000-0003-3733-4277; Ialongo, Iolanda/0000-0002-1125-0756; Tamminen, Johanna/0000-0003-3095-0069; Kyrola, Erkki/0000-0001-9197-9549; Sofieva, Viktoria/0000-0002-9192-2208</t>
  </si>
  <si>
    <t>Academy of Finland; ESA</t>
  </si>
  <si>
    <t>Academy of Finland(Research Council of Finland); ESA(European Space Agency)</t>
  </si>
  <si>
    <t>The authors are grateful to the Aura team and the GOMOS team for providing the data. This work was supported by the Academy of Finland (MIDAT and ASTREX projects) and ESA DRAGON-2 programme.</t>
  </si>
  <si>
    <t>10.5194/acp-12-2603-2012</t>
  </si>
  <si>
    <t>909FH</t>
  </si>
  <si>
    <t>WOS:000301547500023</t>
  </si>
  <si>
    <t>Lossow, S; McLandress, C; Jonsson, AI; Shepherd, TG</t>
  </si>
  <si>
    <t>Lossow, Stefan; McLandress, Charles; Jonsson, Andreas I.; Shepherd, Theodore G.</t>
  </si>
  <si>
    <t>Influence of the Antarctic ozone hole on the polar mesopause region as simulated by the Canadian Middle Atmosphere Model</t>
  </si>
  <si>
    <t>Ozone hole; Mesopause region; Vertical coupling; NLCs</t>
  </si>
  <si>
    <t>DOPPLER-SPREAD PARAMETERIZATION; WAVE MOMENTUM DEPOSITION; MESOSPHERIC ICE LAYERS; INTERACTIVE CHEMISTRY; GENERAL-CIRCULATION; TEMPERATURE TRENDS; NOCTILUCENT CLOUDS; STRATOSPHERE; SENSITIVITY; EXTENSION</t>
  </si>
  <si>
    <t>It is well established that variations in polar stratospheric winds can affect mesospheric temperatures through changes in the filtering of gravity wave fluxes, which drive a residual circulation in the mesosphere. The Canadian Middle Atmosphere Model (CMAM) is used to examine this vertical coupling mechanism in the context of the mesospheric response to the Antarctic ozone hole. It is found that the response differs significantly between late spring and early summer, because of a changing balance between the competing effects of parametrised gravity wave drag (GWD) and changes in resolved wave drag local to the mesosphere. In late spring, the strengthened stratospheric westerlies arising from the ozone hole lead to reduced eastward GWD in the mesosphere and a warming of the polar mesosphere, just as in the well known mesospheric response to sudden stratospheric warmings, but with an opposite sign. In early summer, with easterly flow prevailing over most of the polar stratosphere, the strengthened easterly wind shear within the mesosphere arising from the westward GWD anomaly induces a positive resolved wave drag anomaly through baroclinic instability. The polar cooling induced by this process completely dominates the upper mesospheric response to the ozone hole in early summer. Consequences for the past and future evolution of noctilucent clouds are discussed. (C) 2011 Elsevier Ltd. All rights reserved.</t>
  </si>
  <si>
    <t>[Lossow, Stefan] Chalmers Univ Technol, Dept Earth &amp; Space Sci, S-41296 Gothenburg, Sweden; [McLandress, Charles; Jonsson, Andreas I.; Shepherd, Theodore G.] Univ Toronto, Dept Phys, Toronto, ON M5S 1A7, Canada; [Lossow, Stefan] Stockholm Univ, Dept Meteorol, S-10691 Stockholm, Sweden</t>
  </si>
  <si>
    <t>Chalmers University of Technology; University of Toronto; Stockholm University</t>
  </si>
  <si>
    <t>Lossow, S (corresponding author), Karlsruhe Inst Technol, Inst Meteorol &amp; Climate Res, Hermann von Helmholtz Pl 1, D-76344 Leopoldshafen, Germany.</t>
  </si>
  <si>
    <t>stefan.lossow@kit.edu</t>
  </si>
  <si>
    <t>Jonsson, Andreas I/B-3887-2013</t>
  </si>
  <si>
    <t>Jonsson, Andreas I/0000-0003-0321-6213; Lossow, Stefan/0000-0003-2833-0522</t>
  </si>
  <si>
    <t>Canadian Foundation for Climate and Atmospheric Sciences through the C-SPARC; Natural Sciences and Engineering Research Council of Canada</t>
  </si>
  <si>
    <t>Canadian Foundation for Climate and Atmospheric Sciences through the C-SPARC; Natural Sciences and Engineering Research Council of Canada(Natural Sciences and Engineering Research Council of Canada (NSERC)CGIAR)</t>
  </si>
  <si>
    <t>This research has been supported by the Canadian Foundation for Climate and Atmospheric Sciences through the C-SPARC project. The first author would also like to thank the Natural Sciences and Engineering Research Council of Canada for financing his stay at the University of Toronto in November and December 2007 to work on this topic.</t>
  </si>
  <si>
    <t>10.1016/j.jastp.2011.10.010</t>
  </si>
  <si>
    <t>910BK</t>
  </si>
  <si>
    <t>WOS:000301612000011</t>
  </si>
  <si>
    <t>Moreau, S; Schloss, IR; Mostajir, B; Demers, S; Almandoz, GO; Ferrario, ME; Ferreyra, GA</t>
  </si>
  <si>
    <t>Moreau, Sebastien; Schloss, Irene R.; Mostajir, Behzad; Demers, Serge; Almandoz, Gaston O.; Ferrario, Martha E.; Ferreyra, Gustavo A.</t>
  </si>
  <si>
    <t>Influence of microbial community composition and metabolism on air-sea ΔpCO2 variation off the western Antarctic Peninsula</t>
  </si>
  <si>
    <t>CO2 sinks; CO2 sources; Phytoplankton biomass; Phytoplankton composition; Primary production; Community respiration</t>
  </si>
  <si>
    <t>ICE-ZONE WEST; CARBON-DIOXIDE; SOUTHERN-OCEAN; CLIMATE-CHANGE; SPATIOTEMPORAL VARIABILITY; INTERANNUAL VARIABILITY; PHYTOPLANKTON BIOMASS; GERLACHE STRAITS; BIOGENIC CARBON; AUSTRAL SUMMER</t>
  </si>
  <si>
    <t>We studied CO2 and O-2 dynamics in the western Antarctic Peninsula (WAP) waters in relation to (1) phytoplankton biomass, (2) microbial community primary production and respiration, and (3), for the first time, phytoplankton composition, during summer and fall in 3 consecutive years (2002, 2003 and 2004). The areal average of Delta pCO(2) (the difference between surface seawater and atmospheric partial pressure of CO2) for the 3 yr was significantly negative (-20.04 +/- 44.3 mu atm, p &lt; 0.01) during the summer to fall period in the region, possibly indicating a CO2 sink. In the southern WAP (i.e. south of Anvers Island), Delta pCO(2) was significantly negative (-43.60 +/- 39.06 mu atm) during fall. In the northern WA? (north of Anvers Island), Delta pCO(2) values showed a more complex distribution during summer and fall (-4.96 +/- 37.6 and 21.71 +/- 22.39 mu atm, respectively). Chlorophyll a (chl a) concentration averaged 1.03 +/- 0.25 mu g l(-1) and was higher in the south of the peninsula. Phytoplankton composition influenced chl a concentration with higher and lower va:Lues for diatom- and phytoflagellate-dominated communities, respectively. A significant negative correlation existed between chl a and Delta pCO(2). From incubation experiments performed in the northern WAP, respiration was low (averaging 5 1 mmol O-2 m(-3) d(-1)), and the net community production (NCP) correlated negatively with Delta pCO(2) and positively with %O-2 saturation. However, despite the high NCP values measured, Delta pCO(2) was significantly positive in the northern WAP during the summer to fall period. Strong mixing and lower chl a concentration may explain this result. In contrast, Delta pCO(2) was significantly negative in the southern WAP, possibly because of high surface water chl a concentration.</t>
  </si>
  <si>
    <t>[Moreau, Sebastien; Schloss, Irene R.; Demers, Serge; Ferreyra, Gustavo A.] Univ Quebec Rimouski UQAR, Inst Sci Mer ISMER, Rimouski, PQ G5L 3A1, Canada; [Schloss, Irene R.] Inst Antartico Argentino, Buenos Aires, DF, Argentina; [Schloss, Irene R.; Almandoz, Gaston O.; Ferrario, Martha E.] Consejo Nacl Invest Cient &amp; Tecn, RA-1033 Buenos Aires, DF, Argentina; [Mostajir, Behzad] Univ Montpellier 2, CNRS, IFREMER, IRD,Lab Ecol Syst Marins Cotiers ECOSYM,UMR 5119, F-34095 Montpellier 05, France; [Almandoz, Gaston O.; Ferrario, Martha E.] Univ Nacl La Plata, Fac Ciencias Nat &amp; Museo, Div Ficol, La Plata, Buenos Aires, Argentina</t>
  </si>
  <si>
    <t>University of Quebec; Universite du Quebec a Rimouski; Instituto Antartico Argentino; Consejo Nacional de Investigaciones Cientificas y Tecnicas (CONICET); Institut de Recherche pour le Developpement (IRD); Universite de Montpellier; Centre National de la Recherche Scientifique (CNRS); Ifremer; National University of La Plata; Museo La Plata</t>
  </si>
  <si>
    <t>Moreau, S (corresponding author), Univ Quebec Rimouski UQAR, Inst Sci Mer ISMER, 310 Allee Ursulines, Rimouski, PQ G5L 3A1, Canada.</t>
  </si>
  <si>
    <t>s.moreau@uclouvain.be</t>
  </si>
  <si>
    <t>Schloss, Irene R./U-5411-2018</t>
  </si>
  <si>
    <t>Schloss, Irene R./0000-0002-5917-8925; Moreau, Sebastien/0000-0001-9446-812X; Ferreyra, Gustavo Adolfo/0000-0003-1953-5067; Almandoz, Gaston O./0000-0001-7931-582X</t>
  </si>
  <si>
    <t>CONICET [PEI-2001]; PICTO [6524/1108/03]; ANPCyT [01-11563]; French Institut National des Sciences de l'Univers; NSERC [334876-2005]</t>
  </si>
  <si>
    <t>CONICET(Consejo Nacional de Investigaciones Cientificas y Tecnicas (CONICET)); PICTO; ANPCyT(ANPCyT); French Institut National des Sciences de l'Univers; NSERC(Natural Sciences and Engineering Research Council of Canada (NSERC))</t>
  </si>
  <si>
    <t>This study was completed as part of the framework of the cooperative research program ARGAU between the Laboratoire de Biogeochimie et Chimie Marines at the Universite Pierre et Marie Curie in Paris (LBCM, France), the Instituto Antartico Argentin (IAA), and the Servicio de Hidrografia Naval (SHN, Argentina) from 2002 to 2005. We thank C. Balestrini (SHN), L. Cantoni (IAA), A. Ulrich (IAA), R. Codina (IAA), B. Schauer (LBCM), C. Brunet (LBCM), and J. Guigand (LBCM), and technical personnel from the SHN during the missions, as well as the crew of the 'Almirante Irizar'. This project was funded by the PEI-2001 CONICET and PICTO 6524/1108/03-ANPCyT 01-11563 grants to I.R.S. and G.A.F. and by the French Institut National des Sciences de l'Univers Program PROOF/Flamenco (Flux Air-Mer en CO2) for the ARGAU cruises. This research was also funded by the NSERC Special Research Opportunity Program grant no. 334876-2005 conceded to S.D. This work is a contribution to the Institut des sciences de in mer de Rimouski (ISMER) and the IAA.</t>
  </si>
  <si>
    <t>10.3354/meps09466</t>
  </si>
  <si>
    <t>906CX</t>
  </si>
  <si>
    <t>WOS:000301323600004</t>
  </si>
  <si>
    <t>Winkler, R; Landais, A; Sodemann, H; Dümbgen, L; Prié, F; Masson-Delmotte, V; Stenni, B; Jouzel, J</t>
  </si>
  <si>
    <t>Winkler, R.; Landais, A.; Sodemann, H.; Duembgen, L.; Prie, F.; Masson-Delmotte, V.; Stenni, B.; Jouzel, J.</t>
  </si>
  <si>
    <t>Deglaciation records of 17O-excess in East Antarctica: reliable reconstruction of oceanic normalized relative humidity from coastal sites</t>
  </si>
  <si>
    <t>EPICA DOME-C; DEUTERIUM EXCESS; SOUTHERN-OCEAN; ICE CORES; ISOTOPIC FRACTIONATION; TECHNICAL NOTE; PRECIPITATION; OXYGEN; WATER; O-18</t>
  </si>
  <si>
    <t>We measured delta O-17 and delta O-18 in two Antarctic ice cores at EPICA Dome C (EDC) and TALDICE (TD), respectively, and computed O-17-excess with respect to VSMOW. The comparison of our O-17-excess data with the previous record obtained at Vostok (Landais et al., 2008a) revealed differences up to 35 ppm in O-17-excess mean level and evolution for the three sites. Our data show that the large increase depicted at Vostok (20 ppm) during the last deglaciation is a regional and not a general pattern in the temporal distribution of O-17-excess in East Antarctica. The EDC data display an increase of 12 ppm, whereas the TD data show no significant variation from the Last Glacial Maximum (LGM) to the Early Holocene (EH). A Lagrangian moisture source diagnostic revealed very different source regions for Vostok and EDC compared to TD. These findings combined with the results of a sensitivity analysis, using a Rayleigh-type isotopic model, suggest that normalized relative humidity (RHn) at the oceanic source region (OSR) is a determining factor for the spatial differences of O-17-excess in East Antarctica. However, O-17-excess in remote sites of continental Antarctica (e. g. Vostok) may be highly sensitive to local effects. Hence, we consider O-17-excess in coastal East Antarctic ice cores (TD) to be more reliable as a proxy for RHn at the OSR.</t>
  </si>
  <si>
    <t>[Winkler, R.; Landais, A.; Prie, F.; Masson-Delmotte, V.; Jouzel, J.] LSCE IPSL CEA CNRS UVSQ, UMR8212, F-91191 Gif Sur Yvette, France; [Sodemann, H.] Swiss Fed Inst Technol Zurich, Inst Atmospher &amp; Climate Sci, CH-8092 Zurich, Switzerland; [Duembgen, L.] Univ Bern, Inst Math Stat &amp; Actuarial Sci, Dept Math &amp; Stat, CH-3012 Bern, Switzerland; [Stenni, B.] Univ Trieste, Dept Geosci, I-34127 Trieste, Italy</t>
  </si>
  <si>
    <t>CEA; Universite Paris Saclay; Centre National de la Recherche Scientifique (CNRS); CNRS - National Institute for Earth Sciences &amp; Astronomy (INSU); Swiss Federal Institutes of Technology Domain; ETH Zurich; University of Bern; University of Trieste</t>
  </si>
  <si>
    <t>Winkler, R (corresponding author), LSCE IPSL CEA CNRS UVSQ, UMR8212, F-91191 Gif Sur Yvette, France.</t>
  </si>
  <si>
    <t>renato.winkler@lsce.ipsl.fr</t>
  </si>
  <si>
    <t>Sodemann, Harald/ABG-5304-2021; Masson-Delmotte, Valerie L/G-1995-2011</t>
  </si>
  <si>
    <t>Sodemann, Harald/0000-0002-8167-0860; Masson-Delmotte, Valerie L/0000-0001-8296-381X; Stenni, Barbara/0000-0003-4950-3664; Duembgen, Lutz/0000-0003-0172-9285; Schneider, Ralph/0000-0003-1453-9181; LANDAIS, Amaelle/0000-0002-5620-5465</t>
  </si>
  <si>
    <t>EU (EPICA-MIS); ANR CITRONNIER; Training Network INTRAMIF</t>
  </si>
  <si>
    <t>EU (EPICA-MIS)(European Union (EU)); ANR CITRONNIER(Agence Nationale de la Recherche (ANR)); Training Network INTRAMIF</t>
  </si>
  <si>
    <t>This work is a contribution to the European Project for Ice Coring in Antarctica (EPICA), a joint European Science Foundation/European Commission scientific programme, funded by the EU (EPICA-MIS) and by national contributions from Belgium, Denmark, France, Germany, Italy, the Netherlands, Norway, Sweden, Switzerland and the United Kingdom. The Talos Dome Ice core Project (TALDICE), a joint European programme, is funded by national contributions from Italy, France, Germany, Switzerland and the United Kingdom. The work (fluorination, IRMS) done at LSCE is funded by the ANR CITRONNIER. We thank Francoise Vimeux for providing samples from the Vostok ice core, Eugeni Barkan for helping with the inter calibration between the IES and the LSCE, Ryu Uemura for the fruitful discussions and Martin Miller for the cross-read of the manuscript. Thanks also go to the Marie Curie Initial Training Network INTRAMIF (FP7), which has funded R. Winkler's PhD at LSCE-IPSL-CEA. This is LSCE-publication No. 4706 and TALDICE publication No. 15.</t>
  </si>
  <si>
    <t>10.5194/cp-8-1-2012</t>
  </si>
  <si>
    <t>900HR</t>
  </si>
  <si>
    <t>WOS:000300878100001</t>
  </si>
  <si>
    <t>Scheinert, M</t>
  </si>
  <si>
    <t>Kenyon, SC; Pacino, MC; Marti, UJ</t>
  </si>
  <si>
    <t>Scheinert, Mirko</t>
  </si>
  <si>
    <t>Progress and Prospects of the Antarctic Geoid Project (Commission Project 2.4)</t>
  </si>
  <si>
    <t>GEODESY FOR PLANET EARTH: PROCEEDINGS OF THE 2009 IAG SYMPOSIUM</t>
  </si>
  <si>
    <t>International Association of Geodesy Symposia</t>
  </si>
  <si>
    <t>Scientific Assembly of the International-Association-of-Geodesy (IAG) - Geodesy for Planet Earth</t>
  </si>
  <si>
    <t>AUG 31-SEP 04, 2009</t>
  </si>
  <si>
    <t>Buenos Aires, ARGENTINA</t>
  </si>
  <si>
    <t>UTILIZING AIRBORNE GRAVITY</t>
  </si>
  <si>
    <t>The Antarctic Geoid Project (AntGP) aims at the improvement of terrestrial observations of the gravity field in Antarctica and, eventually, at the improvement of the Antarctic geoid. Until present, vast areas of Antarctica are still unexplored with regard to gravity measurements. The polar data gap due to the deflection from a polar inclination of the respective satellite and the limitation to a certain harmonic degree of resolution prevent a complete, high-resolution data coverage to be obtained from the dedicated gravity satellite missions only. In this context, the International Polar Year (March 2007 to February 2009) provided a framework for broad international and interdisciplinary collaboration, which opened also an excellent opportunity for the realization of new gravity surveys. Especially, there was a focus on airborne gravimetry which provides the most powerful technique to carry out observations in vast and remote areas. The paper will review the present situation and will give an outlook to further activities. The feasibility of the regional geoid improvement in Antarctica will be discussed, utilizing the heterogeneous gravity data available from different surveys and techniques.</t>
  </si>
  <si>
    <t>Tech Univ Dresden, Inst Planetare Geodasie, D-01062 Dresden, Germany</t>
  </si>
  <si>
    <t>Technische Universitat Dresden</t>
  </si>
  <si>
    <t>Scheinert, M (corresponding author), Tech Univ Dresden, Inst Planetare Geodasie, D-01062 Dresden, Germany.</t>
  </si>
  <si>
    <t>scheinert@ipg.geo.tu-dresden.de</t>
  </si>
  <si>
    <t>Scheinert, Mirko/0000-0002-0892-8941</t>
  </si>
  <si>
    <t>0939-9585</t>
  </si>
  <si>
    <t>978-3-642-20338-1; 978-3-642-20337-4</t>
  </si>
  <si>
    <t>IAG SYMP</t>
  </si>
  <si>
    <t>10.1007/978-3-642-20338-1_54</t>
  </si>
  <si>
    <t>Geosciences, Multidisciplinary; Remote Sensing</t>
  </si>
  <si>
    <t>Geology; Remote Sensing</t>
  </si>
  <si>
    <t>BYU53</t>
  </si>
  <si>
    <t>WOS:000300433100054</t>
  </si>
  <si>
    <t>Schwabe, J; Scheinert, M; Dietrich, R; Ferraccioli, F; Jordan, T</t>
  </si>
  <si>
    <t>Schwabe, J.; Scheinert, M.; Dietrich, R.; Ferraccioli, F.; Jordan, T.</t>
  </si>
  <si>
    <t>Regional Geoid Improvement over the Antarctic Peninsula Utilizing Airborne Gravity Data</t>
  </si>
  <si>
    <t>We present an improved quasigeoid of the Palmer Land Region, Antarctic Peninsula, derived from recent aerogravimetry profiles provided by the British Antarctic Survey (BAS). Special focus is given to the treatment of the ice layer covering the bedrock topography, the latter one being regarded as the boundary surface. The remove-compute-restore technique (RCR) with least-squares collocation (LSC) and a point mass modeling, respectively, are applied and compared. In addition to previous studies, an alternative strategy regarding downward continuation has been introduced. Furthermore, the Residual Terrain Model (RTM) has been enhanced to incorporate the individual densities of water, ice and bedrock.</t>
  </si>
  <si>
    <t>[Schwabe, J.; Scheinert, M.; Dietrich, R.] Tech Univ Dresden, Inst Planetare Geodasie, Dresden, Germany; [Ferraccioli, F.; Jordan, T.] British Antarctic Survey, Cambridge, England</t>
  </si>
  <si>
    <t>Technische Universitat Dresden; UK Research &amp; Innovation (UKRI); Natural Environment Research Council (NERC); NERC British Antarctic Survey</t>
  </si>
  <si>
    <t>Schwabe, J (corresponding author), Tech Univ Dresden, Inst Planetare Geodasie, Dresden, Germany.</t>
  </si>
  <si>
    <t>schwabe@ipg.geo.tu-dresden.de</t>
  </si>
  <si>
    <t>Schwabe, Joachim/0009-0003-6156-1063; Jordan, Tom/0000-0003-2780-1986; Scheinert, Mirko/0000-0002-0892-8941; Ferraccioli, Fausto/0000-0002-9347-4736</t>
  </si>
  <si>
    <t>10.1007/978-3-642-20338-1_55</t>
  </si>
  <si>
    <t>WOS:000300433100055</t>
  </si>
  <si>
    <t>Scheinert, M; Zakrajsek, AF; Eberlein, L; Dietrich, R; Marenssi, SA; Ghidella, ME</t>
  </si>
  <si>
    <t>Scheinert, Mirko; Zakrajsek, Andres F.; Eberlein, Lutz; Dietrich, Reinhard; Marenssi, Sergio A.; Ghidella, Marta E.</t>
  </si>
  <si>
    <t>Gravimetric Time Series Recording at the Argentine Antarctic Stations Belgrano II and San Martin for the Improvement of Ocean Tide Models</t>
  </si>
  <si>
    <t>As a joint project, the Instituto Antartico Argentino (IAA) and TU Dresden (TUD) carried out gravimetric time series recordings at the Argentine Antarctic stations Belgrano II and San Martin. At both stations gravimetric data were recorded for about 1 year, using LaCoste&amp;Romberg gravity meters. At Belgrano II the observations were carried out from February to November 2007, and at San Martin from February 2008 to January 2009. The set-up of the gravimetric stations and the instrumentation utilized are shown. We discuss and compare the data gained at the two stations as well as the analyses in order to solve for the tidal constituents. Generally, tidal gravimetry has the potential to provide independent data to validate and to improve ocean tide models at the Antarctic seas, especially since in-situ data to be used for the establishment of the models are sparse and satellite altimetry has limitations in high latitudes and over ice-covered regions. We discuss the feasibility of the obtained data to pursue this goal of an improvement of ocean tide models. Finally, an outlook for further investigations is given.</t>
  </si>
  <si>
    <t>[Scheinert, Mirko; Eberlein, Lutz; Dietrich, Reinhard] Tech Univ Dresden, Inst Planetare Geodasie, D-01062 Dresden, Germany; [Zakrajsek, Andres F.; Marenssi, Sergio A.; Ghidella, Marta E.] Direcc Nacl Antartico, Inst Antartico Argentino, Balcarce, Argentina</t>
  </si>
  <si>
    <t>Technische Universitat Dresden; Instituto Antartico Argentino</t>
  </si>
  <si>
    <t>10.1007/978-3-642-20338-1_71</t>
  </si>
  <si>
    <t>WOS:000300433100071</t>
  </si>
  <si>
    <t>Vázquez, GE; Grejner-Brzezinska, DA; Schaffrin, B</t>
  </si>
  <si>
    <t>Esteban Vazquez, G.; Grejner-Brzezinska, Dorota A.; Schaffrin, Burkhard</t>
  </si>
  <si>
    <t>Traditional and Alternative Network Adjustment Approach for the TAMDEF GPS in Antarctica</t>
  </si>
  <si>
    <t>A network adjustment analysis was derived for a GPS network called TAMDEF (Trans Antarctic Mountains Deformation), located in Victoria Land, Antarctica. The network adjustment strategy involved the careful selection and application of the appropriate approach to process the TAMDEF network. Therefore, for the first part of the presented study, four cases denoted as Cases I-IV were investigated for the TAMDEF network processing with respect to the IGS (International GNSS Service) sites inside and outside the Antarctic continent. Here, the GPS data processing relied on the PAGES (Program for Adjustment of GPS Ephemerides) software, which was set up to run using the Least-Squares adjustment with Stochastic Constraints (SCLESS). The second part of the study focus in considering alternative network adjustment approaches: the Minimum-Norm LESS adjustment (MINOLESS); the Partial Minimum-Norm LESS (Partial-MINOLESS) and the Best LInear Minimum Partial-Bias Estimation (BLIMPBE) to validate results from the SCLESS approach (Case I) for IGS sites inside the Antarctica. Based on the applied network adjustment approaches within the Antarctic tectonic plate, it can be demonstrated that the GPS data used is clean of bias after properly taken care of ionosphere, troposphere and some other sources that affect GPS positioning.</t>
  </si>
  <si>
    <t>[Esteban Vazquez, G.] Autonomous Univ Sinaloa, Sch Earth Sci, Culiacan, Sinaloa, Mexico; [Grejner-Brzezinska, Dorota A.] Ohio State Univ, Satellite Positioning &amp; Inertial Navigat lab, Columbus, OH 43210 USA; [Schaffrin, Burkhard] Ohio State Univ, Div Geodesy &amp; Geospatial Sci, Columbus, OH 43210 USA</t>
  </si>
  <si>
    <t>Universidad Autonoma de Sinaloa; University System of Ohio; Ohio State University; University System of Ohio; Ohio State University</t>
  </si>
  <si>
    <t>Vázquez, GE (corresponding author), Autonomous Univ Sinaloa, Sch Earth Sci, Culiacan, Sinaloa, Mexico.</t>
  </si>
  <si>
    <t>gvazquez@uas.uasnet.mx</t>
  </si>
  <si>
    <t>Vazquez, Esteban/0000-0002-8456-537X</t>
  </si>
  <si>
    <t>10.1007/978-3-642-20338-1_78</t>
  </si>
  <si>
    <t>WOS:000300433100078</t>
  </si>
  <si>
    <t>Sunwall, DA; Speece, MA; Pekar, SF</t>
  </si>
  <si>
    <t>Sunwall, David A.; Speece, Marvin A.; Pekar, Stephen F.</t>
  </si>
  <si>
    <t>Advances in on-sea-ice seismic reflection methods using an air gun: McMurdo Sound, Antarctica</t>
  </si>
  <si>
    <t>GEOPHYSICS</t>
  </si>
  <si>
    <t>FINITE-DIFFERENCE; VOID-FRACTION; HYDRATION; BUBBLES</t>
  </si>
  <si>
    <t>During the austral spring of 2008, 48 km of multichannel seismic reflection data were collected on a sea-ice platform east of New Harbor, Southern McMurdo Sound, Antarctica. These seismic data were collected to support the Antarctic Geological Drilling Program whose goal is to recover sedimentary rock cores from the continental margin of Antarctica and to better understand the climatic, cryospheric, and tectonic history of Antarctica. A Generator-Injector air gun, deployed through holes drilled in the sea ice, was used for a seismic source, and reflected energy was recorded on a snow streamer consisting of 60 gimbaled geophones. The Offshore New Harbor seismic system has increased the rate of data acquisition by 53% compared to previous Antarctic air-gun/snow-streamer seismic systems. In addition to conventional on-sea-ice seismic data processing, new processing steps were used to correct problems associated with the use of a Generator-Injector air gun in a sea-ice environment. Source timing errors, caused by miscommunications between the Generator-Injector air gun and air-gun controller, were corrected. Newly discovered bubble-plume static errors and bubble-plume wavelet distortions degraded seismic data quality and are attributed to bubble plumes created by the Generator-Injector air-gun blast. Our investigation shows that these bubble plumes were preserved for at least 40 hours beneath the sea ice and created isolated low-velocity zones. Using finite-element methods, we reproduced static errors and wavelet distortions by incorporating the effects of bubble plumes into the finite-element model. The results of finite-element modeling confirmed our hypothesis that bubble-plume static errors and bubble-plume wavelet distortions were caused by near-surface low-velocity features. Therefore, we incorporated new processing steps which remove bubble-plume effects and improve the quality of final seismic sections.</t>
  </si>
  <si>
    <t>[Sunwall, David A.; Speece, Marvin A.] Montana Tech Univ, Geophys Engn Dept, Butte, MT USA; [Pekar, Stephen F.] CUNY, Queens Coll, Sch Earth &amp; Environm Sci, New York, NY 10021 USA</t>
  </si>
  <si>
    <t>University of Montana System; University of Montana; Montana Technological University; City University of New York (CUNY) System; Queens College NY (CUNY)</t>
  </si>
  <si>
    <t>Sunwall, DA (corresponding author), Montana Tech Univ, Geophys Engn Dept, Butte, MT USA.</t>
  </si>
  <si>
    <t>davidsunwall@gmail.com; mspeece@mtech.edu; stephen.pekar@qc.cuny.edu</t>
  </si>
  <si>
    <t>U.S. National Science Foundation [ANT-073287]</t>
  </si>
  <si>
    <t>We thank Stian Alesandrini and Ross Hein of Raytheon Polar Services Company for their help designing and building the ONH air-gun system, and we thank the entire ONH crew for field support. We also thank Jeff Braun, Curtis Link, Kenny Matsuoka, and two anonymous reviewers for their constructive criticisms of this paper. Seismic data were processed using Landmark's ProMAX (R) seismic processing software. Finite-element modeling was done in the Acoustics Module of the COMSOL Multiphysics (R) software. This research was supported by the U.S. National Science Foundation through grant ANT-073287. Any opinions, findings, and conclusions or recommendations expressed in this material are those of the authors and do not necessarily reflect the views of the National Science Foundation.</t>
  </si>
  <si>
    <t>SOC EXPLORATION GEOPHYSICISTS</t>
  </si>
  <si>
    <t>8801 S YALE ST, TULSA, OK 74137 USA</t>
  </si>
  <si>
    <t>0016-8033</t>
  </si>
  <si>
    <t>1942-2156</t>
  </si>
  <si>
    <t>Geophysics</t>
  </si>
  <si>
    <t>JAN-FEB</t>
  </si>
  <si>
    <t>S19</t>
  </si>
  <si>
    <t>S30</t>
  </si>
  <si>
    <t>10.1190/GEO2011-0127.1</t>
  </si>
  <si>
    <t>898UH</t>
  </si>
  <si>
    <t>WOS:000300767000030</t>
  </si>
  <si>
    <t>Hartill, BW; Cryer, M; Lyle, JM; Rees, EB; Ryan, KL; Steffe, AS; Taylor, SM; West, L; Wise, BS</t>
  </si>
  <si>
    <t>Hartill, Bruce W.; Cryer, Martin; Lyle, Jeremy M.; Rees, Eugene B.; Ryan, Karina L.; Steffe, Aldo S.; Taylor, Stephen M.; West, Laurie; Wise, Brent S.</t>
  </si>
  <si>
    <t>Scale- and Context-Dependent Selection of Recreational Harvest Estimation Methods: The Australasian Experience</t>
  </si>
  <si>
    <t>NORTH AMERICAN JOURNAL OF FISHERIES MANAGEMENT</t>
  </si>
  <si>
    <t>ANGLER SURVEY; CREEL SURVEY; FISHERIES; DESIGNS</t>
  </si>
  <si>
    <t>Fisheries managers are becoming increasingly aware of the need to quantify all forms of harvest, including that by recreational fishers. This need has been driven by both a growing recognition of the potential impact that noncommercial fishers can have on exploited resources and the requirement to allocate catch limits between different sectors of the wider fishing community in many jurisdictions. Marine recreational fishers are rarely required to report any of their activity, and some form of survey technique is usually required to estimate levels of recreational catch and effort. In this review, we describe and discuss studies that have attempted to estimate the nature and extent of recreational harvests of marine fishes in New Zealand and Australia over the past 20 years. We compare studies by method to show how circumstances dictate their application and to highlight recent developments that other researchers may find of use. Although there has been some convergence of approach, we suggest that context is an important consideration, and many of the techniques discussed here have been adapted to suit local conditions and to address recognized sources of bias. Much of this experience, along with novel improvements to existing approaches, have been reported only in gray literature because of an emphasis on providing estimates for immediate management purposes. This paper brings much of that work together for the first time, and we discuss how others might benefit from our experience.</t>
  </si>
  <si>
    <t>[Hartill, Bruce W.] Natl Inst Water &amp; Atmospher Res, Auckland 1149, New Zealand; [Cryer, Martin; Rees, Eugene B.] New Zealand Minist Fisheries, Wellington 6140, New Zealand; [Lyle, Jeremy M.] Univ Tasmania, Inst Marine &amp; Antarctic Studies, Hobart, Tas 7000, Australia; [Ryan, Karina L.; Wise, Brent S.] Dept Fisheries, Fisheries Lab, North Beach, WA 6920, Australia; [Ryan, Karina L.; Wise, Brent S.] Dept Fisheries, Marine Res Lab, North Beach, WA 6920, Australia; [Steffe, Aldo S.] Cronulla Fisheries Res Ctr, Dept Ind &amp; Investment, Cronulla, NSW 2230, Australia; [Taylor, Stephen M.] Dept Employment Econ Dev &amp; Innovat, Brisbane, Qld 4001, Australia; [West, Laurie] Kewagama Res, Noosaville, Qld 4566, Australia</t>
  </si>
  <si>
    <t>National Institute of Water &amp; Atmospheric Research (NIWA) - New Zealand; University of Tasmania; NSW Department of Primary Industries</t>
  </si>
  <si>
    <t>Hartill, BW (corresponding author), Natl Inst Water &amp; Atmospher Res, Private Bag 99940, Auckland 1149, New Zealand.</t>
  </si>
  <si>
    <t>b.hartill@niwa.co.nz</t>
  </si>
  <si>
    <t>Ryan, Karina L/AHA-8569-2022; Lyle, Jeremy/J-7170-2014</t>
  </si>
  <si>
    <t>Ryan, Karina L/0000-0001-9712-252X; Lyle, Jeremy/0000-0001-9670-5854</t>
  </si>
  <si>
    <t>National Institute of Atmospheric and Water Research (New Zealand) [CF101306]</t>
  </si>
  <si>
    <t>National Institute of Atmospheric and Water Research (New Zealand)</t>
  </si>
  <si>
    <t>The preparation of this manuscript was supported by capability funding (CF101306) provided by the National Institute of Atmospheric and Water Research (New Zealand). Various state and national agencies have supported workshop attendance by the authors. We thank two anonymous reviewers who provided many useful comments that considerably improved this paper.</t>
  </si>
  <si>
    <t>0275-5947</t>
  </si>
  <si>
    <t>N AM J FISH MANAGE</t>
  </si>
  <si>
    <t>North Am. J. Fish Manage.</t>
  </si>
  <si>
    <t>10.1080/02755947.2012.661387</t>
  </si>
  <si>
    <t>902NW</t>
  </si>
  <si>
    <t>WOS:000301046200015</t>
  </si>
  <si>
    <t>Stilwell, JD; Consoli, CP</t>
  </si>
  <si>
    <t>Stilwell, Jeffrey D.; Consoli, Christopher P.</t>
  </si>
  <si>
    <t>Tectono-stratigraphic history of the Chatham Islands, SW Pacific-The emergence, flooding and reappearance of eastern 'Zealandia'</t>
  </si>
  <si>
    <t>PROCEEDINGS OF THE GEOLOGISTS ASSOCIATION</t>
  </si>
  <si>
    <t>Chatham Islands; New Zealand; Gondwana; Geologic history; Tectonics; Stratigraphy</t>
  </si>
  <si>
    <t>SOUTHERN NEW-ZEALAND; SOUTHWEST-PACIFIC; INTRAPLATE VOLCANISM; TECTONIC DEVELOPMENT; HIKURANGI PLATEAU; RAKAIA TERRANE; RISE; EVOLUTION; AGE; TORLESSE</t>
  </si>
  <si>
    <t>The Chatham Islands, SW Pacific, provide a significant window into the Paleozoic-Cenozoic geology and palaeontology of this remote part of eastern Zealandia, and today, they are the only emergent tracts of an otherwise submerged Chatham Rise east of New Zealand. As part of early 19th Century intensive surveys by the New Zealand Company, German scientist Johann Karl Ernst Dieffenbach (1811-1855) spent the winter months of May-July 1840 studying the remote eastern outpost of the Chatham Islands archipelago at 43.7 degrees S and 176.7 degrees W, recording the first geological observations in this part of the Southwest Pacific as part of the land surveys to determine the suitability of natural resources and settlement. Dieffenbach's descriptions of the Chathams sparked some interest in England, but it would take some 130 years before the first geologic map of the Chathams was published in 1970 as a result of research by the Institute of Geological and Nuclear Sciences (New Zealand). The Chathams, today the only emergent parts of the Chatham Rise extending eastward from the New Zealand mainland for 1000 km, host the only outcrops of the Rise's geology, with deep roots in Gondwana. The geology comprises basement rocks of Permo-Triassic metasediments and schists which correlate to the Torlesse Supergroup of New Zealand, having been connected to Marie Byrd Land, West Antarctica. Through phases of complex uplift and accretion along the Gondwanan landmass, a convergent margin ensued with associated back-arc volcanism within Antarctica for at least the Permian to mid-Jurassic time, which subsequently evolved into a passive margin, giving the Chatham Rise its distinctive finger-like shape. Divergent plate motions, resulting from the final fragmentation of Gondwana, pulled the Zealandia block away from the West Antarctic margin ca. 85-80 Ma concurrently with rifting phases that created large horsts and grabens forming a basin and range style landscape. Tectonism also formed intraplate volcanic provinces, including the establishment of a massive alkaline basalt stratovolcano in the Late Cretaceous with associated alkali olivine basalts and tuffs. From ca. 83 Ma the Chathams were positioned at 70 degrees S to about 54 degrees S at the K-Pg boundary, at a rate of approximately 0.9 degrees/m.y. Crustal thinning and subsidence resulted in the deposition of a thick sequence of associated terrestrial to paralic rift-fill sediments in the mid-Cretaceous, overlain by Upper Cretaceous to Paleogene shallow marine volcaniclastics, greensands and minor interstitial limestones. However, the presence of terrestrial fauna and flora of Paleocene age provides evidence of at least some emergent tracts of land (Chatham Peninsula) along the Rise until at least the mid- to late Paleocene. The lower Cenozoic successions are characterised by thin and discontinuous marine sandstones, tuff and limestones, reflecting regional subsidence of the Chatham Rise, concomitant with pulsed volcanic activity, which persisted intermittently throughout the late Cenozoic. Limestone deposition and volcanic sediments waned before the end of the Pliocene, and only thin accumulations of littoral sands, peats, dune sand, and marine terrace gravels, were lain down after the islands' uplift in the latest Pliocene. Current knowledge infers that the Chatham Islands have been emergent only for the last three to four million years. Varying terrigenous and carbonate sedimentation, reflecting intense palaeoclimatic cycles from global cooling during the Pliocene to Holocene, continue to the present day. (C) 2011 The Gelogists' Association. Published by Elsevier Ltd. All rights reserved.</t>
  </si>
  <si>
    <t>[Stilwell, Jeffrey D.] Monash Univ, Sch Geosci, Clayton, Vic 3800, Australia; [Stilwell, Jeffrey D.] Australian Museum, Sydney, NSW 2000, Australia; [Consoli, Christopher P.] Geosci Australia, Geol Storage CO2, Canberra, ACT 2601, Australia</t>
  </si>
  <si>
    <t>Monash University; Australian Museum; Geoscience Australia</t>
  </si>
  <si>
    <t>Stilwell, JD (corresponding author), Monash Univ, Sch Geosci, Clayton, Vic 3800, Australia.</t>
  </si>
  <si>
    <t>Jeffrey.Stilwell@monash.edu</t>
  </si>
  <si>
    <t>Stilwell, Jeffrey Darl/0000-0002-9853-1322</t>
  </si>
  <si>
    <t>Monash University; National Geographic Society; Geoscience Australia</t>
  </si>
  <si>
    <t>Monash University(Monash University); National Geographic Society(National Geographic Society); Geoscience Australia</t>
  </si>
  <si>
    <t>This study was supported by a Monash University Research Initiatives Grant and 2004, 2006 and 2008 National Geographic Society Committee for Research and Exploration grants to JDS, and Geoscience Australia funding to CPC. The long-term support since 1995 to JDS from the Chatham Island Terry and Donna Tuanui family and many other Chatham Islanders is graciously appreciated, given the logistically challenging nature of conducting fieldwork in this remote SW Pacific outpost.</t>
  </si>
  <si>
    <t>0016-7878</t>
  </si>
  <si>
    <t>P GEOLOGIST ASSOC</t>
  </si>
  <si>
    <t>Proc. Geol. Assoc.</t>
  </si>
  <si>
    <t>10.1016/j.pgeola.2011.06.003</t>
  </si>
  <si>
    <t>892BP</t>
  </si>
  <si>
    <t>WOS:000300262000015</t>
  </si>
  <si>
    <t>Arnault, J; Kirkwood, S</t>
  </si>
  <si>
    <t>Arnault, Joel; Kirkwood, Sheila</t>
  </si>
  <si>
    <t>Dynamical influence of gravity waves generated by the Vestfjella Mountains in Antarctica: radar observations, fine-scale modelling and kinetic energy budget analysis</t>
  </si>
  <si>
    <t>TELLUS SERIES A-DYNAMIC METEOROLOGY AND OCEANOGRAPHY</t>
  </si>
  <si>
    <t>gravity wave; radar observation; numerical modelling; kinetic energy; budget</t>
  </si>
  <si>
    <t>LOWER STRATOSPHERE; MOMENTUM FLUXES; PART II; TROPOSPHERE; ATMOSPHERE; CAMPAIGN; ANDES</t>
  </si>
  <si>
    <t>Gravity waves generated by the Vestfjella Mountains (in western Droning Maud Land, Antarctica, southwest of the Finnish/Swedish Aboa/Wasa station) have been observed with the Moveable atmospheric radar for Antarctica (MARA) during the SWEDish Antarctic Research Programme (SWEDARP) in December 2007/January 2008. These radar observations are compared with a 2-month Weather Research Forecast (WRF) model experiment operated at 2 km horizontal resolution. A control simulation without orography is also operated in order to separate unambiguously the contribution of the mountain waves on the simulated atmospheric flow. This contribution is then quantified with a kinetic energy budget analysis computed in the two simulations. The results of this study confirm that mountain waves reaching lower-stratospheric heights break through convective overturning and generate inertia gravity waves with a smaller vertical wavelength, in association with a brief depletion of kinetic energy through frictional dissipation and negative vertical advection. The kinetic energy budget also shows that gravity waves have a strong influence on the other terms of the budget, i.e. horizontal advection and horizontal work of pressure forces, so evaluating the influence of gravity waves on the mean-flow with the vertical advection term alone is not sufficient, at least in this case. We finally obtain that gravity waves generated by the Vestfjella Mountains reaching lower stratospheric heights generally deplete (create) kinetic energy in the lower troposphere (upper troposphere-lower stratosphere), in contradiction with the usual decelerating effect attributed to gravity waves on the zonal circulation in the upper troposphere-lower stratosphere.</t>
  </si>
  <si>
    <t>[Arnault, Joel; Kirkwood, Sheila] Swedish Inst Space Phys, SE-98128 Kiruna, Sweden</t>
  </si>
  <si>
    <t>Arnault, J (corresponding author), Swedish Inst Space Phys, Box 812, SE-98128 Kiruna, Sweden.</t>
  </si>
  <si>
    <t>joel.arnault@yahoo.fr</t>
  </si>
  <si>
    <t>Knut and Alice Wallenberg's foundation; Swedish Polar Research; Finnish Antarctic Program; Swedish Research Council [621-2007-4812, 621-2010-3218]</t>
  </si>
  <si>
    <t>Knut and Alice Wallenberg's foundation(Knut &amp; Alice Wallenberg Foundation); Swedish Polar Research; Finnish Antarctic Program; Swedish Research Council(Swedish Research Council)</t>
  </si>
  <si>
    <t>Measurements in Antarctica were supported by Knut and Alice Wallenberg's foundation, Swedish Polar Research Secretariat (SWEDARP 2007) and the Finnish Antarctic Program. This project has also been funded by the Swedish Research Council Grants 621-2007-4812 and 621-2010-3218. Some test simulations with the WRF model were run on the IRF's 'super computer', although the final version of the simulation presented in this study was run at the High Performance Computing Center North (HPC2N, http://www.hpc2n.umu.se/). We thank Dr. Peter Voelger for sharing his competence on how to run the WRF model, Dr. Teresa Valkonen for explaining how to use the RAMPDE topographic data in the WRF model, Arne Mostrom for helping recompiling the version of the WRF model including the kinetic energy budget, Dr. T. Narayana Rao for some valuable comments on the budget analysis during his visit at IRF, Dr Ake Sandgren for his precious help concerning the implementation of the modified version of the WRF model on the HPC2N's super computer, and two reviewers for their constructive remarks on a previous version of the manuscript.</t>
  </si>
  <si>
    <t>0280-6495</t>
  </si>
  <si>
    <t>1600-0870</t>
  </si>
  <si>
    <t>TELLUS A</t>
  </si>
  <si>
    <t>Tellus Ser. A-Dyn. Meteorol. Oceanol.</t>
  </si>
  <si>
    <t>10.3402/tellusa.v64i0.17261</t>
  </si>
  <si>
    <t>904JH</t>
  </si>
  <si>
    <t>WOS:000301190600001</t>
  </si>
  <si>
    <t>Wilson, CJL; Peternell, M</t>
  </si>
  <si>
    <t>Wilson, Christopher J. L.; Peternell, Mark</t>
  </si>
  <si>
    <t>Ice deformed in compression and simple shear: control of temperature and initial fabric</t>
  </si>
  <si>
    <t>POLYCRYSTALLINE ICE; DYNAMIC RECRYSTALLIZATION; ANISOTROPIC ICE; CRYSTAL SIZE; FLOW-LAW; CREEP; DEFORMATION; ORIENTATION; STRAIN; EVOLUTION</t>
  </si>
  <si>
    <t>Layered and polycrystalline ice was experimentally deformed in general shear involving axial compression (strain magnitude 0.5-17%) and simple shear (strain magnitude gamma=0.1-1.4). As the temperature is increased from -20 degrees C to -2 degrees C, there is at least a twofold enhancement in octahedral shear strain rate, which coincides with the onset of extensive dynamic recrystallization and a change in grain-size distribution at -15 degrees C. Between -15 degrees C and -10 degrees C the c-axis preferred orientation rapidly evolves with the initiation of two-maxima fabrics in shear zones. From -10 degrees C to -2 degrees C there is progressive evolution of a final c-axis pattern that is asymmetric with respect to the direction of shortening, with a strong maximum at similar to 5 degrees to the pole of the shear zone, a sense of asymmetry in the direction of the shear, and a secondary maximum inclined at similar to 45 degrees to the plane of shearing. An initial c-axis preferred orientation plays a critical role in the initial mechanical evolution. In contrast to established ideas, a strong alignment of basal planes parallel to the plane of easy glide inhibited deformation and there was an increased component of strain hardening until recrystallization processes become dominant.</t>
  </si>
  <si>
    <t>[Wilson, Christopher J. L.] Monash Univ, Sch Geosci, Clayton, Vic 3800, Australia; [Peternell, Mark] Johannes Gutenberg Univ Mainz, Dept Earth Sci, Mainz, Germany</t>
  </si>
  <si>
    <t>Monash University; Johannes Gutenberg University of Mainz</t>
  </si>
  <si>
    <t>Wilson, CJL (corresponding author), Monash Univ, Sch Geosci, Clayton, Vic 3800, Australia.</t>
  </si>
  <si>
    <t>chris.wilson@monash.edu</t>
  </si>
  <si>
    <t>Australian Research Council [DP0344708, DP0773097]; University of Melbourne; Australian Research Council [DP0773097, DP0344708] Funding Source: Australian Research Council</t>
  </si>
  <si>
    <t>Australian Research Council(Australian Research Council); University of Melbourne(University of Melbourne); Australian Research Council(Australian Research Council)</t>
  </si>
  <si>
    <t>This work was supported by Australian Research Council grants (DP0344708 and DP0773097). D. Russell-Head is thanked for technical advice and assistance regarding the fabric analyser. Li Jun and other members of the Australian Antarctic Division Glaciology Program are thanked for discussions about the deformation rig and for supplying the software used to record the creep curves. This paper presents work initially undertaken while the authors were at the University of Melbourne. We thank that institution for its support, and H. Sim for help with the laboratory work and some of the initial data analysis. Two anonymous reviewers and T.H. Jacka are thanked for comments on an earlier version of the paper.</t>
  </si>
  <si>
    <t>10.3189/2012JoG11J065</t>
  </si>
  <si>
    <t>898QV</t>
  </si>
  <si>
    <t>WOS:000300757800002</t>
  </si>
  <si>
    <t>Gough, AJ; Mahoney, AR; Langhorne, PJ; Williams, MJM; Robinson, NJ; Haskell, TG</t>
  </si>
  <si>
    <t>Gough, Alexander J.; Mahoney, Andrew R.; Langhorne, Pat J.; Williams, Michael J. M.; Robinson, Natalie J.; Haskell, Tim G.</t>
  </si>
  <si>
    <t>Signatures of supercooling: McMurdo Sound platelet ice</t>
  </si>
  <si>
    <t>ANTARCTIC SEA-ICE; WEDDELL-SEA; HEAT-FLUX; CRYSTALS; SHELF; WATER; MICROSTRUCTURE; EVOLUTION; THICKNESS; DYNAMICS</t>
  </si>
  <si>
    <t>Near ice shelves around Antarctica the ocean becomes supercooled and has been observed to carry small suspended ice crystals. Our measurements demonstrate that these small crystals are persistently present in the water column beneath the winter fast ice, and when incorporated in sea ice they reduce the mean grain size of the sea-ice cover. By midwinter, larger ice crystals below the ice/water interface are observed to form a porous sub-ice platelet layer with an ice volume fraction of 0.25 +/- 0.06. The magnitude and direction of the oceanic heat flux varied between (5 +/- 6) W m(-2) (upwards) and (-15 +/- 10) W m(-2) (downwards) in May, but by September it settled between (-6 +/- 2) and (-11 +/- 2) W m(-2). The negative values imply that the ocean acts as a heat sink which is responsible for the growth of 12% of the ice thickness between June and September. This oceanic contribution should not be ignored in models of Antarctic sea-ice thickness close to an ice shelf.</t>
  </si>
  <si>
    <t>[Gough, Alexander J.; Mahoney, Andrew R.; Langhorne, Pat J.; Robinson, Natalie J.] Univ Otago, Dept Phys, Dunedin, New Zealand; [Williams, Michael J. M.; Robinson, Natalie J.] Natl Inst Water &amp; Atmospher Res Ltd, Wellington, New Zealand; [Haskell, Tim G.] Ind Res Ltd, Wellington, New Zealand</t>
  </si>
  <si>
    <t>University of Otago; National Institute of Water &amp; Atmospheric Research (NIWA) - New Zealand; Callaghan Innovation</t>
  </si>
  <si>
    <t>Gough, AJ (corresponding author), Univ Otago, Dept Phys, Dunedin, New Zealand.</t>
  </si>
  <si>
    <t>Robinson, Natalie J/I-4460-2015; Gough, Alex J/D-4784-2009; Williams, Michael/H-9674-2014; Langhorne, Pat/C-3539-2018</t>
  </si>
  <si>
    <t>Foundation for Research Science and Technology; University of Otago; Industrial Research Ltd; National Institute of Water and Atmospheric Research Ltd.</t>
  </si>
  <si>
    <t>Foundation for Research Science and Technology(New Zealand Foundation for Research, Science and Technology); University of Otago; Industrial Research Ltd; National Institute of Water and Atmospheric Research Ltd.</t>
  </si>
  <si>
    <t>This work, a part of New Zealand's contribution to the International Polar Year, was funded by the Foundation for Research Science and Technology, the University of Otago, Industrial Research Ltd and the National Institute of Water and Atmospheric Research Ltd. A.J.G. was supported by a University of Otago Postgraduate Scholarship. We are grateful to Antarctica New Zealand for logistical support and Myles Thayer, Richard Sparrow and Peter Stroud for help constructing instruments. We thank Brian Staite and the Scott Base 2009 winter team for field support, Wolfgang Rack for supplying RADARSAT imagery for Figure 2, Joe Trodahl for some temperature data, and Craig Stevens and Craig Stewart for help with the mooring. The comments of two anonymous reviewers significantly improved the paper.</t>
  </si>
  <si>
    <t>10.3189/2012JoG10J218</t>
  </si>
  <si>
    <t>WOS:000300757800004</t>
  </si>
  <si>
    <t>Jiang, S; Cole-Dai, J; Li, YS; Ferris, DG; Ma, HM; An, CL; Shi, GT; Sun, B</t>
  </si>
  <si>
    <t>Jiang, Su; Cole-Dai, Jihong; Li, Yuansheng; Ferris, Dave G.; Ma, Hongmei; An, Chunlei; Shi, Guitao; Sun, Bo</t>
  </si>
  <si>
    <t>A detailed 2840 year record of explosive volcanism in a shallow ice core from Dome A, East Antarctica</t>
  </si>
  <si>
    <t>DRONNING-MAUD-LAND; HIGH-RESOLUTION; ERUPTION; SULFATE; GREENLAND; STRATIGRAPHY; ACCUMULATION; AMUNDSENISEN; HISTORY; PROJECT</t>
  </si>
  <si>
    <t>A detailed history of volcanism covering the last 2840 years is reconstructed from the top 100.42 m of a 109.91 m ice core from Dome A (DA2005 ice core), East Antarctica. Using two known volcanic stratigraphic markers, the mean accumulation rate during the period AD 1260-1964 is found to be 23.2 mm w.e. a(-1), consistent with the previously reported accumulation rate at Dome A. This mean accumulation rate is used to date the entire core. Volcanic eruptions in the period 840 BC AD 1998 are detected as outstanding sulphate events. Seventy-eight eruptions are identified, with a mean of 2.7 eruptions per century. Comparisons with previous Antarctic ice-core volcanic records are made to assess the quality of this new DA2005 record. In terms of dates for volcanic events, the DA2005 record is in good agreement with previous records in the second millennium AD (AD 1000-1998). A series of volcanic signatures found in both the DA2005 record and several other Antarctic ice-core records in the first millennium AD (AD 1-1000) appear to validate the DA2005 record during this time period. For the older periods, direct comparisons are difficult between the DA2005 record and other Antarctic ice-core records due to the lack of well-dated stratigraphic horizons.</t>
  </si>
  <si>
    <t>[Jiang, Su; Li, Yuansheng; Ma, Hongmei; An, Chunlei; Shi, Guitao; Sun, Bo] Polar Res Inst China, Key Lab Polar Sci State Ocean Adm, Shanghai, Peoples R China; [Cole-Dai, Jihong; Ferris, Dave G.] S Dakota State Univ, Dept Chem &amp; Biochem, Brookings, SD 57007 USA</t>
  </si>
  <si>
    <t>Polar Research Institute of China; South Dakota State University</t>
  </si>
  <si>
    <t>Jiang, S (corresponding author), Polar Res Inst China, Key Lab Polar Sci State Ocean Adm, Shanghai, Peoples R China.</t>
  </si>
  <si>
    <t>jihong.cole-dai@sdstate.edu</t>
  </si>
  <si>
    <t>Cole-Dai, Jihong/B-2510-2009; sun, bo/JFA-9978-2023</t>
  </si>
  <si>
    <t>Cole-Dai, Jihong/0000-0003-0921-5916; Ferris, David/0000-0003-2336-6163; Jiang, Su/0000-0001-6712-7979</t>
  </si>
  <si>
    <t>Natural Science Foundation of China [40906098, 40773074, 40806074]; Ministry of Science and Technology of China [2006BAB18B01]; Office of Polar Programs (OPP); Directorate For Geosciences [0839066] Funding Source: National Science Foundation</t>
  </si>
  <si>
    <t>Natural Science Foundation of China(National Natural Science Foundation of China (NSFC)); Ministry of Science and Technology of China(Ministry of Science and Technology, China); Office of Polar Programs (OPP); Directorate For Geosciences(National Science Foundation (NSF)NSF - Directorate for Geosciences (GEO))</t>
  </si>
  <si>
    <t>We thank all the members of the CHINARE 21 Inland Traverse (2004/05) team. Special thanks go to Shugui Hou and Cunde Xiao for their contribution in collecting the ice-core samples. This research was financially supported by the Natural Science Foundation of China (40906098, 40773074, 40806074) and Ministry of Science and Technology of China (2006BAB18B01). Ice-core analysis at South Dakota State University was supported in part by the US National Science Foundation.</t>
  </si>
  <si>
    <t>10.3189/2012JoG11J138</t>
  </si>
  <si>
    <t>WOS:000300757800006</t>
  </si>
  <si>
    <t>Albrecht, T; Levermann, A</t>
  </si>
  <si>
    <t>Albrecht, Torsten; Levermann, Anders</t>
  </si>
  <si>
    <t>Fracture field for large-scale ice dynamics</t>
  </si>
  <si>
    <t>PINE ISLAND GLACIER; MODEL PISM-PIK; ANTARCTIC PENINSULA; BOTTOM CREVASSES; SHELF COLLAPSE; MECHANICS APPROACH; WEST ANTARCTICA; BREAK-UP; SHEET; DISINTEGRATION</t>
  </si>
  <si>
    <t>Recent observations and modeling studies emphasize the crucial role of fracture mechanics for the stability of ice shelves and thereby the evolution of ice sheets. Here we introduce a macroscopic fracture-density field into a prognostic continuum ice-flow model and compute its evolution incorporating the initiation and growth of fractures as well as their advection with two-dimensional ice flow. To a first approximation, fracture growth is assumed to depend on the spreading rate only, while fracture initiation is defined in terms of principal stresses. The inferred fracture-density fields compare well with observed elongate surface structures. Since crevasses and other deep-reaching fracture structures have been shown to influence the overall ice-shelf dynamics, we propose the fracture-density field introduced here be used as a measure for ice softening and decoupling of the ice flow in fracture-weakened zones. This may yield more accurate and realistic velocity patterns in prognostic simulations. Additionally, the memory of past fracture events links the calving front to the upstream dynamics. Thus the fracture-density field proposed here may be employed in fracture-based calving parameterizations. The aim of this study is to introduce the field and investigate which of the observed surface structures can be reproduced by the simplest physically motivated fracture source terms.</t>
  </si>
  <si>
    <t>[Albrecht, Torsten; Levermann, Anders] Potsdam Inst Climate Impact Res PIK, Potsdam, Germany; [Albrecht, Torsten; Levermann, Anders] Univ Potsdam, Inst Phys, Potsdam, Germany</t>
  </si>
  <si>
    <t>Potsdam Institut fur Klimafolgenforschung; University of Potsdam</t>
  </si>
  <si>
    <t>Albrecht, T (corresponding author), Potsdam Inst Climate Impact Res PIK, Potsdam, Germany.</t>
  </si>
  <si>
    <t>torsten.albrecht@pik-potsdam.de</t>
  </si>
  <si>
    <t>albrecht, torsten/J-8259-2019; Levermann, Anders/G-4666-2011</t>
  </si>
  <si>
    <t>albrecht, torsten/0000-0001-7459-2860; Levermann, Anders/0000-0003-4432-4704</t>
  </si>
  <si>
    <t>German National Academic Foundation (Studienstiftung des deutschen Volkes)</t>
  </si>
  <si>
    <t>We thank Ed Bueler and Constantine Khroulev for providing the sophisticated model base code and plentiful advice, and Maria A. Martin and Ricarda Winkelmann for a critical discussion of the study. We are very grateful to Doug MacAyeal for helpful comments and suggestions. The data of observed surface features on the FRIS were kindly provided by Christina L. Hulbe and Christine LeDoux. T.A. is funded by the German National Academic Foundation (Studienstiftung des deutschen Volkes).</t>
  </si>
  <si>
    <t>10.3189/2012JoG11J191</t>
  </si>
  <si>
    <t>WOS:000300757800014</t>
  </si>
  <si>
    <t>Reid, TA; Hindell, MA; Wilcox, C</t>
  </si>
  <si>
    <t>Reid, Tim A.; Hindell, Mark A.; Wilcox, Chris</t>
  </si>
  <si>
    <t>Environmental determinants of the at-sea distribution of encounters between flesh-footed shearwaters Puffinus carniepes and fishing vessels</t>
  </si>
  <si>
    <t>Bootstrap model averaging; Long-line fishing; By-catch; Lord Howe Island; At-sea interactions</t>
  </si>
  <si>
    <t>SEABIRD MORTALITY; LONGLINE FISHERY; EASTERN AUSTRALIA; FACTORY TRAWLERS; BYCATCH; ISLANDS; OCEAN; REGRESSION; CARNEIPES; ABUNDANCE</t>
  </si>
  <si>
    <t>Fisheries observer data were used to model the distribution of seabird encounters in order to identify potential areas for fisheries closures. Data from the Australian Eastern Tuna and Billfish Fishery (ETBF) in the Tasman Sea were used, and the focal species was the flesh-footed shearwater Puffinus carneipes Gould, 1844 (the species most commonly killed in this fishery). Encounters between flesh-footed shearwaters and longline fishing vessels varied with season, distance from Lord Howe Island, and a number of environmental and oceanographic variables. Encounters were most common south-west of Lord Howe Island, in waters associated with the Tasman Front and the East Australian Current. The resulting model was used to predict overlaps between fisheries and flesh-footed shearwaters during 3 years (1997-98, 2003-04 and 2006-07). During 2003-04, high rates of interaction were predicted in areas with high fishing effort and high observed mortality rates of shearwaters. In 2006-07 most fishing was well to the north of areas with predictions of high interaction rates, and seabird bycatch was low. The shift in fishing locations coincided, and was likely driven by, a change in the fish species targeted by the majority of the fishery. This indicates that the most likely reason for falling bycatch rates in this fishery were movements of the fishing effort away from the birds, rather than changes in fishing technique. These results emphasise the potential of area closures as a method of bycatch mitigation for species that are proving intractable to standard bycatch reduction methods. Our results demonstrate that data collected from fisheries vessels can be used to identify characteristic areas of interactions.</t>
  </si>
  <si>
    <t>[Reid, Tim A.; Hindell, Mark A.] Univ Tasmania, Inst Marine &amp; Antarctic Studies, Sandy Bay, Tas 7005, Australia; [Reid, Tim A.; Wilcox, Chris] CSIRO Marine &amp; Atmospher Res, Wealth Oceans Natl Flagship, Hobart, Tas 7001, Australia</t>
  </si>
  <si>
    <t>Reid, TA (corresponding author), Univ Cape Town, Percy Fitzpatrick Inst African Ornithol, Private Bag X3, ZA-7701 Rondebosch, South Africa.</t>
  </si>
  <si>
    <t>treid@utas.edu.au</t>
  </si>
  <si>
    <t>Wilcox, Chris/A-3585-2010; Fennell, Hannah/AAI-1408-2019; Hindell, Mark A/K-1131-2013; Hindell, Mark A/C-8368-2013</t>
  </si>
  <si>
    <t>Hindell, Mark/0000-0002-7823-7185</t>
  </si>
  <si>
    <t>CSIRO-UTas QMS</t>
  </si>
  <si>
    <t>Fisheries data was supplied by the Australian Fisheries Management Authority (AFMA), and remote sensing data was supplied by the Commonwealth Scientific and Industrial Research Organisation (CSIRO). NCEP reanalysis data provided by the NOAA-CIRES Climate Diagnostics Center, Boulder, Colorado, from their web site at www.cdc.noaa.gov/. This study was supported by a joint CSIRO-UTas QMS scholarship.</t>
  </si>
  <si>
    <t>10.3354/meps09449</t>
  </si>
  <si>
    <t>897OG</t>
  </si>
  <si>
    <t>WOS:000300660600016</t>
  </si>
  <si>
    <t>Smith, JN; Grantham, HS; Gales, N; Double, MC; Noad, MJ; Paton, D</t>
  </si>
  <si>
    <t>Smith, Joshua N.; Grantham, Hedley S.; Gales, Nick; Double, Michael C.; Noad, Michael J.; Paton, David</t>
  </si>
  <si>
    <t>Identification of humpback whale breeding and calving habitat in the Great Barrier Reef</t>
  </si>
  <si>
    <t>Humpback whale; Megaptera novaeangliae; Spatial habitat modelling; Great Barrier Reef</t>
  </si>
  <si>
    <t>MEGAPTERA-NOVAEANGLIAE; SPECIES DISTRIBUTION; MIGRATORY MOVEMENTS; HAWAIIAN-ISLANDS; PREDICTION</t>
  </si>
  <si>
    <t>During the winter months, from June to September, humpback whales Megaptera novaeangliae breed and calve in the waters of the Great Barrier Reef (GBR) after migrating north from Antarctic waters. Clearly defined wintering areas for breeding and calving comparable to those identified in other parts of the world have not yet been identified for humpback whales in the GBR Marine Park (GBRMP), mainly because of its large size, which prohibits broad-scale surveys. To identify important wintering areas in the GBRMP, we developed a predictive spatial habitat model using the Maxent modelling method and presence-only sighting data from non-dedicated aerial surveys. The model was further validated using a small independent satellite tag data set of 12 whales migrating north into the GBR. The model identified restricted ranges in water depth (30 to 58 m, highest probability 49 m) and sea surface temperature (21 to 23 degrees C, highest probability 21.8 degrees C) and identified 2 core areas of higher probability of whale occurrence in the GBRMP, which correspond well with the movements of satellite tagged whales. We propose that one of the identified core areas is a potentially important wintering area for humpback whales and the other a migration route. With an estimated increase in port and coastal development and shipping activity in the GBRMP and a rapidly increasing population of whales recovering from whaling off the east Australian coast, the rate of human interactions with whales is likely to increase. Identifying important areas for breeding and calving is essential for the future management of human interactions with breeding humpback whales.</t>
  </si>
  <si>
    <t>[Smith, Joshua N.; Noad, Michael J.] Univ Queensland, Cetacean Ecol &amp; Acoust Lab, Sch Vet Sci, Gatton, Qld 4343, Australia; [Grantham, Hedley S.] Univ Queensland, Sch Biol Sci, St Lucia, Qld 4072, Australia; [Gales, Nick; Double, Michael C.] Australian Antarctic Div, Australian Marine Mammal Ctr, Kingston, Tas 7050, Australia; [Paton, David] Blue Planet Marine, Jamison Ctr, ACT 2614, Australia</t>
  </si>
  <si>
    <t>University of Queensland; University of Queensland; Australian Antarctic Division</t>
  </si>
  <si>
    <t>Smith, JN (corresponding author), Murdoch Univ, Cetacean Res Unit, Murdoch, WA 6150, Australia.</t>
  </si>
  <si>
    <t>joshua.smith@uqconnect.edu.au</t>
  </si>
  <si>
    <t>Smith, Joshua N/AAU-9181-2020; Noad, Michael/D-7975-2013</t>
  </si>
  <si>
    <t>Smith, Joshua N/0000-0001-9912-422X; Grantham, Hedley/0000-0002-8933-807X; Noad, Michael/0000-0002-2799-8320</t>
  </si>
  <si>
    <t>Australian Marine Mammal Centre of the Australian Antarctic Division</t>
  </si>
  <si>
    <t>We thank M. Read from the Great Barrier Reef Marine Park Authority (GBRMPA) for his collaboration on this project as well as J. Chandler for her assistance in obtaining the Border Protection Command (BPC) sighting data. We thank Border Protection Command, in particular, L. Holland and R. Williamson for their contributions in providing the BPC whale sighting data. We also thank F. Merida from GBRMPA, who has been extremely helpful in facilitating access to and use of GBRMPA humpback whale sighting data; R. Stone from Customs Australia for his valuable knowledge that he shared regarding BPC and Coastwatch flight tasking and operations; 4 anonymous reviewers for their generous and constructive comments on the manuscript; and A. Hodgson for helpful comments in earlier versions of the manuscript. We acknowledge the NOAA CoastWatch Program and the NASA Goddard Space Flight Center, OceanColor Web, for access to the MODIS Aqua and Pathfinder SST data. This project was funded by the Australian Marine Mammal Centre of the Australian Antarctic Division.</t>
  </si>
  <si>
    <t>10.3354/meps09462</t>
  </si>
  <si>
    <t>WOS:000300660600018</t>
  </si>
  <si>
    <t>Lamers, M; Liggett, D; Amelung, B</t>
  </si>
  <si>
    <t>Lamers, Machiel; Liggett, Daniela; Amelung, Bas</t>
  </si>
  <si>
    <t>Strategic challenges of tourism development and governance in Antarctica: taking stock and moving forward</t>
  </si>
  <si>
    <t>Tourism; Antarctica; development governance; strategic</t>
  </si>
  <si>
    <t>CRUISE TOURISM; FUTURE; STATE</t>
  </si>
  <si>
    <t>Antarctic tourism has grown rapidly in volume and diversified into an ever wider range of activities, transport modes and destinations. Antarctica is a global commons, which limits the range of options for regulating tourism development. This configuration has raised concerns and debates among academics, policy makers and interest groups about the challenges for regulation and management in the long term. Based on a literature review of recently published research and policy papers, this article takes stock of the current state of knowledge about the strategic challenges facing Antarctic tourism regulators and proposes ways forward for research and policy. Three clusters of strategic challenges are presented: addressing collective interests in the face of increasingly diverging interests of actors; the complex nature and indeterminacy of Antarctic tourism processes and impacts across different spatial and temporal scales; and the reliance on shared responsibility in developing and implementing tourism policy. In light of these strategic challenges, this article outlines aspects that need to be improved if a more strategic governance approach is to be embraced towards Antarctic tourism. The paper posits that a collective strategy on Antarctic tourism should be positioned at the heart of Antarctic tourism regulation and should be developed to address upcoming challenges more comprehensively and consistently. Finally, besides identifying policy instruments capable of contributing towards this strategy, independent monitoring and observation systems ought to be created to guarantee impartial checks and balances with regard to Antarctic tourism.</t>
  </si>
  <si>
    <t>[Lamers, Machiel] Wageningen Univ, Environm Policy Grp, POB 9101, NL-6700 HB Wageningen, Netherlands; [Lamers, Machiel; Amelung, Bas] Maastricht Univ, Int Ctr Integrated Assessment &amp; Sustainable Dev, NL-6200 MD Maastricht, Netherlands; [Liggett, Daniela] Univ Canterbury, Christchurch 8140, New Zealand; [Amelung, Bas] Wageningen Univ, Environm Syst Anal Grp, NL-6700 HB Wageningen, Netherlands</t>
  </si>
  <si>
    <t>Wageningen University &amp; Research; Maastricht University; University of Canterbury; Wageningen University &amp; Research</t>
  </si>
  <si>
    <t>Lamers, M (corresponding author), Wageningen Univ, Environm Policy Grp, POB 9101, NL-6700 HB Wageningen, Netherlands.</t>
  </si>
  <si>
    <t>machiel.lamers@wur.nl</t>
  </si>
  <si>
    <t>Amelung, Bas/AAD-4323-2019</t>
  </si>
  <si>
    <t>Amelung, Bas/0000-0001-8501-9787; Liggett, Daniela/0000-0003-4184-5205; Lamers, Machiel/0000-0002-4189-3066</t>
  </si>
  <si>
    <t>Netherlands Organisation for Scientific Research [851.20.025, 851.20.029]; International Centre for Integrated Assessment and Sustainable Development, Maastricht University; New Zealand Ministry of Foreign Affairs and Trade; German Research Foundation</t>
  </si>
  <si>
    <t>Netherlands Organisation for Scientific Research(Netherlands Organization for Scientific Research (NWO)); International Centre for Integrated Assessment and Sustainable Development, Maastricht University; New Zealand Ministry of Foreign Affairs and Trade; German Research Foundation(German Research Foundation (DFG))</t>
  </si>
  <si>
    <t>The authors wish to thank Lorne Kriwoken and an anonymous reviewer for their thoughtful comments, which greatly improved this paper. The PhD project of ML (grant no. 851.20.025, 2004-08) and the postdoctoral project of BA (grant no. 851.20.029, 2005-08) were funded by the Netherlands AntArctic Programme of the Netherlands Organisation for Scientific Research, and benefitted from additional support granted by the International Centre for Integrated Assessment and Sustainable Development, Maastricht University, their home institution during the research. The PhD project of DL (nee D. Haase) benefitted from funding granted by the New Zealand Ministry of Foreign Affairs and Trade and the German Research Foundation.</t>
  </si>
  <si>
    <t>10.3402/polar.v31i0.17219</t>
  </si>
  <si>
    <t>900GM</t>
  </si>
  <si>
    <t>WOS:000300874800001</t>
  </si>
  <si>
    <t>Suminska-Ebersoldt, O; Lehmann, R; Wegner, T; Grooss, JU; Hösen, E; Weigel, R; Frey, W; Griessbach, S; Mitev, V; Emde, C; Volk, CM; Borrmann, S; Rex, M; Stroh, F; von Hobe, M</t>
  </si>
  <si>
    <t>Suminska-Ebersoldt, O.; Lehmann, R.; Wegner, T.; Grooss, J-U; Hoesen, E.; Weigel, R.; Frey, W.; Griessbach, S.; Mitev, V.; Emde, C.; Volk, C. M.; Borrmann, S.; Rex, M.; Stroh, F.; von Hobe, M.</t>
  </si>
  <si>
    <t>ClOOCl photolysis at high solar zenith angles: analysis of the RECONCILE self-match flight</t>
  </si>
  <si>
    <t>ABSORPTION CROSS-SECTIONS; STRATOSPHERIC OZONE LOSS; CHLORINE PEROXIDE; RADIATIVE-TRANSFER; ANTARCTIC OZONE; DIFFUSE-RADIATION; SOFTWARE PACKAGE; SIMULATION; DEPLETION; KINETICS</t>
  </si>
  <si>
    <t>The photolysis rate constant of dichlorine peroxide (ClOOCl, ClO dimer) J(ClOOCl) is a critical parameter in catalytic cycles destroying ozone (O-3) in the polar stratosphere. In the atmospherically relevant wavelength region (lambda &gt; 310 nm), significant discrepancies between laboratory measurements of ClOOCl absorption cross sections and spectra cause a large uncertainty in J(ClOOCl). Previous investigations of the consistency of published JClOOCl with atmospheric observations of chlorine monoxide (ClO) and ClOOCl have focused on the photochemical equilibrium between ClOOCl formation and photolysis, and thus could only constrain the ratio of J(ClOOCl) over the ClOOCl formation rate constant k(rec). Here, we constrain the atmospherically effective J(ClOOCl) independent of k(rec), using ClO measured in the same air masses before and directly after sunrise during an aircraft flight that was part of the RECONCILE field campaign in the winter 2010 from Kiruna, Sweden. Over sunrise, when the ClO/ClOOCl system comes out of thermal equilibrium and the influence of the ClO recombination reaction is negligible, the increase in ClO concentrations is significantly faster than expected from J(ClOOCl) based on the absorption spectrum proposed by Pope et al. (2007), but does not warrant cross sections larger than recently published values by Papanastasiou et al. (2009). In particular, the existence of a significant ClOOCl absorption band longwards of 420 nm is not supported by our observations. The observed night-time ClO would not be consistent with a ClO/ClOOCl thermal equilibrium constant significantly higher than the one proposed by Plenge et al. (2005).</t>
  </si>
  <si>
    <t>[Suminska-Ebersoldt, O.; Wegner, T.; Grooss, J-U; Stroh, F.; von Hobe, M.] Forschungszentrum Julich, Inst Energie &amp; Klimaforsch Stratosphare IEK 7, D-52425 Julich, Germany; [Lehmann, R.; Rex, M.] Alfred Wegener Inst Polar &amp; Marine Res, Potsdam, Germany; [Hoesen, E.; Volk, C. M.] Berg Univ Wuppertal, Phys Abt, Fachbereich C, Wuppertal, Germany; [Weigel, R.; Borrmann, S.] Johannes Gutenberg Univ Mainz, Inst Phys Atmosphare, D-55128 Mainz, Germany; [Frey, W.; Borrmann, S.] Max Planck Inst Chem, Partikelchem Abt, D-55128 Mainz, Germany; [Griessbach, S.] Forschungszentrum Julich, JSC, D-52425 Julich, Germany; [Mitev, V.] CSEM Ctr Suisse Elect &amp; Microtech SA, Neuchatel, Switzerland; [Emde, C.] Univ Munich, Inst Meteorol, D-8000 Munich, Germany</t>
  </si>
  <si>
    <t>Helmholtz Association; Research Center Julich; Helmholtz Association; Alfred Wegener Institute, Helmholtz Centre for Polar &amp; Marine Research; University of Wuppertal; Johannes Gutenberg University of Mainz; Max Planck Society; Helmholtz Association; Research Center Julich; Swiss Center for Electronics &amp; Microtechnology (CSEM); University of Munich</t>
  </si>
  <si>
    <t>Suminska-Ebersoldt, O (corresponding author), Forschungszentrum Julich, Inst Energie &amp; Klimaforsch Stratosphare IEK 7, D-52425 Julich, Germany.</t>
  </si>
  <si>
    <t>olga.suminska-ebersoldt@kit.edu</t>
  </si>
  <si>
    <t>Borrmann, Stephan/E-3868-2010; Rex, Markus/A-6054-2009; Grooß, Jens-Uwe/A-7315-2013; Frey, Wiebke/G-2058-2014; Grooß, Jens-Uwe/N-3305-2019; Emde, Claudia/B-5447-2010; von Hobe, Marc/A-7969-2013; von Hobe, Marc/N-3265-2019; Stroh, Fred/A-6505-2009</t>
  </si>
  <si>
    <t>Borrmann, Stephan/0000-0002-4774-9380; Rex, Markus/0000-0001-7847-8221; Grooß, Jens-Uwe/0000-0002-9485-866X; Frey, Wiebke/0000-0003-4282-1264; Grooß, Jens-Uwe/0000-0002-9485-866X; von Hobe, Marc/0000-0001-6034-6562; Stroh, Fred/0000-0002-4492-2977; Emde, Claudia/0000-0003-2537-4466; Griessbach, Sabine/0000-0003-3792-3573; Weigel, Ralf/0000-0003-1316-0292</t>
  </si>
  <si>
    <t>European Commission [RECONCILE-226365-FP7-ENV-2008-1]; Bundesministerium fur Wirtschaft (BMWi) via DLR, Germany</t>
  </si>
  <si>
    <t>European Commission(European Union (EU)European Commission Joint Research Centre); Bundesministerium fur Wirtschaft (BMWi) via DLR, Germany</t>
  </si>
  <si>
    <t>The RECONCILE project is funded under the European Commission Seventh Framework Programme (FP7) under the Grant number RECONCILE-226365-FP7-ENV-2008-1. The Ph.D. student position of Olga Suminska-Ebersoldt is financed within the ENVIVAL-LIFE project through a grant from Bundesministerium fur Wirtschaft (BMWi) via DLR, Germany.</t>
  </si>
  <si>
    <t>10.5194/acp-12-1353-2012</t>
  </si>
  <si>
    <t>897ND</t>
  </si>
  <si>
    <t>WOS:000300656500009</t>
  </si>
  <si>
    <t>Ridley, JK; Lowe, JA; Hewitt, HT</t>
  </si>
  <si>
    <t>Ridley, J. K.; Lowe, J. A.; Hewitt, H. T.</t>
  </si>
  <si>
    <t>How reversible is sea ice loss?</t>
  </si>
  <si>
    <t>WARMING CONTRAST; OCEAN; AOGCM</t>
  </si>
  <si>
    <t>It is well accepted that increasing atmospheric CO2 results in global warming, leading to a decline in polar sea ice area. Here, the specific question of whether there is a tipping point in the sea ice cover is investigated. The global climate model HadCM3 is used to map the trajectory of sea ice area under idealised scenarios. The atmospheric CO2 is first ramped up to four times pre-industrial levels (4 x CO2), then ramped down to pre-industrial levels. We also examine the impact of stabilising climate at 4 x CO2 prior to ramping CO2 down to pre-industrial levels. Against global mean temperature, Arctic sea ice area is reversible, while the Antarctic sea ice shows some asymmetric behaviour-its rate of change slower, with falling temperatures, than its rate of change with rising temperatures. However, we show that the asymmetric behaviour is driven by hemispherical differences in temperature change between transient and stabilisation periods. We find no irreversible behaviour in the sea ice cover.</t>
  </si>
  <si>
    <t>[Ridley, J. K.; Lowe, J. A.; Hewitt, H. T.] Met Off, Exeter EX1 3PB, Devon, England</t>
  </si>
  <si>
    <t>Met Office - UK</t>
  </si>
  <si>
    <t>Ridley, JK (corresponding author), Met Off, FitzRoy Rd, Exeter EX1 3PB, Devon, England.</t>
  </si>
  <si>
    <t>jeff.ridley@metoffice.gov.uk</t>
  </si>
  <si>
    <t>Hewitt, Helene/0000-0001-7432-6001</t>
  </si>
  <si>
    <t>Joint DECC/Defra Met Office Hadley Centre [GA01101]</t>
  </si>
  <si>
    <t>Joint DECC/Defra Met Office Hadley Centre</t>
  </si>
  <si>
    <t>This work was supported by the Joint DECC/Defra Met Office Hadley Centre Climate Programme (GA01101).</t>
  </si>
  <si>
    <t>10.5194/tc-6-193-2012</t>
  </si>
  <si>
    <t>891OO</t>
  </si>
  <si>
    <t>WOS:000300226700013</t>
  </si>
  <si>
    <t>Nevalainen, H; Bradner, R; Wadud, S; Mohammed, S; McRae, C; Te'o, J</t>
  </si>
  <si>
    <t>Anitori, RP</t>
  </si>
  <si>
    <t>Nevalainen, Helena; Bradner, Ron; Wadud, Sania; Mohammed, Suja; McRae, Christopher; Te'o, Junior</t>
  </si>
  <si>
    <t>Enzyme Activities and Biotechnological Applications of Cold-active Microfungi</t>
  </si>
  <si>
    <t>EXTREMOPHILES: MICROBIOLOGY AND BIOTECHNOLOGY</t>
  </si>
  <si>
    <t>ANTARCTIC BACTERIUM; PSYCHROPHILIC ENZYMES; MICROBIAL LIPASES; BIOCHEMICAL-CHARACTERIZATION; THERMODYNAMIC STABILITY; GLUTAMATE-DEHYDROGENASE; PETROLEUM-HYDROCARBONS; SUPEROXIDE-DISMUTASE; BETA-GALACTOSIDASE; CRYSTAL-STRUCTURE</t>
  </si>
  <si>
    <t>Fungi are eukaryotic organisms and considered to be less adaptable to extreme environments when compared with bacteria. While there are no thermophilic microfungi in a strict sense, some fungi have adapted to life in the cold. Cold-active microfungi have been isolated from the Antarctic and their enzyme activities explored with a view to finding new candidates for industrial use. On another front, environmental pollution by petroleum products in the Antarctic has led to a search for, and the subsequent discovery of, fungal isolates capable of degrading hydrocarbons. The work has paved the way to developing a bioremedial approach to containing this type of contamination in cold climates. Here we discuss our efforts to map the capability of Antarctic microfungi to degrade oil and also introduce a novel cold-active fungal lipase enzyme.</t>
  </si>
  <si>
    <t>[Nevalainen, Helena; Te'o, Junior] Macquarie Univ, Applimex Syst Pty Ltd, Biomol Frontiers Res Ctr, Dept Chem &amp; Biomol Sci, Sydney, NSW 2109, Australia; [Wadud, Sania] Univ New S Wales, CMB, Sch Biotechnol &amp; Biomol Sci BABS, Sydney, NSW, Australia</t>
  </si>
  <si>
    <t>Macquarie University; University of New South Wales Sydney</t>
  </si>
  <si>
    <t>Nevalainen, H (corresponding author), Macquarie Univ, Applimex Syst Pty Ltd, Biomol Frontiers Res Ctr, Dept Chem &amp; Biomol Sci, Sydney, NSW 2109, Australia.</t>
  </si>
  <si>
    <t>helena.nevalainen@mq.edu.au; ron.bradner@mq.edu.au; sanja.wadud@unsw.edu.au; suja.mohammed@mq.edu.au; christopher.mcrae@mq.edu.au; junior.teo@mq.edu.au</t>
  </si>
  <si>
    <t>Nevalainen, Helena/0000-0003-0083-4630</t>
  </si>
  <si>
    <t>978-1-904455-98-1</t>
  </si>
  <si>
    <t>BYN37</t>
  </si>
  <si>
    <t>WOS:000299435800006</t>
  </si>
  <si>
    <t>Khan, R; Hussain, A; Tahseen, Q</t>
  </si>
  <si>
    <t>Khan, R.; Hussain, A.; Tahseen, Q.</t>
  </si>
  <si>
    <t>Descriptions of one new and two known species of Panagrolaimoidea (Nematoda) from India</t>
  </si>
  <si>
    <t>India; morphology; new species; Propanagrolaimus filiformis; P. hygrophilus; Plectonchus longevulvus; taxonomy</t>
  </si>
  <si>
    <t>GONADAL CELL LINEAGES; FAMILY PANAGROLAIMIDAE; PANAGRELLUS-REDIVIVUS; ANTARCTIC NEMATODE; ORDER RHABDITIDA; MATURITY INDEX; EVOLUTION; FRAMEWORK; KEY</t>
  </si>
  <si>
    <t>Two known species of the genus Propanagrolaimus Andrassy, 2005 and a new species of genus Plectonchus Fuchs, 1930 are described and illustrated. Propanagrolaimus filiformis de Man, 1880 is described with some additional features, namely presence of hypodermal glands; smaller intra-uterine eggs, relatively anterior vulva, rectum with expanded lumen and smaller tail. Propanagrolaimus hygrophilus (Bassen, 1940) is also described with minor variations. Plectonchus longevulvus sp. nov. is the first report of the genus from India collected from two different localities and characterized by thick cuticle; presence of crystalloids in pseudocoelom; indistinct lateral field; weakly sclerotized funnel-shaped stoma; posterior vulva; presence of ovoid glandular cells associated with dorsal and ventral uterine walls; spicules having prominent capitula and beak-like distal ends; lancet-shaped, proximally-hooked gubernaculum and seven pairs of caudal papillae in 1+1/1+P+1+2+1 configuration.</t>
  </si>
  <si>
    <t>[Khan, R.; Hussain, A.; Tahseen, Q.] Aligarh Muslim Univ, Dept Zool, Nematode Res Lab, Aligarh 202002, Uttar Pradesh, India</t>
  </si>
  <si>
    <t>Aligarh Muslim University</t>
  </si>
  <si>
    <t>Tahseen, Q (corresponding author), Aligarh Muslim Univ, Dept Zool, Nematode Res Lab, Aligarh 202002, Uttar Pradesh, India.</t>
  </si>
  <si>
    <t>qtahseen@yahoo.com</t>
  </si>
  <si>
    <t>Tahseen, Qudsia/0000-0002-4047-7052</t>
  </si>
  <si>
    <t>Department of Science and Technology (DST); Ministry of Environment and Forests (MOEF) New Delhi</t>
  </si>
  <si>
    <t>Department of Science and Technology (DST)(Department of Science &amp; Technology (India)); Ministry of Environment and Forests (MOEF) New Delhi</t>
  </si>
  <si>
    <t>The financial assistance provided by the Department of Science and Technology (DST) and Ministry of Environment and Forests (MOEF) New Delhi, is gratefully acknowledged.</t>
  </si>
  <si>
    <t>13-14</t>
  </si>
  <si>
    <t>10.1080/00222933.2011.653589</t>
  </si>
  <si>
    <t>897DZ</t>
  </si>
  <si>
    <t>WOS:000300625400005</t>
  </si>
  <si>
    <t>Polidoro, BA; Brooks, T; Carpenter, KE; Edgar, GJ; Henderson, S; Sanciangco, J; Robertson, DR</t>
  </si>
  <si>
    <t>Polidoro, B. A.; Brooks, T.; Carpenter, K. E.; Edgar, G. J.; Henderson, S.; Sanciangco, J.; Robertson, D. R.</t>
  </si>
  <si>
    <t>Patterns of extinction risk and threat for marine vertebrates and habitat-forming species in the Tropical Eastern Pacific</t>
  </si>
  <si>
    <t>IUCN Red List; Tropical Eastern Pacific; Marine species; Extinction risk theory; Threatened species</t>
  </si>
  <si>
    <t>KEY BIODIVERSITY AREAS; REGION-WIDE DECLINES; GULF-OF-CALIFORNIA; EL-NINO; RED LIST; CONSERVATION; FISHES; RECOVERY; VULNERABILITY; BIOLOGY</t>
  </si>
  <si>
    <t>Marine conservation activities around the globe are largely undertaken in the absence of comprehensive species-specific information. To address this gap, complete regional species assemblages of major marine taxa are being progressively assessed against the Categories and Criteria of the International Union for the Conservation of Nature (IUCN) Red List of Threatened Species. The present study is the first analysis of entire major components of the biota of a large marine biogeographic region conducted in the Tropical Eastern Pacific (TEP). It is based on recently completed IUCN Red List assessments for all known species of bony and cartilaginous shorefishes, corals, mangroves, and seagrasses in the TEP. Twelve percent of the &gt;1600 species assessed are in threatened categories, indicative of elevated extinction risk. Spatial analysis of all assessed taxonomic groups, including previous IUCN Red List assessments for seabirds, marine mammals, and marine turtles, highlights specific geographical areas of elevated threatened-species richness. The distribution of threatened species in the TEP is primarily linked to areas with high rates of overfishing, habitat loss, and increasing El Nino-Southern Oscillation (ENSO) event impacts, as well as oceanic islands with high stochastic risk factors for endemic species. Species assigned to the highest threat categories have life history traits that likely decrease their resilience to various regional and site-specific threats. Comprehensive information in the form of IUCN Red List assessments combined with spatial analysis will greatly help to refine both site- and species-specific marine conservation priorities in the TEP.</t>
  </si>
  <si>
    <t>[Polidoro, B. A.; Carpenter, K. E.; Sanciangco, J.] Old Dominion Univ, IUCN Species Programme, Marine Biodivers Unit, Norfolk, VA 23529 USA; [Polidoro, B. A.] NatureServe, Arlington, VA 22203 USA; [Brooks, T.] Univ Philippines Los Banos, World Agroforestry Ctr ICRAF, Laguna 4031, Philippines; [Brooks, T.] Univ Tasmania, Sch Geog &amp; Environm Studies, Hobart, Tas 7001, Australia; [Edgar, G. J.] Univ Tasmania, Inst Marine &amp; Antarctic Studies, Hobart, Tas 7001, Australia; [Edgar, G. J.; Henderson, S.] Conservat Int, Arlington, VA 22202 USA; [Edgar, G. J.] Charles Darwin Fdn, Santa Cruz, Galapagos, Ecuador; [Robertson, D. R.] Smithsonian Trop Res Inst, Balboa, Panama</t>
  </si>
  <si>
    <t>Old Dominion University; Nature Conservancy; University of the Philippines System; University of the Philippines Los Banos; CGIAR; World Agroforestry (ICRAF); University of Tasmania; University of Tasmania; Conservation International; Smithsonian Institution; Smithsonian Tropical Research Institute</t>
  </si>
  <si>
    <t>Polidoro, BA (corresponding author), Old Dominion Univ, IUCN Species Programme, Marine Biodivers Unit, Norfolk, VA 23529 USA.</t>
  </si>
  <si>
    <t>bpolidor@odu.edu</t>
  </si>
  <si>
    <t>Edgar, Graham/C-8341-2013; Edgar, Graham/AAY-3797-2020</t>
  </si>
  <si>
    <t>Edgar, Graham/0000-0003-0833-9001; Edgar, Graham/0000-0003-0833-9001; Brooks, Thomas/0000-0001-8159-3116; Sanciangco, Jonnell Cueto/0000-0001-8268-3180</t>
  </si>
  <si>
    <t>New Hampshire Charitable Foundation; IUCN Red List; Global Marine Species Assessment</t>
  </si>
  <si>
    <t>We thank Tom Haas and the New Hampshire Charitable Foundation and Conservation International's Eastern Tropical Pacific Seascapes Program for their generous support of the IUCN Red List and the Global Marine Species Assessment. We thank all of the scientists and partners involved in the Red List process for TEP species including the Charles Darwin Foundation, SeagrassNet, BirdLife International, University of Costa Rica, Smithsonian Tropical Research Institute, Roger McManus, and IUCN Species Specialist Groups (IUCN 2011b). Scientific contributors to all of the seabird, marine mammal, sea turtle, marine fishes, coral, mangrove, and seagrass species assessments are acknowledged under each species on the IUCN Red List of Threatened Species (www.iucnredlist.org). We also thank the following for their involvement in the TEP marine fish workshops: A. Acero, G. R. Allen, J. J. Alvarado, H. Araya, D. Barneche, P. Bearez, O. Bernal, S. Bessudo, R. Betancur, W. Bussing, M. Calvopina, N. L. Chao, B. Collette, M. Comeros Raynal, J. Cortes, A. Cotto, W. Crosse, E. Barraza, A. Dominici, W. Eschmeyer, H. Espinosa-Perez, L. Findley, M. Foster, N. Gaibor, R. Gonzalez, A. G. Guzman-Mora, I. Harrison, P. Hastings, M. Hoffmann, T. Iwamoto, B. Lea, S. R. Livingstone, M. Lopez, J. McCosker, E. Medina, G. Merlen, H. Molina, A. Mora, M. Mora, J. Nielsen, M. Quesada, F. Rivera, K. Rojas Jimenez, P. A. Rojas, E. Salas, L. Sierra, J. Smith, B. Smith-Vaniz, R. Toohey, L. Tornabene, J. Tyler, A. van der Heiden, J. van Tassell, R. Viquez, and F. Zapata.</t>
  </si>
  <si>
    <t>U165</t>
  </si>
  <si>
    <t>10.3354/meps09545</t>
  </si>
  <si>
    <t>897OO</t>
  </si>
  <si>
    <t>WOS:000300661800008</t>
  </si>
  <si>
    <t>Hayward, BW; Sabaa, AT; Kolodziej, A; Crundwell, MP; Steph, S; Scott, GH; Neil, HL; Bostock, HC; Carter, L; Grenfell, HR</t>
  </si>
  <si>
    <t>Hayward, Bruce W.; Sabaa, Ashwaq T.; Kolodziej, Andrew; Crundwell, Martin P.; Steph, Silke; Scott, George H.; Neil, Helen L.; Bostock, Helen C.; Carter, Lionel; Grenfell, Hugh R.</t>
  </si>
  <si>
    <t>Planktic foraminifera-based sea-surface temperature record in the Tasman Sea and history of the Subtropical Front around New Zealand, over the last one million years</t>
  </si>
  <si>
    <t>New Zealand; East Tasman Sea; Sea-surface temperatures; Subtropical Front; Quaternary paleoceanography; Planktic foraminifera</t>
  </si>
  <si>
    <t>SOUTHEASTERN NEW-ZEALAND; SOUTHWEST PACIFIC-OCEAN; NORTHERN CHATHAM RISE; SOUTHERN INDIAN-OCEAN; MIDPLEISTOCENE TRANSITION; SOUTHLAND CURRENT; WATER MASSES; DEEP-OCEAN; VARIABILITY; EAST</t>
  </si>
  <si>
    <t>Planktic foraminiferal assemblages in a composite section from two cores (MD06-2989/2986) off the west coast of New Zealand's South Island (42-43.5 degrees S) provide a 1 myr (MIS 31-1) sea-surface temperature (SST) record (similar to 3-4 kyr resolution) in the Tasman Sea. A significant overall faunal change occurred near the end of the midPleistocene Climate Transition (MPT) at similar to 600 ka (MIS 15). Mean annual SSTs were estimated using the Artificial Neural Network (ANN) method. Glacial-interglacial (G-I) cycles in the MPT had similar to 9 degrees C SST range, whereas in the post-MPT SST range was similar to 6-7 degrees C. The SST and faunal changes imply that the Subtropical Front (STF) migrated similar to 6 degrees in latitude to lie just north of the sites in MPT glacials (MIS 28-16), but only migrated 3-5 degrees north in postMPT glacials. These G-I latitudinal migrations of the STF west of New Zealand contrast with the situation east of New Zealand, where migrations of both the STF and Subantarctic Front were prevented by the Chatham Rise and Campbell Plateau. Subtropical Water is inferred to have only flowed around the south of New Zealand (as it does today) during MIS 11 and the Late Pleistocene-Holocene (MIS 5-1). (C) 2011 Elsevier By. All rights reserved.</t>
  </si>
  <si>
    <t>[Hayward, Bruce W.; Sabaa, Ashwaq T.; Grenfell, Hugh R.] Geomarine Res, Auckland, New Zealand; [Kolodziej, Andrew] Victoria Univ Wellington, Sch Earth Sci, Wellington, New Zealand; [Crundwell, Martin P.; Scott, George H.] Inst Geol &amp; Nucl Sci, Lower Hutt, New Zealand; [Steph, Silke] Univ Bremen, Bremerhaven, Germany; [Steph, Silke] Alfred Wegener Inst, Bremerhaven, Germany; [Neil, Helen L.; Bostock, Helen C.] Natl Inst Water &amp; Atmosphere, Wellington, New Zealand; [Carter, Lionel] Victoria Univ Wellington, Antarctic Res Ctr, Wellington, New Zealand</t>
  </si>
  <si>
    <t>Victoria University Wellington; GNS Science - New Zealand; University of Bremen; Helmholtz Association; Alfred Wegener Institute, Helmholtz Centre for Polar &amp; Marine Research; National Institute of Water &amp; Atmospheric Research (NIWA) - New Zealand; Victoria University Wellington</t>
  </si>
  <si>
    <t>Hayward, BW (corresponding author), Geomarine Res, 49 Swainston Rd, Auckland, New Zealand.</t>
  </si>
  <si>
    <t>b.hayward@geomarine.org.nz</t>
  </si>
  <si>
    <t>Bostock, Helen/A-6834-2013; HAYWARD, BRUCE W/AAG-2597-2019</t>
  </si>
  <si>
    <t>Bostock, Helen/0000-0002-8903-8958; /0000-0002-2111-6817; Hayward, Bruce W./0000-0003-1302-7686</t>
  </si>
  <si>
    <t>NIWA; GNS Science; University of Waikato; Otago University; New Zealand Foundation for Research, Science and Technology [C01X0702]</t>
  </si>
  <si>
    <t>NIWA; GNS Science; University of Waikato; Otago University; New Zealand Foundation for Research, Science and Technology(New Zealand Foundation for Research, Science and Technology)</t>
  </si>
  <si>
    <t>For assistance in obtaining the study cores, we thank the captain, crew and other scientists on board the Marion Dufresne Matacore expedition in 2006. We thank Ralf Tiedemann for permission to work on samples from the MD06-2986 core. Coring of MD06-2989 was partially funded by NIWA, GNS Science, University of Waikato, and Otago University. HN and HB were funded by the New Zealand Foundation for Research, Science and Technology grant C01X0702.</t>
  </si>
  <si>
    <t>10.1016/j.marmicro.2011.10.003</t>
  </si>
  <si>
    <t>895FT</t>
  </si>
  <si>
    <t>WOS:000300482300002</t>
  </si>
  <si>
    <t>Konfirst, MA; Scherer, RP</t>
  </si>
  <si>
    <t>Konfirst, Matthew A.; Scherer, Reed P.</t>
  </si>
  <si>
    <t>Low amplitude obliquity changes during the early Pliocene reflected in diatom fragmentation patterns in the ANDRILL AND-1B core</t>
  </si>
  <si>
    <t>ANDRILL MIS; Southern Ocean diatoms; Early Pliocene; Diatom taphonomy; Nearshore marine environments</t>
  </si>
  <si>
    <t>In the ANDRILL (ANtarctic geologic DRILLing project) AND-1B core, an similar to 80 m-long interval of early Pliocene diatomite was obtained (382.98-440.12 m below sea floor). To better understand the role of fragmentation on diatom preservation within this unit, data were collected from 154 samples on the size and number of fragments of specimens of the diatom genus, Rouxia. The number of frustule fragments was classified into categories based on the amount of intact raphe and then evaluated using a formula created to characterize the nature and degree of fragmentation in each sample. Variations in fragmentation were compared with the age model and indicate a relationship between fragmentation and sediment accumulation rates for the lower similar to 37 m with higher fragmentation related to lower accumulation rates of hemipelagic mud during warmer intervals. This relationship is not as pronounced in the upper similar to 20 m, which can be related to the frequent occurrence of sandstone layers, lenses and laminated intervals. After evaluating a number of hypotheses, the most plausible explanation is that the presence of greater proportions of hemipelagic mud produces a cushioning effect, which prohibits the interaction of diatom frustules with sand grains or other diatoms, thereby reducing fragmentation. (C) 2011 Elsevier B.V. All rights reserved.</t>
  </si>
  <si>
    <t>[Konfirst, Matthew A.] Alfred Wegener Inst, D-27568 Bremerhaven, Germany; [Scherer, Reed P.] No Illinois Univ, Dept Geol &amp; Environm Geosci, De Kalb, IL 60115 USA</t>
  </si>
  <si>
    <t>Helmholtz Association; Alfred Wegener Institute, Helmholtz Centre for Polar &amp; Marine Research; Northern Illinois University</t>
  </si>
  <si>
    <t>Konfirst, MA (corresponding author), Ohio State Univ, Byrd Polar Res Ctr, 1090 Carmack Rd, Columbus, OH 43210 USA.</t>
  </si>
  <si>
    <t>mk@mattkonfirst.com</t>
  </si>
  <si>
    <t>US National Science Foundation; New Zealand Foundation for Research Science and Technology; Royal Society of New Zealand; Italian Antarctic Research Program; German Research Foundation; Alfred Wegener Institute for Polar and Marine Research</t>
  </si>
  <si>
    <t>US National Science Foundation(National Science Foundation (NSF)); New Zealand Foundation for Research Science and Technology(New Zealand Foundation for Research, Science and Technology); Royal Society of New Zealand(Royal Society of New Zealand); Italian Antarctic Research Program; German Research Foundation(German Research Foundation (DFG)); Alfred Wegener Institute for Polar and Marine Research</t>
  </si>
  <si>
    <t>The ANDRILL project is a multinational collaboration between the Antarctic programs of Germany, Italy, New Zealand and the United States. Antarctica New Zealand is the project operator and developed the drilling system in collaboration with A. Pyne. Antarctica New Zealand supported the drilling team at Scott Base; Raytheon Polar Services Corporation supported the science team at McMurdo Station and the Crary Science and Engineering Laboratory. The ANDRILL Science Management Office at the University of Nebraska-Lincoln provided science planning and operational support. The scientific studies are jointly supported by the US National Science Foundation, the New Zealand Foundation for Research Science and Technology and the Royal Society of New Zealand Marsden Fund, the Italian Antarctic Research Program, the German Research Foundation and the Alfred Wegener Institute for Polar and Marine Research. Special thanks to Andy Mclean for his help in the sample preparation and Diane Winter for her support and insight during the data generation phase. Additional funding for this project was provided by a Fulbright Research Grant, which was carried Out at the Alfred Wegener Institute for Polar and Marine Research. Special thanks to Fumio Akiba and Masao Iwai for their comments and input, which helped make this a better manuscript.</t>
  </si>
  <si>
    <t>10.1016/j.marmicro.2011.10.004</t>
  </si>
  <si>
    <t>WOS:000300482300005</t>
  </si>
  <si>
    <t>Cerda, IA; Carabajal, AP; Salgado, L; Coria, RA; Reguero, MA; Tambussi, CP; Moly, JJ</t>
  </si>
  <si>
    <t>Cerda, Ignacio A.; Paulina Carabajal, Ariana; Salgado, Leonardo; Coria, Rodolfo A.; Reguero, Marcelo A.; Tambussi, Claudia P.; Moly, Juan J.</t>
  </si>
  <si>
    <t>The first record of a sauropod dinosaur from Antarctica</t>
  </si>
  <si>
    <t>Antarctic Peninsula; Upper Cretaceous; Titanosauria; Lithostrotia</t>
  </si>
  <si>
    <t>ISLAND; EVOLUTION</t>
  </si>
  <si>
    <t>Sauropoda is one of the most diverse and geographically widespread clades of herbivorous dinosaurs, and until now, their remains have nowbeen recovered from all continental landmasses except Antarctica. We report the first record of a sauropod dinosaur from Antarctica, represented by an incomplete caudal vertebra from the Late Cretaceous of James Ross Island. The size and morphology of the specimen allows its identification as a lithostrotian titanosaur. Our finding indicates that advanced titanosaurs achieved a global distribution at least by the Late Cretaceous.</t>
  </si>
  <si>
    <t>[Cerda, Ignacio A.; Salgado, Leonardo] Univ Nacl Comahue, Museo Geol &amp; Paleontol, INIBIOMA, Consejo Nacl Invest Cient Tecnol CONICET, RA-1400 Buenos Aires, Neuquen Capital, Argentina; [Paulina Carabajal, Ariana; Coria, Rodolfo A.] Museo Carmen Funes, CONICET, Neuquen, Argentina; [Coria, Rodolfo A.] Univ Nacl Rio Negro, Inst Invest Paleobiol &amp; Geol, RA-8332 Gen Roca, Rio Negro, Argentina; [Reguero, Marcelo A.; Tambussi, Claudia P.] Museo La Plata, CONICET, Div Paleontol &amp; Vertebrados, La Plata, Buenos Aires, Argentina; [Reguero, Marcelo A.] Inst Antartico Argentino, Buenos Aires, DF, Argentina</t>
  </si>
  <si>
    <t>Universidad Nacional del Comahue; Consejo Nacional de Investigaciones Cientificas y Tecnicas (CONICET); National University of La Plata; Museo La Plata; Consejo Nacional de Investigaciones Cientificas y Tecnicas (CONICET); Instituto Antartico Argentino</t>
  </si>
  <si>
    <t>Cerda, IA (corresponding author), Univ Nacl Comahue, Museo Geol &amp; Paleontol, INIBIOMA, Consejo Nacl Invest Cient Tecnol CONICET, RA-1400 Buenos Aires, Neuquen Capital, Argentina.</t>
  </si>
  <si>
    <t>nachocerda6@yahoo.com.ar</t>
  </si>
  <si>
    <t>Reguero, Marcelo A./JHS-4893-2023; Coria, Rodolfo/JXM-9875-2024</t>
  </si>
  <si>
    <t>Reguero, Marcelo A./0000-0003-0875-8484; Paulina Carabajal, Ariana/0000-0002-7820-4770</t>
  </si>
  <si>
    <t>Agencia Nacional de Promocion Cientifica y Tecnica [PICT-2007-0365]; Instituto Antartico Argentino</t>
  </si>
  <si>
    <t>Agencia Nacional de Promocion Cientifica y Tecnica(ANPCyT); Instituto Antartico Argentino</t>
  </si>
  <si>
    <t>Agencia Nacional de Promocion Cientifica y Tecnica (PICT-2007-0365 to M.R. and C.P.T) and Instituto Antartico Argentino provided field trip funding. J. Gonzalez prepared the illustrations on Fig. 2. R. Sissons, A. Green, and P.D. Mannion provided useful comments on this manuscript. The comments and suggestions of three anonymous reviewers greatly enhanced the quality of this work.</t>
  </si>
  <si>
    <t>10.1007/s00114-011-0869-x</t>
  </si>
  <si>
    <t>897TV</t>
  </si>
  <si>
    <t>WOS:000300681400011</t>
  </si>
  <si>
    <t>Scannell, C; Hurtmans, D; Boynard, A; Hadji-Lazaro, J; George, M; Delcloo, A; Tuinder, O; Coheur, PF; Clerbaux, C</t>
  </si>
  <si>
    <t>Scannell, C.; Hurtmans, D.; Boynard, A.; Hadji-Lazaro, J.; George, M.; Delcloo, A.; Tuinder, O.; Coheur, P. -F.; Clerbaux, C.</t>
  </si>
  <si>
    <t>Antarctic ozone hole as observed by IASI/MetOp for 2008-2010</t>
  </si>
  <si>
    <t>ATMOSPHERIC MEASUREMENT TECHNIQUES</t>
  </si>
  <si>
    <t>GLOBAL DISTRIBUTIONS; TROPOSPHERIC OZONE; IASI; SATELLITE; VALIDATION; SCIAMACHY; RETRIEVAL; ALGORITHM; DEPLETION; PROFILES</t>
  </si>
  <si>
    <t>In this paper we present a study of the ozone hole as observed by the Infrared Atmospheric Sounding Interferometer (IASI) on-board the MetOp-A European satellite platform from the beginning of data dissemination, August 2008, to the end of December 2010. Here we demonstrate IASI's ability to capture the seasonal characteristics of the ozone hole, in particular during polar night. We compare IASI ozone total columns and vertical profiles with those of the Global Ozone Monitoring Experiment 2 (GOME-2, also on-board MetOp-A) and electrochemical concentration cell (ECC) ozone sonde measurements. Total ozone column from IASI and GOME-2 were found to be in excellent agreement for this region with a correlation coefficient of 0.97, for September, October and November 2009. On average IASI exhibits a positive bias of approximately 7% compared to the GOME-2 measurements over the entire ozone hole period. Comparisons between IASI and ozone sonde measurements were also found to be in good agreement with the difference between both ozone profile measurements being less than +/- 30% over the altitude range of 0-40 km. The vertical structure of the ozone profile inside the ozone hole is captured remarkably well by IASI.</t>
  </si>
  <si>
    <t>[Scannell, C.; Boynard, A.; Hadji-Lazaro, J.; George, M.; Clerbaux, C.] UPMC Univ Paris 06, Paris, France; [Scannell, C.; Boynard, A.; Hadji-Lazaro, J.; George, M.; Clerbaux, C.] Univ Versailles St Quentin, UMR8190, Paris, France; [Scannell, C.; Boynard, A.; Hadji-Lazaro, J.; George, M.; Clerbaux, C.] CNRS INSU, LATMOS IPSL, Paris, France; [Hurtmans, D.; Coheur, P. -F.; Clerbaux, C.] Univ Libre Bruxelles, Brussels, Belgium; [Delcloo, A.] Royal Meteorol Inst Belgium, Uccle, Belgium; [Tuinder, O.] Royal Netherlands Meteorol Inst KNMI, De Bilt, Netherlands; [Delcloo, A.] Ghent State Univ, Dept Sustainable Organ Chem &amp; Technol, Fac Biosci Engn, Ghent, Belgium</t>
  </si>
  <si>
    <t>Sorbonne Universite; Centre National de la Recherche Scientifique (CNRS); CNRS - National Institute for Earth Sciences &amp; Astronomy (INSU); Sorbonne Universite; Universite Paris Saclay; Universite Paris Saclay; Sorbonne Universite; Centre National de la Recherche Scientifique (CNRS); CNRS - National Institute for Earth Sciences &amp; Astronomy (INSU); Universite Libre de Bruxelles; Royal Meteorological Institute of Belgium; Royal Netherlands Meteorological Institute; Ghent University</t>
  </si>
  <si>
    <t>Scannell, C (corresponding author), UPMC Univ Paris 06, Paris, France.</t>
  </si>
  <si>
    <t>claire.scannell@gmail.com</t>
  </si>
  <si>
    <t>clerbaux, cathy/I-5478-2013; Delcloo, Andy/AFX-6906-2022</t>
  </si>
  <si>
    <t>Delcloo, Andy/0000-0001-5807-6241</t>
  </si>
  <si>
    <t>CNES; Actions de Recherche Concertees (Communaute Francaise); Fonds National de la Recherche Scientifique (FRS-FNRS) [F.4511.08]; Belgian State Federal Office for Scientifique, Technical and Cultural Affairs; European Space Agency [EAS-Prodex C90-327]; CNRS-INSU</t>
  </si>
  <si>
    <t>CNES(Centre National D'etudes Spatiales); Actions de Recherche Concertees (Communaute Francaise); Fonds National de la Recherche Scientifique (FRS-FNRS)(Fonds de la Recherche Scientifique - FNRS); Belgian State Federal Office for Scientifique, Technical and Cultural Affairs; European Space Agency(European Space Agency); CNRS-INSU(Centre National de la Recherche Scientifique (CNRS))</t>
  </si>
  <si>
    <t>IASI has been developed and built under the responsibility of the Centre National des Etudes Spatiales (CNES, France). It is flown onboard the MetOp satellites as part of the EUMETSAT Polar System. The IASI level 1 data are distributed in near real time by EUMETSAT through the Eumetcast dissemination system. The authors acknowledge the Ether French atmospheric database (http://ether.ipsl.jussieu.fr) for providing the IASI data. The GOME-2 level 2 data were provided by the DLR and KNMI through Eumetcast. These data were generated under the auspices of the O3M SAF project of EUMETSAT. The ozone sonde data used in this work were provided by the World Ozone and Ultraviolet Data Centre (WOUDC), the Southern Hemisphere Additional Ozone sondes (SHADOZ) and the Global Monitoring Division (GMD) of NOAA's Earth System Research Laboratory and are publically available (http://www.woudc.org, http://croc.gsfc.nasa.gov/shadoz and http://www.esrl.noaa.gov/gmd). All the agencies cited above are acknowledged for providing data. The research in France was conducted with the financial support of CNES. The research in Belgium was funded by the Actions de Recherche Concertees (Communaute Francaise), the Fonds National de la Recherche Scientifique (FRS-FNRS F.4511.08), the Belgian State Federal Office for Scientifique, Technical and Cultural Affairs and the European Space Agency (EAS-Prodex C90-327).; The publication of this article is financed by CNRS-INSU.</t>
  </si>
  <si>
    <t>1867-1381</t>
  </si>
  <si>
    <t>1867-8548</t>
  </si>
  <si>
    <t>ATMOS MEAS TECH</t>
  </si>
  <si>
    <t>Atmos. Meas. Tech.</t>
  </si>
  <si>
    <t>10.5194/amt-5-123-2012</t>
  </si>
  <si>
    <t>891RE</t>
  </si>
  <si>
    <t>WOS:000300233500006</t>
  </si>
  <si>
    <t>Hayakawa, H; Shibuya, K; Aoyama, Y; Nogi, Y; Doi, K</t>
  </si>
  <si>
    <t>Hayakawa, Hideaki; Shibuya, Kazuo; Aoyama, Yuichi; Nogi, Yoshifumi; Doi, Koichiro</t>
  </si>
  <si>
    <t>Ocean bottom pressure variability in the Antarctic Divergence Zone off Lutzow-Holm Bay, East Antarctica</t>
  </si>
  <si>
    <t>Antarctic Divergence; Antarctic Coastal Current; Antarctic Circumpolar Current; Ekman mechanism; Bottom pressure recorder; GRACE</t>
  </si>
  <si>
    <t>CIRCUMPOLAR CURRENT; SOUTHERN-HEMISPHERE; DRAKE PASSAGE; ANNULAR MODE; SEA; TRANSPORT; GRACE; WIND; CIRCULATION; EARTH</t>
  </si>
  <si>
    <t>We analyzed bottom pressure recorder (BPR) data obtained by the Japanese Antarctic Research Expedition (JARE) from 4500 m depth off Lutzow-Holm Bay (66 degrees 50'S, 37 degrees 50'E) in the Antarctic Divergence Zone (ADZ). Data collected between December 16, 2004 and February 22, 2008 were processed after removing the tidal constituents with periods shorter than 1 month. The time series of monthly mean equivalent water height (OBP height) has a clear annual period. We correlated monthly GRACE Tellus OBP data with the JARE BPR heights. The GRACE data can account for about 38% of the variance of ocean signal observed by the JARE BPR. The variability in OBP height within the ADZ shows a maximum (2-4 cm) in the austral summer and a minimum (-2 to -4 cm) in the austral winter. In contrast, data from the coastal Syowa Station Tide Gauge (Syowa TG; 69.0 degrees S, 39.6 degrees E) have a maximum (7-8 cm) at the austral winter and a minimum (-5 to -6 cm) at the austral summer (opposite phase). We explained these OBP height variations in terms of the Ekman divergence mechanism using the wind velocity grids (2.5 degrees x 2.5 degrees) of the NCEP/NCAR Reanalysis data. The monthly average of the vertical velocity (Ekman pumping) in the area of 65-67.5 degrees S, 35-40 degrees E is positive (upwelling) in all months, but varies seasonally, with its maximum in the austral winter and its minimum in the austral summer. This annual property is consistent with the variable differences observed between the JARE BPR and Syowa TG OBP heights. We subtracted this annual variation from the OBP monthly time series to obtain the non-seasonal OBP variability, and examined its correlation with the AAO index. The non-seasonal OBP variability of Syowa TG shows similar correlation strength (the coefficients of -0.50 to -0.52) for the short period (&lt; 7 months) and for the long period (7-19 months). The variability in the ADZ had stronger correlation for the long period (-0.79), compared with that for the short period (-0.32); this characteristic is attributed to zonal long-period response of the southern mode in the Southern Ocean. In conclusion, we presented the mechanisms of OBP fall in the ADZ and rise at the coastal Syowa TG during the austral winter, and relatively small OBP difference across the Antarctic Coastal Current (ACoC) region at the positive phase of the MO index, related to north-south Ekman drifts. (C) 2011 Elsevier Ltd. All rights reserved.</t>
  </si>
  <si>
    <t>[Hayakawa, Hideaki; Shibuya, Kazuo; Aoyama, Yuichi; Nogi, Yoshifumi; Doi, Koichiro] Natl Inst Polar Res, Tachikawa, Tokyo 1908518, Japan; [Shibuya, Kazuo; Aoyama, Yuichi; Nogi, Yoshifumi; Doi, Koichiro] Dept Polar Sci, Tachikawa, Tokyo 1908518, Japan</t>
  </si>
  <si>
    <t>Hayakawa, H (corresponding author), Natl Inst Polar Res, 10-3 Midoricho, Tachikawa, Tokyo 1908518, Japan.</t>
  </si>
  <si>
    <t>hayakawa.hideaki@nipr.ac.jp</t>
  </si>
  <si>
    <t>Nogi, Yoshifumi/0000-0001-8457-4244</t>
  </si>
  <si>
    <t>NASA; National Oceanographic Partnership Program; Japan Society for the Promotion of Science [16310015]; Research Project P6-1; Grants-in-Aid for Scientific Research [16310015] Funding Source: KAKEN</t>
  </si>
  <si>
    <t>NASA(National Aeronautics &amp; Space Administration (NASA)); National Oceanographic Partnership Program; Japan Society for the Promotion of Science(Ministry of Education, Culture, Sports, Science and Technology, Japan (MEXT)Japan Society for the Promotion of Science); Research Project P6-1; Grants-in-Aid for Scientific Research(Ministry of Education, Culture, Sports, Science and Technology, Japan (MEXT)Japan Society for the Promotion of ScienceGrants-in-Aid for Scientific Research (KAKENHI))</t>
  </si>
  <si>
    <t>We are grateful to JARE team members and the crew of the icebreaker Shirase for their assistance during the installation and recovery of the JARE BPR. Tide gauge data were provided by the Hydrographic and Oceanographic Department, Japan Coast Guard, from the annual JARE Data Reports Oceanography Series (published by the National Institute of Polar Research, Japan). GRACE data were processed by D.P. Chambers, who was supported by the NASA MEASURES Program. These data are available at http://grace.jpl.nasa.gov/. ECCO data were contributed by the Consortium for Estimating the Circulation and Climate of the Ocean (ECCO), which is funded by the National Oceanographic Partnership Program. The monthly AAO index is available from the NOAA National Weather Service/Climate Prediction Center. NCEP Reanalysis Derived data were provided by the NOAA/OAR/ESRL PSD (Boulder, CO USA) from their website (http://www.esrl.noaa.gov/psd/). We are grateful to the editors and three anonymous reviewers for their helpful comments, which greatly improved the manuscript. This work was supported in part by Grant-in-Aid 16310015 (P.I.: K. Shibuya) for scientific research, awarded by the Japan Society for the Promotion of Science, and Research Project P6-1 (P.I.: K. Shibuya) and Publication Support Program of the National Institute of Polar Research (Japan).</t>
  </si>
  <si>
    <t>10.1016/j.dsr.2011.09.005</t>
  </si>
  <si>
    <t>892HH</t>
  </si>
  <si>
    <t>WOS:000300276800003</t>
  </si>
  <si>
    <t>Vérard, C; Flores, K; Stampfli, G</t>
  </si>
  <si>
    <t>Verard, Christian; Flores, Kennet; Stampfli, Gerard</t>
  </si>
  <si>
    <t>Geodynamic reconstructions of the South America-Antarctica plate system</t>
  </si>
  <si>
    <t>JOURNAL OF GEODYNAMICS</t>
  </si>
  <si>
    <t>Scotia Sea; Sandwich Island Sea; Patagonia; Antarctic Peninsula; Powell Basin; Drake Passage; Plate tectonics; Geodynamic reconstructions; Slab window</t>
  </si>
  <si>
    <t>ACTIVE SPREADING RIDGE; TECTONIC EVOLUTION; SCOTIA SEA; CRETACEOUS SUBDUCTION; CONTINENTAL-CRUST; SHETLAND ISLANDS; DRAKE PASSAGE; POWELL BASIN; HISTORY; COMPLEX</t>
  </si>
  <si>
    <t>The South America-Antarctica plate system shows many oceanic accretionary systems and subduction zones that initiated and then stopped. To better apprehend the evolution of the system, geodynamic reconstructions (global) have been created from Jurassic (165 Ma) to present, following the techniques used at the University of Lausanne. However, additional synthetic magnetic anomalies were used to refine the geodynamics between 33 Ma and present. The reconstructions show the break up of Gondwana with oceanisation between South America (SAM) and Antarctica (ANT), together with the break off of 'Andean' geodynamical units (GDUs). We propose that oceanisation occurs also east and south of the Scotian GDUs. Andean GDUs collide with other GDUs crossing the Pacific. The west coast of SAM and ANT undergo a subsequent collision with all those GDUs between 103 Ma and 84 Ma, and the Antarctic Peninsula also collides with Tierra del Fuego. The SAM-ANT plate boundary experienced a series of extension and shortening with large strike-slip component, culminating with intra-oceanic subduction leading to the presence of the 'V-' and anomalies in the Weddell Sea. From 84 Ma, a transpressive collision takes place in the Scotia region, with active margin to the east. As subduction propagates northwards into an old and dense oceanic crust, slab roll-back initiates, giving rise to the western Scotia Sea and the Powell Basin opening. The Drake Passage opens. As the Scotian GDUs migrate eastwards, there is enough space for them to spread and allow a north-south divergence with a spreading axis acting simultaneously with the western Scotia ridge. Discovery Bank stops the migration of South Orkney and 'collides with' the SAM-ANT spreading axis, while the northern Scotian GDUs are blocked against the Falkland Plateau and the North-East Georgia Rise. The western and central Scotia and the Powell Basin spreading axes must cease, and the ridge jumps to create the South Sandwich Islands Sea. The Tierra del Fuego-Patagonia region has always experienced mid-oceanic ridge subduction since 84 Ma. Slab window location is also presented (57-0 Ma), because of its important implication for heat flux and magmatism. (C) 2011 Elsevier Ltd. All rights reserved.</t>
  </si>
  <si>
    <t>[Verard, Christian; Flores, Kennet; Stampfli, Gerard] Univ Lausanne, Inst Geol &amp; Paleontol, CH-1015 Lausanne, Switzerland</t>
  </si>
  <si>
    <t>University of Lausanne</t>
  </si>
  <si>
    <t>Vérard, C (corresponding author), Univ Lausanne, Inst Geol &amp; Paleontol, CH-1015 Lausanne, Switzerland.</t>
  </si>
  <si>
    <t>christian.verard@unil.ch</t>
  </si>
  <si>
    <t>Flores, Kennet E/I-1749-2019</t>
  </si>
  <si>
    <t>Flores, Kennet E/0000-0001-6143-1240</t>
  </si>
  <si>
    <t>Swiss National Fund</t>
  </si>
  <si>
    <t>Swiss National Fund(Swiss National Science Foundation (SNSF))</t>
  </si>
  <si>
    <t>We kindly acknowledge Petroconsultants IHS Global S.A. (Geneva) and Shell (U.K.) for access to their database. We gratefully thank Cyril Hochard and Laurent Thum for their precious help with the reconstructions. The Swiss National Fund is equally acknowledged for funding the present work. The geodynamical model now belongs to NEFTEX Petroleum Consultant Ltd., with licence to UNIL; Nous remercions NEFTEX pour sa tres gracieuse autorisation de divulguer dans le cadre de cette publication des elements de reconstruction geodynamique issus de notre travail.</t>
  </si>
  <si>
    <t>0264-3707</t>
  </si>
  <si>
    <t>J GEODYN</t>
  </si>
  <si>
    <t>J. Geodyn.</t>
  </si>
  <si>
    <t>10.1016/j.jog.2011.07.007</t>
  </si>
  <si>
    <t>894XX</t>
  </si>
  <si>
    <t>WOS:000300461900006</t>
  </si>
  <si>
    <t>Flynn, AJ; Williams, A</t>
  </si>
  <si>
    <t>Flynn, A. J.; Williams, A.</t>
  </si>
  <si>
    <t>Lanternfish (Pisces: Myctophidae) biomass distribution and oceanographic-topographic associations at Macquarie Island, Southern Ocean</t>
  </si>
  <si>
    <t>MARINE AND FRESHWATER RESEARCH</t>
  </si>
  <si>
    <t>climate change; Lanternfishes; Macquarie Island; Macquarie Ridge; oceanographic-topographic interaction; Southern Ocean; subantarctic</t>
  </si>
  <si>
    <t>PRINCE EDWARD ISLANDS; EUDYPTES-CHRYSOCOME; KING PENGUINS; APTENODYTES-PATAGONICUS; PROVISIONING STRATEGIES; VERTICAL-DISTRIBUTION; RESIDENT MICRONEKTON; FORAGING ECOLOGY; PELAGIC FISHES; DIET</t>
  </si>
  <si>
    <t>Lanternfishes, which are important prey for demersal and diving predators at Macquarie Island in the Southern Ocean, have spatial patterns of distribution over the Macquarie Ridge that suggest biomass is enhanced where the Subantarctic Front (SAF) interacts with a break in the topography of the Ridge (the 'Ridge Gap'). The summertime lanternfish assemblage, documented here for the first time, comprised 23 taxa, dominated by Krefftichthys anderssoni and Gymnoscopelus braueri. Mean lanternfish biomass was highest (3.13 g 1000 m(-3)) in the Ridge Gap habitat. Lowest mean biomass (0.71 g 1000 m(-3)) was recorded up-current of the SAF over the Abyssal Plain and intermediate biomass (1.26 g 1000 m(-3)) was recorded over the Macquarie Ridge. At Ridge Gap, a high abundance of K. anderssoni was recorded in the shallowest stratum (0-250 m) during the day. We hypothesised that the oceanographic-topographic interaction between the SAF and Ridge Gap creates eddy systems and productivity fronts that passively entrain and/or actively attract lanternfishes to the Ridge Gap area. This oceanographic-topographic interaction depends on the spatial stability of the SAF in relation to the Macquarie Ridge and Ridge Gap and is vulnerable to climate-mediated change that may have flow-on effects to predators with commercial and conservation significance.</t>
  </si>
  <si>
    <t>[Flynn, A. J.] Univ Queensland, Sch Biomed Sci, Queensland Brain Inst, St Lucia, Qld 4072, Australia; [Flynn, A. J.; Williams, A.] CSIRO Marine &amp; Atmospher Res, Hobart, Tas 7001, Australia; [Flynn, A. J.] Museum Victoria, Ichthyology, Vic 3001, Australia</t>
  </si>
  <si>
    <t>University of Queensland; Commonwealth Scientific &amp; Industrial Research Organisation (CSIRO); Museum Victoria</t>
  </si>
  <si>
    <t>Flynn, AJ (corresponding author), Univ Queensland, Sch Biomed Sci, Queensland Brain Inst, St Lucia, Qld 4072, Australia.</t>
  </si>
  <si>
    <t>adrian.flynn@uqconnect.edu.au</t>
  </si>
  <si>
    <t>Williams, Alan/C-6999-2012</t>
  </si>
  <si>
    <t>Williams, Alan/0000-0002-2867-7713</t>
  </si>
  <si>
    <t>University of Queensland; Australian Research Council (ARC) [LP0775179]; Australian Fisheries Research and Development Corporation (FRDC) [97/122]; Australian Research Council [LP0775179] Funding Source: Australian Research Council</t>
  </si>
  <si>
    <t>University of Queensland(University of Queensland); Australian Research Council (ARC)(Australian Research Council); Australian Fisheries Research and Development Corporation (FRDC)(Fisheries R&amp;D Corp); Australian Research Council(Australian Research Council)</t>
  </si>
  <si>
    <t>A. Flynn's research is supported by The University of Queensland Research Scholarship and by the Australian Research Council (ARC-linkage grant LP0775179 to Prof. Justin Marshall, Deep Ocean Australia Project). Sampling at Macquarie Island was supported by the Australian Fisheries Research and Development Corporation (FRDC Project 97/122) and was undertaken by staff of CSIRO and Antarctic Division, Tasmania. We acknowledge Dr Tony Koslow who led the survey and Dr Richard Williams who contributed to the identification of lanternfish catches and provided the raw catch data. Thanks are also due to Mark Lewis (CSIRO) who assisted with the on-board and laboratory catch processing and to Dr Stephen Rintoul (CSIRO) for his willingness to share his knowledge of oceanography in the Macquarie Island region and to Dr John Paxton (Australian Museum) and anonymous reviewers for comments on earlier drafts of this paper.</t>
  </si>
  <si>
    <t>1323-1650</t>
  </si>
  <si>
    <t>1448-6059</t>
  </si>
  <si>
    <t>MAR FRESHWATER RES</t>
  </si>
  <si>
    <t>Mar. Freshw. Res.</t>
  </si>
  <si>
    <t>10.1071/MF11163</t>
  </si>
  <si>
    <t>Fisheries; Limnology; Marine &amp; Freshwater Biology; Oceanography</t>
  </si>
  <si>
    <t>891NE</t>
  </si>
  <si>
    <t>WOS:000300223100007</t>
  </si>
  <si>
    <t>Swart, NC; Fyfe, JC</t>
  </si>
  <si>
    <t>Swart, N. C.; Fyfe, J. C.</t>
  </si>
  <si>
    <t>Ocean carbon uptake and storage influenced by wind bias in global climate models</t>
  </si>
  <si>
    <t>SOUTHERN-HEMISPHERE WESTERLIES; OVERTURNING CIRCULATION; AGULHAS LEAKAGE; SENSITIVITY; EXCHANGE; DYNAMICS; SYSTEM; WORLD; SHIFT</t>
  </si>
  <si>
    <t>In global climate model pre-industrial control simulations the Southern Hemisphere westerly winds show a systematic bias in position and strength relative to estimates of their actual position and strength. These wind-stress biases impact the simulated transport of the Antarctic Circumpolar Current(1) and the nature of Southern Ocean water-mass formation(1) and may affect the rate of meridional overturning of the global ocean(2). The effect they have on oceanic carbon uptake and storage is unknown, however. Here we demonstrate, using a coupled carbon-climate model(3), that the wind-stress biases reduce equilibrium ocean carbon storage, redistribute carbon within the ocean and increase oceanic carbon uptake in climate change simulations. The wind-stress biases act directly by influencing Ekman pumping dynamics in the Southern Ocean and also seem to have an indirect effect on the overturning circulation and carbon distribution through the Agulhas leakage and Indo-Atlantic salt flux. Our results indicate that carbon-climate model simulations with the typical pre-industrial wind-stress bias will over-estimate ocean carbon sequestration, and thereby under-estimate atmospheric carbon dioxide concentrations in the twenty-first century, relative to unbiased simulations. The new generation of coupled carbon-climate models may be subject to these wind biases, which could alter their carbon-climate response, although it is worth noting that the uncertainty arising from wind biases that we demonstrate here is one of several uncertainties that affect modelled ocean carbon uptake(4).</t>
  </si>
  <si>
    <t>[Swart, N. C.] Univ Victoria, Sch Earth &amp; Ocean Sci, Victoria, BC V8W 3V6, Canada; [Fyfe, J. C.] Environm Canada, Canadian Ctr Climate Modelling &amp; Anal, Victoria, BC V8W 3V6, Canada</t>
  </si>
  <si>
    <t>University of Victoria; Environment &amp; Climate Change Canada; Canadian Centre for Climate Modelling &amp; Analysis (CCCma)</t>
  </si>
  <si>
    <t>Swart, NC (corresponding author), Univ Victoria, Sch Earth &amp; Ocean Sci, Victoria, BC V8W 3V6, Canada.</t>
  </si>
  <si>
    <t>ncswart@uvic.ca</t>
  </si>
  <si>
    <t>Swart, Neil/Q-6608-2019</t>
  </si>
  <si>
    <t>Swart, Neil/0000-0002-8200-6187</t>
  </si>
  <si>
    <t>National Research Foundation of South Africa; NSERC CREATE at the University of Victoria, Canada</t>
  </si>
  <si>
    <t>National Research Foundation of South Africa(National Research Foundation - South Africa); NSERC CREATE at the University of Victoria, Canada</t>
  </si>
  <si>
    <t>N.C.S. received financial support from the National Research Foundation of South Africa, and through the NSERC CREATE training programme in interdisciplinary climate science at the University of Victoria, Canada. We thank the UVic Climate Modelling Group, in particular M. Eby, A. Weaver and E. Wiebe, for help with the UVic ESCM. This research has been enabled by the use of computing resources provided-by WestGrid and Compute/Calcul Canada. We acknowledge the modelling groups, the Program for Climate Model Diagnosis and Intercomparison and the WCRP's Working Group on Coupled Modelling for their roles in making available the WCRP CMIP3 multi-model data set. Support of this data set is provided by the Office of Science, US Department of Energy. J. Christian, M. Eby, N. Gillet and J. Scinocca provided useful comments on an early draft of the manuscript.</t>
  </si>
  <si>
    <t>10.1038/NCLIMATE1289</t>
  </si>
  <si>
    <t>881OH</t>
  </si>
  <si>
    <t>WOS:000299495500020</t>
  </si>
  <si>
    <t>Hennion, F; Bouchereau, A; Gauthier, C; Hermant, M; Vernon, P; Prinzing, A</t>
  </si>
  <si>
    <t>Hennion, Francoise; Bouchereau, Alain; Gauthier, Cynthia; Hermant, Marie; Vernon, Philippe; Prinzing, Andreas</t>
  </si>
  <si>
    <t>VARIATION IN AMINE COMPOSITION IN PLANT SPECIES: HOW IT INTEGRATES MACROEVOLUTIONARY AND ENVIRONMENTAL SIGNALS</t>
  </si>
  <si>
    <t>abiotic environment; aliphatic and aromatic amines; ecological flexibility of species; metabolite; Poales; Ranunculales; core eudicots; phylogeny; subantarctic; Kerguelen Islands</t>
  </si>
  <si>
    <t>PERFORMANCE LIQUID-CHROMATOGRAPHY; ABIOTIC STRESS; PRINGLEA-ANTISCORBUTICA; ARGININE DECARBOXYLASE; POLYAMINES; METABOLOMICS; EVOLUTION; DIVERSIFICATION; METABOLISM; GROWTH</t>
  </si>
  <si>
    <t>Premise of the study: While plants show lineage-specific differences in metabolite composition, plant metabolites are also known to vary in response to the environment. The extent to which these different determinants of metabolite composition are mutually independent and recognizable is unknown. Moreover, the extent to which the metabolome can reconcile evolutionary constraint with the needs of the plant for rapid environmental response is unknown. We investigated these questions in plant species representing different phylogenetic lineages and growing in different subantarctic island environments. We studied their amines-metabolites involved in plant response to environmental conditions. Methods: Nine species were sampled under high salinity, water saturation, and altitude on the Kerguelen Islands. Their profiles of free aromatic, aliphatic, and acetyl-conjugated amines were determined by HPLC. We related amine composition to species and environment using generalized discriminant analyses. Key results: Amine composition differed significantly between species within the same environment, and the differences reflected phylogenetic positions. Moreover, across all species, amine metabolism differed between environments, and different lineages occupied different absolute positions in amine/environment space. Interestingly, all species had the same relative shifts in amine composition between environments. Conclusion: Our results indicate a similar response of amine composition to abiotic environments in distantly related angiosperms, suggesting environmental flexibility of species is maintained despite major differences in amine composition among lineages. These results aid understanding of how in nature the plant metabolome integrates ecology and evolution, thus providing primordial information on adaptive mechanisms of plant metabolism to climate change.</t>
  </si>
  <si>
    <t>[Hennion, Francoise; Gauthier, Cynthia; Hermant, Marie; Prinzing, Andreas] Univ Rennes 1, CNRS, UMR Ecobio 6553, F-35042 Rennes, France; [Bouchereau, Alain] Univ Rennes 1, UMR INRA 118, F-35042 Rennes, France; [Hermant, Marie] Univ Lille 1, FRE CNRS 3268, GEPV, F-59655 Villeneuve Dascq, France; [Vernon, Philippe] Univ Rennes 1, UMR Ecobio 6553, Stn Biol Paimpont, F-35380 Paimpont, France; [Prinzing, Andreas] Univ Wageningen &amp; Res Ctr, Alterra Ctr Ecosyst Studies, NL-6700 AA Wageningen, Netherlands</t>
  </si>
  <si>
    <t>Universite de Rennes; Centre National de la Recherche Scientifique (CNRS); CNRS - Institute of Ecology &amp; Environment (INEE); INRAE; Universite de Rennes; Universite de Lille; Universite de Rennes; Wageningen University &amp; Research</t>
  </si>
  <si>
    <t>Hennion, F (corresponding author), Univ Rennes 1, CNRS, UMR Ecobio 6553, Av Gen Leclerc, F-35042 Rennes, France.</t>
  </si>
  <si>
    <t>francoise.hennion@univ-rennes1.fr</t>
  </si>
  <si>
    <t>Hennion, Francoise/P-3356-2014; Vernon, Philippe/A-9019-2010</t>
  </si>
  <si>
    <t>Vernon, Philippe/0000-0002-6237-7511; Hennion, Francoise/0000-0001-5355-5614</t>
  </si>
  <si>
    <t>French Polar Institute (IPEV) [136]; Centre National de la Recherche Scientifique through ATIP; Zone-Atelier Antarctique; UMR Ecobio (CNRS-Universite de Rennes 1); Ministry of Research and Education (France)</t>
  </si>
  <si>
    <t>French Polar Institute (IPEV); Centre National de la Recherche Scientifique through ATIP; Zone-Atelier Antarctique; UMR Ecobio (CNRS-Universite de Rennes 1); Ministry of Research and Education (France)</t>
  </si>
  <si>
    <t>The authors thank C. Brumbt and M. Fournier for help with sample collection and preparation and T. Jenkins, B. Torwesten, S. Le Nechet, and G. Saubeau for technical help with HPLC analyses. The authors thank D. Ober for useful comments on a previous version of the manuscript. This research is linked with the Evolution and Biodiversity in the Antarctic research program of the Scientific Committee on Antarctic Research. This work was supported by the French Polar Institute (IPEV, program 136, head M. Lebouvier), Centre National de la Recherche Scientifique through ATIP grant (A. P.) and Zone-Atelier Antarctique, and UMR Ecobio (CNRS-Universite de Rennes 1). M. H. was supported by a grant from Ministry of Research and Education (France).</t>
  </si>
  <si>
    <t>10.3732/ajb.1100211</t>
  </si>
  <si>
    <t>877HG</t>
  </si>
  <si>
    <t>WOS:000299167700015</t>
  </si>
  <si>
    <t>Kane, TA; Makarevich, RA; Devlin, JC</t>
  </si>
  <si>
    <t>Kane, T. A.; Makarevich, R. A.; Devlin, J. C.</t>
  </si>
  <si>
    <t>HF radar observations of ionospheric backscatter during geomagnetically quiet periods</t>
  </si>
  <si>
    <t>Ionosphere; Auroral ionosphere; Ionospheric irregularities; Plasma waves and instabilities</t>
  </si>
  <si>
    <t>F-REGION IRREGULARITIES; SOLAR-CYCLE; SUPERDARN</t>
  </si>
  <si>
    <t>The quiet-time coherent backscatter from the F-region observed by the Tasman International Geospace Environment Radar (TIGER) Bruny Island HF radar is analysed statistically in order to determine typical trends and controlling factors in the ionospheric echo occurrence. A comparison of the F-region peak density values from the IRI-2007 model and ionosonde measurements in the vicinity of the radar's footprint shows a very good agreement, particularly at subauroral and auroral latitudes, and model densities within the radar's footprint are used in the following analyses. The occurrence of F-region backscatter is shown to exhibit distinct diurnal, seasonal and solar cycle variations and these are compared with model trends in the F-region peak electron density and Pedersen conductance of the underlying ionosphere. The solar cycle effects in occurrence are demonstrated to be strong and more complex than a simple proportionality on a year-to-year basis. The diurnal and seasonal effects are strongly coupled to each other, with diurnal trends exhibiting a systematic gradual variation from month to month that can be explained when both electron density and conductance trends are considered. During the night, the echo occurrence is suggested to be controlled directly by the density conditions, with a direct proportionality observed between the occurrence and peak electron density. During the day, the echo occurrence appears to be controlled by both conductance and propagation conditions. It is shown that the range of echo occurrence values is smaller for larger conductances and that the electron density determines what value the echo occurrence takes in that range. These results suggest that the irregularity production rates are significantly reduced by the highly conducting E layer during the day while F-region density effects dominate during the night.</t>
  </si>
  <si>
    <t>[Makarevich, R. A.] Univ Alaska, Inst Geophys, Fairbanks, AK 99775 USA; [Makarevich, R. A.] Univ Alaska, Dept Phys, Fairbanks, AK 99775 USA; [Kane, T. A.] La Trobe Univ, Dept Phys, Bundoora, Vic 3086, Australia; [Devlin, J. C.] La Trobe Univ, Dept Elect Engn, Bundoora, Vic 3086, Australia</t>
  </si>
  <si>
    <t>University of Alaska System; University of Alaska Fairbanks; University of Alaska System; University of Alaska Fairbanks; La Trobe University; La Trobe University</t>
  </si>
  <si>
    <t>Makarevich, RA (corresponding author), Univ Alaska, Inst Geophys, Fairbanks, AK 99775 USA.</t>
  </si>
  <si>
    <t>r.makarevich@gi.alaska.edu</t>
  </si>
  <si>
    <t>Makarevich, Roman/H-4542-2013</t>
  </si>
  <si>
    <t>La Trobe University; University of Newcastle; Monash University; Australian Antarctic Division; ISR Division DSTO; IPS Radio and Space Services</t>
  </si>
  <si>
    <t>La Trobe University; University of Newcastle; Monash University(Monash University); Australian Antarctic Division; ISR Division DSTO; IPS Radio and Space Services</t>
  </si>
  <si>
    <t>Operation of the TIGER Bruny Island radar was supported by a consortium of institutions: La Trobe University, University of Newcastle, Monash University, Australian Antarctic Division, ISR Division DSTO and IPS Radio and Space Services. The ionosonde data were supplied by the IPS Radio and Space Services, Australia. The authors thank A. J. Ribeiro for useful discussions regarding ionospheric scatter identification.</t>
  </si>
  <si>
    <t>10.5194/angeo-30-221-2012</t>
  </si>
  <si>
    <t>891PW</t>
  </si>
  <si>
    <t>WOS:000300230100019</t>
  </si>
  <si>
    <t>Linnane, A; Hobday, D; Frusher, S; Gardner, C</t>
  </si>
  <si>
    <t>Linnane, Adrian; Hobday, David; Frusher, Stewart; Gardner, Caleb</t>
  </si>
  <si>
    <t>Growth rates of juvenile southern rock lobster (Jasus edwardsii) estimated through a diver-based tag-recapture program</t>
  </si>
  <si>
    <t>SPINY LOBSTER; NEW-ZEALAND; PANULIRUS-CYGNUS; HEMOLYMPH CHEMISTRY; MOVEMENT PATTERNS; SPATIAL VARIATION; ESCAPE BEHAVIOR; AUSTRALIA; LALANDII; SIZE</t>
  </si>
  <si>
    <t>Despite being one of the most economically important fisheries in south-eastern Australia, growth rates of juvenile southern rock lobster (Jasus edwardsii) have not previously been quantified in the wild. This study utilised a diver-based tag-recapture program to estimate growth rates of individuals between 40-80 mm carapace length (CL) in temperate reef sites across south-eastern Australia. Of the 7064 lobsters tagged and released, 978 (14%) were recaptured with recapture rates of 23, 5 and 7% in the States of Tasmania, South Australia and Victoria respectively. Although individual growth increments were similar between the sexes, differences in annual growth rates were evident at 50 mm CL, with males growing similar to 1.4 times faster than females. Increased levels of growth in males resulted from a higher moult frequency, which was found to significantly reduce in females as they reached sexual maturity at similar to 70-80 mm CL. No significant difference was found in growth rates of males or females between the States when all sites within each State were combined. The growth estimates from this work contribute to the understanding of juvenile lobster population dynamics and will improve current fishery models by confirming relationships between early juvenile, pre-recruit abundance and entry to the fishable biomass.</t>
  </si>
  <si>
    <t>[Linnane, Adrian] S Australian Res &amp; Dev Inst Aquat Sci, Henley Beach, SA 5022, Australia; [Hobday, David] Fisheries Res Branch, Dept Primary Ind, Queenscliff, Vic 3225, Australia; [Frusher, Stewart; Gardner, Caleb] Univ Tasmania, Inst Marine &amp; Antarctic Studies, Hobart, Tas 7001, Australia</t>
  </si>
  <si>
    <t>Linnane, A (corresponding author), S Australian Res &amp; Dev Inst Aquat Sci, POB 120, Henley Beach, SA 5022, Australia.</t>
  </si>
  <si>
    <t>Adrian.Linnane@sa.gov.au</t>
  </si>
  <si>
    <t>Frusher, Stewart/G-5117-2014; Gardner, Caleb/I-7086-2013</t>
  </si>
  <si>
    <t>Frusher, Stewart/0000-0003-2493-3676; Gardner, Caleb/0000-0003-0324-4337</t>
  </si>
  <si>
    <t>Fisheries Research and Development Corporation of Australia [2001/070]</t>
  </si>
  <si>
    <t>Fisheries Research and Development Corporation of Australia(Fisheries R&amp;D Corp)</t>
  </si>
  <si>
    <t>Funding for this research was provided through the Fisheries Research and Development Corporation of Australia (Project Number 2001/070). We acknowledge Dave Reilly, Alan Jones, Peter Hawthorne and Sam Ibbott for dive support during the study. Finally, we thank the three anonymous referees whose comments greatly improved the quality of this manuscript.</t>
  </si>
  <si>
    <t>10.1071/MF11121</t>
  </si>
  <si>
    <t>886YK</t>
  </si>
  <si>
    <t>WOS:000299891100002</t>
  </si>
  <si>
    <t>Michael, KJ; Veal, CJ; Nunez, M</t>
  </si>
  <si>
    <t>Michael, Kelvin J.; Veal, Cameron J.; Nunez, Manuel</t>
  </si>
  <si>
    <t>Attenuation coefficients of ultraviolet and photosynthetically active wavelengths in the waters of Heron Reef, Great Barrier Reef, Australia</t>
  </si>
  <si>
    <t>attenuation; Capricorn-Bunker Group; coral; Heron Island; Irradiance; PAR; UV</t>
  </si>
  <si>
    <t>SOLAR UV IRRADIANCE; CORAL-REEFS; CLIMATE-CHANGE; RADIATION; PENETRATION; OCEAN; FUTURE; SEA</t>
  </si>
  <si>
    <t>Variation in subsurface solar radiation has been identified as a second-order factor in coral bleaching. This study examines transmission of radiation at Heron Reef (southern Great Barrier Reef, Australia) testing the hypotheses that spectral transmission is independent of location, season and solar zenith angle. In June and December 2004, 132 underwater irradiance profiles were collected at six ultraviolet wavelengths (305, 313, 320, 340, 380, 395 nm) and photosynthetically-active radiation (PAR) to estimate spectral diffuse attenuation coefficients K-d(lambda). Mean K-d(lambda) decreased through the ultraviolet spectrum (0.435 m(-1) at 305 nm to 0.115 m(-1) at 395 nm) whereas mean K-d(PAR) was 0.129 m(-1). Ultraviolet K-d(lambda) values were highly correlated with each other, but less well correlated with K-d(PAR). K-d(lambda) values were larger inside than outside Heron Lagoon, both across all wavelengths and at individual wavelengths. Similarly, K-d(lambda) values were significantly larger in December than June. These results are consistent with greater resuspension and transport of particulates in Heron Lagoon at higher wind speeds. K-d(lambda) values were not dependent on solar zenith angle. The implications are that location and season must be accounted for when setting K-d(lambda) values to calculate spectral irradiances affecting corals at Heron Reef.</t>
  </si>
  <si>
    <t>[Michael, Kelvin J.] Univ Tasmania, Inst Marine &amp; Antarctic Studies, Hobart, Tas 7001, Australia; [Veal, Cameron J.; Nunez, Manuel] Univ Tasmania, Sch Geog &amp; Environm Studies, Hobart, Tas 7001, Australia; [Veal, Cameron J.] Univ Queensland, Sch Biol Sci, Brisbane, Qld 4072, Australia</t>
  </si>
  <si>
    <t>University of Tasmania; University of Tasmania; University of Queensland</t>
  </si>
  <si>
    <t>Michael, KJ (corresponding author), Univ Tasmania, Inst Marine &amp; Antarctic Studies, Private Bag 129, Hobart, Tas 7001, Australia.</t>
  </si>
  <si>
    <t>Kelvin.Michael@utas.edu.au</t>
  </si>
  <si>
    <t>Michael, Kelvin/J-7217-2014</t>
  </si>
  <si>
    <t>Michael, Kelvin/0000-0002-5427-7393</t>
  </si>
  <si>
    <t>Australian Research Council [DP0453361]; University of Tasmania [M0013765]; Heron Island Research Station (HIRS); Australian Research Council [DP0453361] Funding Source: Australian Research Council</t>
  </si>
  <si>
    <t>Australian Research Council(Australian Research Council); University of Tasmania; Heron Island Research Station (HIRS); Australian Research Council(Australian Research Council)</t>
  </si>
  <si>
    <t>This project was funded by the Australian Research Council (Discovery Grant DP0453361) and by a University of Tasmania Institutional Research Grant (Grant Number M0013765). We thank the director and other staff of the Heron Island Research Station (HIRS) for provision of facilities and other support. Assistance in the field from Itsara Masiri and Louise Trenerry was appreciated. Access to HIRS was facilitated by Professor Ove Hoegh-Guldberg, Coral Reef Ecosystem Laboratory, School of Biological Sciences, The University of Queensland. Paul Waller and Peter Dove, Central Science Laboratory, University of Tasmania provided valuable assistance in electronics and equipment mounts. We acknowledge constructive comments from two anonymous referees, and statistical advice from Dr Simon Wotherspoon.</t>
  </si>
  <si>
    <t>10.1071/MF11106</t>
  </si>
  <si>
    <t>WOS:000299891100005</t>
  </si>
  <si>
    <t>Castro-Morales, K; Kaiser, J</t>
  </si>
  <si>
    <t>Castro-Morales, K.; Kaiser, J.</t>
  </si>
  <si>
    <t>Using dissolved oxygen concentrations to determine mixed layer depths in the Bellingshausen Sea</t>
  </si>
  <si>
    <t>ANTARCTIC PENINSULA; GLOBAL OCEAN; ART.; VARIABILITY; ZONE</t>
  </si>
  <si>
    <t>Concentrations of oxygen (O-2) and other dissolved gases in the oceanic mixed layer are often used to calculate air-sea gas exchange fluxes. The mixed layer depth (z(mix)) may be defined using criteria based on temperature or density differences to a reference depth near the ocean surface. However, temperature criteria fail in regions with strong haloclines such as the Southern Ocean where heat, freshwater and momentum fluxes interact to establish mixed layers. Moreover, the time scales of air-sea exchange differ for gases and heat, so that z(mix) defined using oxygen may be different than z(mix) defined using temperature or density. Here, we propose to define an O-2-based mixed layer depth, z(mix)(O-2), as the depth where the relative difference between the O-2 concentration and a reference value at a depth equivalent to 10 dbar equals 0.5 %. This definition was established by analysis of O-2 profiles from the Bellingshausen Sea (west of the Antarctic Peninsula) and corroborated by visual inspection. Comparisons of z(mix)(O-2) with zmix based on potential temperature differences, i.e., z(mix)(0.2 degrees C) and z(mix)(0.5 degrees C), and potential density differences, i.e., z(mix)(0.03 kgm(-3)) and z(mix)(0.125 kgm(-3)), showed that z(mix)(O-2) closely follows z(mix)(0.03 kgm(-3)). Further comparisons with published z(mix) climatologies and z(mix) derived from World Ocean Atlas 2005 data were also performed. To establish zmix for use with biological production estimates in the absence of O-2 profiles, we suggest using zmix(0.03 kgm(-3)), which is also the basis for the climatology by de Boyer Montegut et al. (2004).</t>
  </si>
  <si>
    <t>[Castro-Morales, K.; Kaiser, J.] Univ E Anglia, Norwich NR4 7TJ, Norfolk, England; [Castro-Morales, K.] Alfred Wegener Inst Polar &amp; Marine Res, Bremerhaven, Germany</t>
  </si>
  <si>
    <t>University of East Anglia; Helmholtz Association; Alfred Wegener Institute, Helmholtz Centre for Polar &amp; Marine Research</t>
  </si>
  <si>
    <t>Castro-Morales, K (corresponding author), Univ E Anglia, Norwich NR4 7TJ, Norfolk, England.</t>
  </si>
  <si>
    <t>karel.castro-morales@awi.de</t>
  </si>
  <si>
    <t>Kaiser, Jan/D-3327-2009</t>
  </si>
  <si>
    <t>Kaiser, Jan/0000-0002-1553-4043; Castro-Morales, Karel/0000-0003-1245-3982</t>
  </si>
  <si>
    <t>British Antarctic Survey (BAS); Natural Environment Research Council [CGS8/29]; National Council for Science and Technology (CONACyT), Mexico; Royal Society [WM052632]</t>
  </si>
  <si>
    <t>British Antarctic Survey (BAS); Natural Environment Research Council(UK Research &amp; Innovation (UKRI)Natural Environment Research Council (NERC)); National Council for Science and Technology (CONACyT), Mexico(Consejo Nacional de Ciencia y Tecnologia (CONACyT)); Royal Society(Royal Society)</t>
  </si>
  <si>
    <t>The British Antarctic Survey (BAS) and the Natural Environment Research Council supported this project through grant CGS8/29. KCM thanks the National Council for Science and Technology (CONACyT), Mexico, for her PhD scholarship at the University of East Anglia. JK was also supported by a Royal Society Wolfson Research Merit Award (WM052632). Our thanks extend to the principal scientist, Deborah Shoosmith, and the other participants and crew of cruise JR165, as well as the leader of the ACES-FOCAS project, Adrian Jenkins. We are also grateful for the comments received from two anonymous reviewers and the editor that helped to improve the manuscript.</t>
  </si>
  <si>
    <t>10.5194/os-8-1-2012</t>
  </si>
  <si>
    <t>891OT</t>
  </si>
  <si>
    <t>WOS:000300227200001</t>
  </si>
  <si>
    <t>Leonard, KC; Tremblay, LB; Thom, JE; MacAyeal, DR</t>
  </si>
  <si>
    <t>Leonard, Katherine C.; Tremblay, L. -Bruno; Thom, Jonathan E.; MacAyeal, Douglas R.</t>
  </si>
  <si>
    <t>Drifting snow threshold measurements near McMurdo station, Antarctica: A sensor comparison study</t>
  </si>
  <si>
    <t>Drifting snow; Snow measurement; Aerodynamic roughness; Drift threshold; Grain size; Blowing snow</t>
  </si>
  <si>
    <t>ATMOSPHERIC ICE CRYSTALS; BLOWING SNOW; BOUNDARY-LAYER; WATER-VAPOR; WIND-TUNNEL; MASS FLUXES; SEA-ICE; SALTATION; TRANSPORT; VELOCITY</t>
  </si>
  <si>
    <t>We present the results of an Antarctic spring field study of snow drift threshold measurements made using two custom drift sensors and a commercial parts-counting device. All three sensor types worked well at detecting drifting snow events, but the sensors recorded different magnitudes (particle count per unit time) of drift. Each sensor has a unique detection threshold for particle size, and responded differently to identical wind and snow conditions, although the particle counts from the different sensors are linearly related at low wind speeds. The drift threshold is defined here as the minimum friction velocity at which drifting snow was observed during more than 10% of measurements at that wind speed. The results of this multi-sensor study demonstrate that the drift threshold is lower (friction velocity of 0.2 m/s) for very small particles that are likely transported in suspension than for coarse-grained saltating particles (0.25 m/s). These friction velocities correspond to 10-meter wind speeds of 5.6 and 7.2 m/s respectively for the conditions during this experiment. The commercially available parts counter is recommended as a low-cost alternative to custom-built drift sensors for use in future field studies of drifting and blowing snow. (C) 2011 Elsevier B.V. All rights reserved.</t>
  </si>
  <si>
    <t>[Leonard, Katherine C.] WSL Inst Snow &amp; Avalance Res SLF, CH-7260 Davos, Switzerland; [Leonard, Katherine C.; Tremblay, L. -Bruno] Columbia Univ, Lamont Doherty Earth Observ, Palisades, NY 10964 USA; [Tremblay, L. -Bruno] McGill Univ, Dept Atmospher &amp; Ocean Sci, Montreal, PQ H3A 2K6, Canada; [Thom, Jonathan E.] Univ Wisconsin, Ctr Space Sci &amp; Engn, Madison, WI 53706 USA; [MacAyeal, Douglas R.] Univ Chicago, Dept Geophys Sci, Chicago, IL 60637 USA</t>
  </si>
  <si>
    <t>Swiss Federal Institutes of Technology Domain; Swiss Federal Institute for Forest, Snow &amp; Landscape Research; Columbia University; McGill University; University of Wisconsin System; University of Wisconsin Madison; University of Chicago</t>
  </si>
  <si>
    <t>Leonard, KC (corresponding author), WSL Inst Snow &amp; Avalance Res SLF, Fluelastr 11, CH-7260 Davos, Switzerland.</t>
  </si>
  <si>
    <t>leonard@slf.ch</t>
  </si>
  <si>
    <t>Tremblay, Bruno/I-4497-2012</t>
  </si>
  <si>
    <t>MacAyeal, Douglas/0000-0003-0647-6176</t>
  </si>
  <si>
    <t>LDEO Climate Center; U.S. National Science Foundation [OPP-0229546, OPP-0230028]</t>
  </si>
  <si>
    <t>LDEO Climate Center; U.S. National Science Foundation(National Science Foundation (NSF))</t>
  </si>
  <si>
    <t>Funding for the field research was provided to K. Leonard by the LDEO Climate Center. Fieldwork logistics were possible due to participation in a field project funded by the U.S. National Science Foundation (OPP-0229546 and OPP-0230028). M. Gordon, S. Savelyev, and P. Taylor are thanked for the loan of their BP89 particle counters, and A Clifton and M. Schneebeli for advice on experiment design and snow measurement. S. Bailey, K. Brunt, A. Muto, P. Roberts, R. Ross, O. Sergienko, and S. White provided assistance with fieldwork.</t>
  </si>
  <si>
    <t>10.1016/j.coldregions.2011.08.001</t>
  </si>
  <si>
    <t>871ZJ</t>
  </si>
  <si>
    <t>WOS:000298775900008</t>
  </si>
  <si>
    <t>Levy, R; Cody, R; Crampton, J; Fielding, C; Golledge, N; Harwood, D; Henrys, S; Mckay, R; Naish, T; Ohneiser, C; Wilson, G; Wilson, T; Winter, D</t>
  </si>
  <si>
    <t>Levy, Richard; Cody, Rosemary; Crampton, James; Fielding, Christopher; Golledge, Nick; Harwood, David; Henrys, Stuart; Mckay, Robert; Naish, Timothy; Ohneiser, Christian; Wilson, Gary; Wilson, Terry; Winter, Diane</t>
  </si>
  <si>
    <t>Late Neogene climate and glacial history of the Southern Victoria Land coast from integrated drill core, seismic and outcrop data</t>
  </si>
  <si>
    <t>Neogene; Antarctica; diatom; ANDRILL; quantitative biostratigraphy; climate; tectonics</t>
  </si>
  <si>
    <t>ANTARCTIC ICE-SHEET; PLIOCENE SORSDAL FORMATION; EUSTATIC SEA-LEVEL; PERMANENT EL-NINO; VESTFOLD HILLS; MCMURDO SOUND; WRIGHT VALLEY; QUANTITATIVE BIOSTRATIGRAPHY; DIATOM BIOSTRATIGRAPHY; NEW-ZEALAND</t>
  </si>
  <si>
    <t>Late Neogene stratigraphy of southern Victoria Land Basin is revealed in coastal and offshore drill cores and a network of seismic data in McMurdo Sound, Antarctica. These data preserve a record of ice sheet response to global climate variability and progressive cooling through the past 5 million years. Application of a composite standard age model for diatom event stratigraphy to the McMurdo Sound drill cores provides an internally precise mechanism to correlate stratigraphic data and derive an event history for the basin. These marine records are indirectly compared to data obtained from geological outcrop in the Transantarctic Mountains to produce an integrated history of Antarctic Ice Sheet response to climate variability from the early Pliocene to Recent. Four distinct chronostratigraphic intervals reflect stages and steps in a transition from a relatively warm early Pliocene Antarctic coastal climate to modern cold polar conditions. Several of these stages and steps correlate with global events identified via geochemical proxy data recovered from deep ocean cores in mid to low latitudes. These correlations allow us to consider linkages between the high southern latitudes and tropical regions and establish a temporal framework to examine leads and lags in the climate system through the late Neogene and Quaternary. The relative influence of climate-tectonic feedbacks is discussed in light of glacial erosion and isostatic rebound that also influence the history along the Southern Victoria Land coastal margin. (C) 2011 Elsevier B.V. All rights reserved.</t>
  </si>
  <si>
    <t>[Levy, Richard; Crampton, James; Henrys, Stuart] GNS Sci, Lower Hutt 5040, New Zealand; [Cody, Rosemary; Golledge, Nick; Mckay, Robert; Naish, Timothy] Victoria Univ Wellington, Wellington, New Zealand; [Fielding, Christopher; Harwood, David] Univ Nebraska, Lincoln, NE USA; [Ohneiser, Christian; Wilson, Gary] Univ Otago, Dunedin, New Zealand; [Wilson, Terry] Ohio State Univ, Columbus, OH 43210 USA; [Winter, Diane] Rhithron Associates Inc, Missoula, MT USA</t>
  </si>
  <si>
    <t>GNS Science - New Zealand; Victoria University Wellington; University of Nebraska System; University of Nebraska Lincoln; University of Otago; University System of Ohio; Ohio State University</t>
  </si>
  <si>
    <t>Levy, R (corresponding author), GNS Sci, POB 30368, Lower Hutt 5040, New Zealand.</t>
  </si>
  <si>
    <t>r.levy@gns.cri.nz</t>
  </si>
  <si>
    <t>Wilson, Gary S/B-3803-2010; Ohneiser, Christian/B-5797-2018; Henrys, Stuart/ABD-7378-2020; McKay, Robert/N-2449-2015; Levy, Richard H/E-2477-2011; Crampton, James/G-1381-2012</t>
  </si>
  <si>
    <t>Henrys, Stuart/0000-0002-7164-5274; McKay, Robert/0000-0002-5602-6985; Crampton, James/0000-0003-3270-9981; Golledge, Nicholas/0000-0001-7676-8970; Levy, Richard/0000-0002-8783-0167; Ohneiser, Christian/0000-0002-2781-2522; Wilson, Gary/0000-0003-0025-3641; Naish, Tim/0000-0002-1185-9932</t>
  </si>
  <si>
    <t>US National Science Foundation [0342484]; NZ Ministry of Science and Innovation [C05X0410, C05X1001]; Royal Society of New Zealand; Italian Antarctic Research Programme; German Research Foundation (DFG); Alfred Wegener Institute for Polar and Marine Research (Helmholtz Association of German Research Centres); Antarctica New Zealand; Raytheon Polar Services</t>
  </si>
  <si>
    <t>US National Science Foundation(National Science Foundation (NSF)); NZ Ministry of Science and Innovation; Royal Society of New Zealand(Royal Society of New Zealand); Italian Antarctic Research Programme; German Research Foundation (DFG)(German Research Foundation (DFG)); Alfred Wegener Institute for Polar and Marine Research (Helmholtz Association of German Research Centres); Antarctica New Zealand; Raytheon Polar Services</t>
  </si>
  <si>
    <t>The ANDRILL Program is a multinational collaboration between the Antarctic Programs of Germany, Italy, New Zealand and the United States. Antarctica New Zealand is the project operator, and has developed the drilling system in collaboration with Alex Pyne at Victoria University of Wellington and Webster Drilling and Enterprises Ltd. Scientific studies are jointly supported by the US National Science Foundation (Cooperative Agreement no. 0342484 to the University of Nebraska-Lincoln), NZ Ministry of Science and Innovation (previously NZ Foundation for Research Science and Technology) contracts C05X0410 and C05X1001, Royal Society of New Zealand Marsden Fund, the Italian Antarctic Research Programme, the German Research Foundation (DFG) and the Alfred Wegener Institute for Polar and Marine Research ( Helmholtz Association of German Research Centres). Antarctica New Zealand supported the drilling team at Scott Base; Raytheon Polar Services supported the science team at McMurdo Station and the Crary Science and Engineering Laboratory. The ANDRILL Science Management Office at the University of Nebraska-Lincoln provided science planning and operational support. Comments from two anonymous reviewers enhanced and improved this paper.</t>
  </si>
  <si>
    <t>80-81</t>
  </si>
  <si>
    <t>10.1016/j.gloplacha.2011.10.002</t>
  </si>
  <si>
    <t>883BC</t>
  </si>
  <si>
    <t>WOS:000299606600006</t>
  </si>
  <si>
    <t>Cloutis, EA; Hudon, P; Hiroi, T; Gaffey, MJ</t>
  </si>
  <si>
    <t>Cloutis, E. A.; Hudon, P.; Hiroi, T.; Gaffey, M. J.</t>
  </si>
  <si>
    <t>Spectral reflectance properties of carbonaceous chondrites: 3. CR chondrites</t>
  </si>
  <si>
    <t>Asteroids; Meteorites; Mineralogy; Spectroscopy</t>
  </si>
  <si>
    <t>THERMAL METAMORPHISM; AQUEOUS ALTERATION; REFRACTORY INCLUSIONS; ANOMALOUS PHASES; SILICATE GRAINS; II CHONDRULES; QUE 99177; RENAZZO; OLIVINE; MATRIX</t>
  </si>
  <si>
    <t>Powdered samples of a suite of 14 CR and CR-like chondrites, ranging from petrologic grade 1 to 3, were spectrally characterized over the 0.3-2.5 mu m interval as part of a larger study of carbonaceous chondrite reflectance spectra. Spectral analysis was complicated by absorption bands due to Fe oxyhydroxides near 0.9 mu m, resulting from terrestrial weathering. This absorption feature masks expected absorption bands due to constituent silicates in this region. In spite of this interference, most of the CR spectra Exhibit absorption bands attributable to silicates, in particular an absorption feature due to Fe2+-bearing phyllosilicates near 1.1 mu m. Mafic silicate absorption bands are weak to nonexistent due to a number of factors, including low Fe content, low degree of silicate crystallinity in some cases, and presence of fine-grained, finely dispersed opaques. With increasing aqueous alteration, phyllosilicate: mafic silicate ratios increase, resulting in more resolvable phyllosilicate absorption bands in the 1.1 mu m region. the most phyllosilicate-rich CR chondrite, GRO 95577 (CR1), an additional possible phyllosilicate absorption band is seen at 2.38 mu m. In contrast to CM spectra, CR spectra generally do not exhibit an absorption band in the 0.65-0.7 mu m region, which is attributable to Fe3+-Fe2+ charge transfers, suggesting that CR phyllosilicates are not as Fe3+-rich as CM phyllosilicates. CR2 and CR3 spectra are uniformly red-sloped, likely due to the presence of abundant Fe-Ni metal. Absolute reflectance seems to decrease with increasing degree of aqueous alteration, perhaps due to the formation of fine-grained opaques from pre-existing metal. Overall, CR spectra are characterized by widely varying reflectance (4-21% maximum reflectance), weak silicate absorption bands in the 0.9-1.3 mu m region, overall red slopes, and the lack of an Fe3+-Fe2+ charge transfer absorption band in the 0.65-0.7 mu m region. (C) 2011 Elsevier Inc. All rights reserved.</t>
  </si>
  <si>
    <t>[Cloutis, E. A.] Univ Winnipeg, Dept Geog, Winnipeg, MB R3B 2E9, Canada; [Hudon, P.] NASA Johnson Space Ctr, Astromat Res &amp; Explorat Sci Off, Houston, TX 77058 USA; [Hiroi, T.] Brown Univ, Dept Geol Sci, Providence, RI 02912 USA; [Gaffey, M. J.] Univ N Dakota, Dept Space Studies, Grand Forks, ND 58202 USA</t>
  </si>
  <si>
    <t>University of Winnipeg; National Aeronautics &amp; Space Administration (NASA); NASA Johnson Space Center; Brown University; University of North Dakota Grand Forks</t>
  </si>
  <si>
    <t>Cloutis, EA (corresponding author), Univ Winnipeg, Dept Geog, 515 Portage Ave, Winnipeg, MB R3B 2E9, Canada.</t>
  </si>
  <si>
    <t>e.cloutis@uwinnipeg.ca; pierre.hudon@mcgill.ca; takahiro_hiroi@brown.edu; gaffey@space.edu</t>
  </si>
  <si>
    <t>Hudon, Pierre/E-4994-2010</t>
  </si>
  <si>
    <t>Hiroi, Takahiro/0000-0003-2866-9091</t>
  </si>
  <si>
    <t>NASA [NNG06GJ31G]</t>
  </si>
  <si>
    <t>We wish to thank the invaluable and generous assistance provided by many individuals which made this study possible. We particularly thank Dr. Jeffrey Post of the Smithsonian Institution National Museum of Natural History and Dr. Linda Reinen of Pomona College for providing a number of the mineral samples used in this study, Mr. Neil Ball and Dr. Frank Hawthorne of the University of Manitoba for acquisition of XRD data for the mineral samples, and Dr. Stanley Mertzman for XRF analysis of the mineral samples. The establishment and operation of the Planetary Spectrophotometer Facility (PSF) at the University of Winnipeg was made possible through the assistance of the Canada Foundation for Innovation, the Manitoba Research Innovations Fund, the Canadian Space Agency, the Natural Sciences and Engineering Research Council of Canada (NSERC), and the University of Winnipeg. The RELAB facility at Brown University is a multi-user facility operated with support from NASA Planetary Geology and Geophysics grant NNG06GJ31G, whose support is gratefully acknowledged. We also wish to thank the National Science Foundation, the NASA Meteorite Working Group, and the Japanese National Institute of Polar Research for their efforts in collecting, classifying and distributing Antarctic meteorites to the scientific community. We thank Josep Trigo-Rodriguez and an anonymous reviewer for their many useful suggestions on revising and improving the manuscript.</t>
  </si>
  <si>
    <t>10.1016/j.icarus.2011.11.004</t>
  </si>
  <si>
    <t>876TP</t>
  </si>
  <si>
    <t>WOS:000299130900030</t>
  </si>
  <si>
    <t>Roullet, G; McWilliams, JC; Capet, X; Molemaker, MJ</t>
  </si>
  <si>
    <t>Roullet, G.; McWilliams, J. C.; Capet, X.; Molemaker, M. J.</t>
  </si>
  <si>
    <t>Properties of Steady Geostrophic Turbulence with Isopycnal Outcropping</t>
  </si>
  <si>
    <t>ANTARCTIC CIRCUMPOLAR CURRENT; BETA-PLANE CHANNEL; BAROCLINIC INSTABILITY; SOUTHERN-OCEAN; ENERGY-BALANCE; SURFACE; FLOW; CIRCULATION; EDDIES; MODEL</t>
  </si>
  <si>
    <t>High-resolution simulations of beta-channel, zonal-jet, baroclinic turbulence with a three-dimensional quasigeostrophic (QG) model including surface potential vorticity (PV) are analyzed with emphasis on the competing role of interior and surface PV (associated with isopycnal outcropping). Two distinct regimes are considered: a Phillips case, where the PV gradient changes sign twice in the interior, and a Charney case, where the PV gradient changes sign in the interior and at the surface. The Phillips case is typical of the simplified turbulence test beds that have been widely used to investigate the effect of ocean eddies on ocean tracer distribution and fluxes. The Charney case shares many similarities with recent high-resolution primitive equation simulations. The main difference between the two regimes is indeed an energization of submesoscale turbulence near the surface. The energy cycle is analyzed in the (k, z) plane, where k is the horizontal wavenumber. In the two regimes, the large-scale buoyancy forcing is the primary source of mechanical energy. It sustains an energy cycle in which baroclinic instability converts more available potential energy (APE) to kinetic energy (KE) than the APE directly injected by the forcing. This is due to a conversion of KE to APE at the scale of arrest. All the KE is dissipated at the bottom at large scales, in the limit of infinite resolution and despite the submesoscales energizing in the Charney case. The eddy PV flux is largest at the scale of arrest in both cases. The eddy diffusivity is very smooth but highly nonuniform. The eddy-induced circulation acts to flatten the mean isopycnals in both cases.</t>
  </si>
  <si>
    <t>[Roullet, G.] Lab Phys Oceans, UMR6523, F-29200 Brest, France; [Roullet, G.; McWilliams, J. C.; Molemaker, M. J.] Univ Calif Los Angeles, IGPP, Los Angeles, CA USA</t>
  </si>
  <si>
    <t>Centre National de la Recherche Scientifique (CNRS); CNRS - National Institute for Earth Sciences &amp; Astronomy (INSU); Ifremer; Institut de Recherche pour le Developpement (IRD); University of California System; University of California Los Angeles</t>
  </si>
  <si>
    <t>Roullet, G (corresponding author), Lab Phys Oceans, UMR6523, 6 Ave Le Gorgeu, F-29200 Brest, France.</t>
  </si>
  <si>
    <t>roullet@univ-brest.fr</t>
  </si>
  <si>
    <t>Roullet, Guillaume/L-3998-2015</t>
  </si>
  <si>
    <t>Roullet, Guillaume/0000-0002-7482-864X</t>
  </si>
  <si>
    <t>10.1175/JPO-D-11-09.1</t>
  </si>
  <si>
    <t>882SK</t>
  </si>
  <si>
    <t>WOS:000299584000002</t>
  </si>
  <si>
    <t>Haertel, P; Fedorov, A</t>
  </si>
  <si>
    <t>Haertel, Patrick; Fedorov, Alexey</t>
  </si>
  <si>
    <t>The Ventilated Ocean</t>
  </si>
  <si>
    <t>ANTARCTIC CIRCUMPOLAR CURRENT; LARGE-SCALE CIRCULATION; MERIDIONAL OVERTURNING CIRCULATION; THERMAL STRUCTURE; THERMOHALINE; MODEL; WIND; STRATIFICATION; VARIABILITY; SENSITIVITY</t>
  </si>
  <si>
    <t>Adiabatic theories of ocean circulation and density structure have a long tradition, from the concept of the ventilated thermocline to the notion that deep ocean ventilation is controlled by westerly winds over the Southern Ocean. This study explores these ideas using a recently developed Lagrangian ocean model (LOM). which simulates ocean motions by computing trajectories of water parcels. A unique feature of the LOM is its capacity to model ocean circulations in the adiabatic limit, in which water parcels exactly conserve their densities when they are not in contact with the ocean surface. The authors take advantage of this property of the LOM and consider the circulation and stratification that develop in an ocean with a fully adiabatic interior (with both isopycnal and diapycnal diffusivities set to zero). The ocean basin in the study mimics that of the Atlantic Ocean and includes a circumpolar channel. The model is forced by zonal wind stress and a density restoring at the surface. Despite the idealized geometry, the relatively coarse model resolution, and the lack of atmospheric coupling, the nondiffusive ocean maintains a density structure and meridional overturning that are broadly in line with those observed in the Atlantic Ocean. These are generated by just a handful of key water pathways, including shallow tropical cells described by ventilated thermocline theory; a deep overturning cell in which sinking North Atlantic Deep Water eventually upwells in the Southern Ocean before returning northward as Antarctic Intermediate Water; a Deacon cell that results from a topographically steered and corkscrewing circumpolar current; and weakly overturning Antarctic Bottom Water, which is effectively ventilated only in the Southern Hemisphere. The main conclusion of this study is that the adiabatic limit for the ocean interior provides the leading-order solution for ocean overturning and density structure, with tracer diffusion contributing first-order perturbations. Comparing nondiffusive and diffusive experiments helps to quantify the changes in stratification and circulation that result from adding a moderate amount of tracer diffusion in the ocean model, and these include an increase in the amplitude of the deep meridional overturning cell of several Sverdrups, a 10%-20% increase in Northern Hemispheric northward heat transport, a stronger stratification just below the main thermocline, and a more realistic bottom overturning cell.</t>
  </si>
  <si>
    <t>[Haertel, Patrick; Fedorov, Alexey] Yale Univ, New Haven, CT 06510 USA</t>
  </si>
  <si>
    <t>Yale University</t>
  </si>
  <si>
    <t>Haertel, P (corresponding author), Yale Univ, 210 Whitney Ave, New Haven, CT 06510 USA.</t>
  </si>
  <si>
    <t>patrick.haertel@yale.edu</t>
  </si>
  <si>
    <t>fedorov, alexey/F-1879-2010</t>
  </si>
  <si>
    <t>NSF [OCE-0901921]; Department of Energy Office of Science [DE-FG02-08ER64590]; David and Lucile Packard Foundation; Division Of Ocean Sciences; Directorate For Geosciences [0901921] Funding Source: National Science Foundation</t>
  </si>
  <si>
    <t>NSF(National Science Foundation (NSF)); Department of Energy Office of Science(United States Department of Energy (DOE)); David and Lucile Packard Foundation(The David &amp; Lucile Packard Foundation); Division Of Ocean Sciences; Directorate For Geosciences(National Science Foundation (NSF)NSF - Directorate for Geosciences (GEO))</t>
  </si>
  <si>
    <t>This research was supported in part by grants from NSF (OCE-0901921), Department of Energy Office of Science (DE-FG02-08ER64590), and the David and Lucile Packard Foundation. We thank George Philander, David Marshall, Bill Young, Rui Xin Huang, Geoff Vallis, Joe Pedlosky and Taka Ito for several discussions of this topic.</t>
  </si>
  <si>
    <t>10.1175/2011JPO4590.1</t>
  </si>
  <si>
    <t>WOS:000299584000009</t>
  </si>
  <si>
    <t>Nadeau, LP; Straub, DN</t>
  </si>
  <si>
    <t>Nadeau, Louis-Philippe; Straub, David N.</t>
  </si>
  <si>
    <t>Influence of Wind Stress, Wind Stress Curl, and Bottom Friction on the Transport of a Model Antarctic Circumpolar Current</t>
  </si>
  <si>
    <t>BETA-PLANE CHANNEL; SOUTHERN-OCEAN; DRIVEN; EDDIES; CIRCULATION; DYNAMICS</t>
  </si>
  <si>
    <t>Eddy-permitting simulations of a wind-driven quasigeostrophic model in an idealized Southern Ocean setting are used to attempt to describe what sets the wind-driven circumpolar transport of the Antarctic Circumpolar Current (ACC). For weak forcing, the transport is well described as a linear sum of channel and basin components. The authors' main focus is on stronger forcing. In this regime, an eddy-driven recirculation appears in the abyssal layer, and all time-mean circumpolar streamlines are found to stem from a Sverdrup-like interior. The Sverdrup flux into Drake Passage latitudes can then be thought of as the SUM of one part that feeds the circumpolar current and another that is associated with the recirculation. The relative fractions of this partitioning depend on the bottom drag, the midchannel wind stress, and the wind stress curl. Increasing, the strength of the bottom drag reduces the recirculation and increases circumpolar transport. Increasing a zero-curl eastward wind stress reduces the upper-layer expression of the recirculation and increases the transport. Increasing the curl-containing portion of the forcing (while holding the midchannel stress constant) increases the recirculation and decreases the transport. The weakly forced regime is also considered, as are the relative roles of large and small-scale eddies in transporting momentum vertically through the water column in the Drake Passage latitude band. It is found that the vertical momentum flux associated with transient structures can be used to distinguish between different regimes: these structures transmit momentum upward when the dynamics is dominated by the large-scale recirculation gyre and downward when it is not.</t>
  </si>
  <si>
    <t>[Nadeau, Louis-Philippe] NYU, Courant Inst Math Sci, New York, NY 10012 USA; [Straub, David N.] McGill Univ, Dept Atmospher &amp; Ocean Sci, Montreal, PQ, Canada</t>
  </si>
  <si>
    <t>New York University; McGill University</t>
  </si>
  <si>
    <t>Nadeau, LP (corresponding author), NYU, Courant Inst Math Sci, 251 Mercer St, New York, NY 10012 USA.</t>
  </si>
  <si>
    <t>nadeau@cims.nyu.edu</t>
  </si>
  <si>
    <t>FQRNT; Hydro-Quebec; NSERC</t>
  </si>
  <si>
    <t>FQRNT(FQRNT); Hydro-Quebec; NSERC(Natural Sciences and Engineering Research Council of Canada (NSERC))</t>
  </si>
  <si>
    <t>We thank David Marshall for helpful comments on an earlier version of this manuscript and FQRNT, Hydro-Quebec, and NSERC for their financial support. We also thank two anonymous reviewers for their constructive comments.</t>
  </si>
  <si>
    <t>10.1175/JPO-D-11-058.1</t>
  </si>
  <si>
    <t>WOS:000299584000013</t>
  </si>
  <si>
    <t>Wang, P; Zhang, QH; Wang, T; Chen, WH; Ren, DW; Li, YM; Jiang, GB</t>
  </si>
  <si>
    <t>Wang, Pu; Zhang, Qing-hua; Thanh Wang; Chen, Wei-hai; Ren, Dai-wei; Li, Ying-ming; Jiang, Gui-bin</t>
  </si>
  <si>
    <t>PCBs and PBDEs in environmental samples from King George Island and Ardley Island, Antarctica</t>
  </si>
  <si>
    <t>RSC ADVANCES</t>
  </si>
  <si>
    <t>POLYBROMINATED DIPHENYL ETHERS; POLYCHLORINATED-BIPHENYLS PCBS; PERSISTENT ORGANIC POLLUTANTS; ORGANOCHLORINE PESTICIDES; FLAME RETARDANTS; SOILS; CONGENERS; MOSSES; POLYCHLOROBIPHENYLS; FRACTIONATION</t>
  </si>
  <si>
    <t>The levels and distribution of polychlorinated biphenyls (PCBs) and polybrominated diphenyl ethers (PBDEs) were investigated in various environmental matrices including soil, sediment, lichen (Usnea aurantiaco-atra) and moss (Sanionia uncinata) from Fildes Peninsula at King George Island and Ardley Island, west Antarctica. In general, PCBs and PBDEs were detected at very low levels in the samples collected during December 2009 to February 2010. Themean concentrations of total PCBs were 410 pg g(-1) dry weight (dw) (range 60.1-1436 pg g(-1) dw) in soil and sediment, 544 pg g(-1) dw (404-745 pg g(-1) dw) in lichen and 670 pg g(-1) dw (406-952 pg g(-1) dw) in moss. The lower chlorinated CBs dominated in all the samples except for the dropping-amended soils from Ardley Island, where hexachlorinated congeners were more abundant. Notably, CB-11 was detected at significant levels, accounting for about 20% of total PCBs in most samples, this higher ratio compared to that in the technical mixture might suggest unidentified sources. Average levels of PBDEs were 24.0 pg g(-1) dw (2.76-51.4 pg g(-1) dw) in soil and sediment, 14.2 pg g(-1) dw (7.51-22.3 pg g(-1) dw) in lichen and 15.8 pg g(-1) dw (6.54-36.7 pg g(-1) dw) in moss. BDE-47 dominated the detected congeners, whereas BDE-99 and 71 were more abundant in the dropping-amended soils from Ardley Island. These results indicated that long-range atmospheric transport could be the main pathway of POPs to King George Island although anthropogenic influence (e.g., from research station, tourism and biotic activities) could also influence the spatial distribution of POPs.</t>
  </si>
  <si>
    <t>[Wang, Pu; Zhang, Qing-hua; Thanh Wang; Chen, Wei-hai; Ren, Dai-wei; Li, Ying-ming; Jiang, Gui-bin] Chinese Acad Sci, State Key Lab Environm Chem &amp; Ecotoxicol, Ecoenvironm Sci Res Ctr, Beijing 100085, Peoples R China</t>
  </si>
  <si>
    <t>Chinese Academy of Sciences; Research Center for Eco-Environmental Sciences (RCEES)</t>
  </si>
  <si>
    <t>Wang, P (corresponding author), Chinese Acad Sci, State Key Lab Environm Chem &amp; Ecotoxicol, Ecoenvironm Sci Res Ctr, Beijing 100085, Peoples R China.</t>
  </si>
  <si>
    <t>Wang, Thanh/AAI-4603-2020; zhang, qinghua/HMP-3611-2023; Lin, Lin/JTU-1595-2023; Wang, Thanh/D-1934-2011</t>
  </si>
  <si>
    <t>zhang, qinghua/0000-0002-9707-4051; Wang, Thanh/0000-0002-5729-1908</t>
  </si>
  <si>
    <t>State Oceanic Administration, P.R. China [09/10GW08, 10/11GW02]; National Natural Science Foundation of China [20897011]; National Basic Research Program of China [2009CB421600]</t>
  </si>
  <si>
    <t>This study was jointly supported by the State Oceanic Administration, P.R. China (09/10GW08 and 10/11GW02), National Natural Science Foundation of China (20897011), and National Basic Research Program of China (2009CB421600). We also greatly thank Chinese Arctic and Antarctic Ministration for the arrangement during 26th Chinese Antarctic Expedition.</t>
  </si>
  <si>
    <t>2046-2069</t>
  </si>
  <si>
    <t>RSC ADV</t>
  </si>
  <si>
    <t>RSC Adv.</t>
  </si>
  <si>
    <t>10.1039/c1ra00462j</t>
  </si>
  <si>
    <t>884HK</t>
  </si>
  <si>
    <t>WOS:000299695300021</t>
  </si>
  <si>
    <t>Rotella, JJ; Link, WA; Chambert, T; Stauffer, GE; Garrott, RA</t>
  </si>
  <si>
    <t>Rotella, Jay J.; Link, William A.; Chambert, Thierry; Stauffer, Glenn E.; Garrott, Robert A.</t>
  </si>
  <si>
    <t>Evaluating the demographic buffering hypothesis with vital rates estimated for Weddell seals from 30 years of mark-recapture data</t>
  </si>
  <si>
    <t>JOURNAL OF ANIMAL ECOLOGY</t>
  </si>
  <si>
    <t>demography; environmental canalization; Leptonychotes weddellii; marine mammal; pinniped; population dynamics</t>
  </si>
  <si>
    <t>POPULATION-GROWTH RATE; SOUTHERN ELEPHANT SEALS; AGE-SPECIFIC SURVIVAL; ANTARCTIC FUR SEALS; TEMPORAL VARIATION; LIFE-HISTORIES; ENVIRONMENTAL STOCHASTICITY; CLIMATE-CHANGE; MCMURDO-SOUND; TAG LOSS</t>
  </si>
  <si>
    <t>1. Life-history theory predicts that those vital rates that make larger contributions to population growth rate ought to be more strongly buffered against environmental variability than are those that are less important. Despite the importance of the theory for predicting demographic responses to changes in the environment, it is not yet known how pervasive demographic buffering is in animal populations because the validity of most existing studies has been called into question because of methodological deficiencies. 2. We tested for demographic buffering in the southern-most breeding mammal population in the world using data collected from 5558 known-age female Weddell seals over 30 years. We first estimated all vital rates simultaneously with mark-recapture analysis and then estimated process variance and covariance in those rates using a hierarchical Bayesian approach. We next calculated the population growth rate's sensitivity to changes in each of the vital rates and tested for evidence of demographic buffering by comparing properly scaled values of sensitivity and process variance in vital rates. 3. We found evidence of positive process covariance between vital rates, which indicates that all vital rates are affected in the same direction by changes in annual environment. Despite the positive correlations, we found strong evidence that demographic buffering occurred through reductions in variation in the vital rates to which population growth rate was most sensitive. Process variation in vital rates was inversely related to sensitivity measures such that variation was greatest in breeding probabilities, intermediate for survival rates of young animals and lowest for survival rates of older animals. 4. Our work contributes to a small but growing set of studies that have used rigorous methods on long-term, detailed data to investigate demographic responses to environmental variation. The information from these studies improves our understanding of life-history evolution in stochastic environments and provides useful information for predicting population responses to future environmental change. Our results for an Antarctic apex predator also provide useful baselines from a marine ecosystem when its top-and middle-trophic levels were not substantially impacted by human activity.</t>
  </si>
  <si>
    <t>[Rotella, Jay J.; Chambert, Thierry; Stauffer, Glenn E.; Garrott, Robert A.] Montana State Univ, Dept Ecol, Bozeman, MT 59717 USA; [Link, William A.] US Geol Survey, Patuxent Wildlife Res Ctr, Laurel, MD 20708 USA</t>
  </si>
  <si>
    <t>Montana State University System; Montana State University Bozeman; United States Department of the Interior; United States Geological Survey</t>
  </si>
  <si>
    <t>Rotella, JJ (corresponding author), Montana State Univ, Dept Ecol, Bozeman, MT 59717 USA.</t>
  </si>
  <si>
    <t>rotella@montana.edu</t>
  </si>
  <si>
    <t>Rotella, Jay/0000-0001-7014-7524; Chambert, Thierry/0000-0002-9450-9080</t>
  </si>
  <si>
    <t>National Science Foundation, Division of Polar Programs [DEB-0635739]; NSF; Raytheon Polar Services Company; Antarctic Support Associates; United States Navy and Air Force; Petroleum Helicopters Incorporated</t>
  </si>
  <si>
    <t>National Science Foundation, Division of Polar Programs(National Science Foundation (NSF)); NSF(National Science Foundation (NSF)); Raytheon Polar Services Company; Antarctic Support Associates; United States Navy and Air Force; Petroleum Helicopters Incorporated</t>
  </si>
  <si>
    <t>We thank the many individuals who have worked on projects associated with the Erebus Bay Weddell seal population since the 1960s. We thank J. D. Nichols for helpful suggestions during analysis, and we thank D. B. Siniff for discussions that improved this manuscript. We are grateful to J.-M. Gaillard, J. D. Nichols and two anonymous reviewers for their useful comments on earlier drafts of the manuscript. The project was supported by the National Science Foundation, Division of Polar Programs (grant no. DEB-0635739 to R. A. Garrott, J. J. Rotella, and D. B. Siniff) and prior NSF grants to R. A. Garrott, J. J. Rotella, D. B. Siniff and J. W. Testa. Logistical support for fieldwork in Antarctica was provided by Raytheon Polar Services Company, Antarctic Support Associates, the United States Navy and Air Force, and Petroleum Helicopters Incorporated. Animal handling protocol was approved by Montana State University's Animal Care and Use Committee (Protocol #41-05).</t>
  </si>
  <si>
    <t>0021-8790</t>
  </si>
  <si>
    <t>1365-2656</t>
  </si>
  <si>
    <t>J ANIM ECOL</t>
  </si>
  <si>
    <t>J. Anim. Ecol.</t>
  </si>
  <si>
    <t>10.1111/j.1365-2656.2011.01902.x</t>
  </si>
  <si>
    <t>859BO</t>
  </si>
  <si>
    <t>WOS:000297849300017</t>
  </si>
  <si>
    <t>Born, C; le Roux, PC; Spohr, C; McGeoch, MA; van Vuuren, BJ</t>
  </si>
  <si>
    <t>Born, Celine; le Roux, Peter C.; Spohr, Colin; McGeoch, Melodie A.; van Vuuren, Bettine Jansen</t>
  </si>
  <si>
    <t>Plant dispersal in the sub-Antarctic inferred from anisotropic genetic structure</t>
  </si>
  <si>
    <t>anisotropic spatial autocorrelations; Azorella selago; Marion Island; SGS; wind-dispersal</t>
  </si>
  <si>
    <t>SPATIAL AUTOCORRELATION ANALYSIS; LONG-DISTANCE DISPERSAL; RAIN-FOREST TREE; SEED DISPERSAL; AZORELLA-SELAGO; KERGUELEN ISLANDS; NEOTROPICAL TREE; POLLEN DISPERSAL; CLIMATE-CHANGE; WIND</t>
  </si>
  <si>
    <t>Climatic conditions and landscape features often strongly affect species local distribution patterns, dispersal, reproduction and survival and may therefore have considerable impacts on species fine-scale spatial genetic structure (SGS). In this study, we demonstrate the efficacy of combining fine-scale SGS analyses with isotropic and anisotropic spatial autocorrelation techniques to infer the impact of wind patterns on plant dispersal processes. We genotyped 1304 Azorella selago (Apiaceae) specimens, a wind-pollinated and wind-dispersed plant, from four populations distributed across sub-Antarctic Marion Island. SGS was variable with Sp values ranging from 0.001 to 0.014, suggesting notable variability in dispersal distance and wind velocities between sites. Nonetheless, the data supported previous hypotheses of a strong NWSE gradient in wind strength across the island. Anisotropic autocorrelation analyses further suggested that dispersal is strongly directional, but varying between sites depending on the local prevailing winds. Despite the high frequency of gale-force winds on Marion Island, gene dispersal distance estimates (s) were surprisingly low (&lt;10 m), most probably because of a low pollen dispersal efficiency. An SGS approach in association with isotropic and anisotropic analyses provides a powerful means to assess the relative influence of abiotic factors on dispersal and allow inferences that would not be possible without this combined approach.</t>
  </si>
  <si>
    <t>[Born, Celine; Spohr, Colin; van Vuuren, Bettine Jansen] Univ Stellenbosch, Evolutionary Genom Grp, Dept Bot &amp; Zool, ZA-7602 Matieland, South Africa; [le Roux, Peter C.; McGeoch, Melodie A.; van Vuuren, Bettine Jansen] Univ Stellenbosch, Ctr Invas Biol, Dept Bot &amp; Zool, ZA-7602 Matieland, South Africa; [McGeoch, Melodie A.] S African Natl Pk, Cape Res Ctr, ZA-7947 Steenberg, South Africa</t>
  </si>
  <si>
    <t>Stellenbosch University; Stellenbosch University</t>
  </si>
  <si>
    <t>Born, C (corresponding author), Univ Stellenbosch, Evolutionary Genom Grp, Dept Bot &amp; Zool, Private Bag X1, ZA-7602 Matieland, South Africa.</t>
  </si>
  <si>
    <t>celineborn@gmail.com</t>
  </si>
  <si>
    <t>Born, Céline/F-8385-2011; Jansen van Vuuren, Bettine/E-6227-2013; le Roux, Peter Christiaan/E-7784-2011; McGeoch, Melodie/F-8353-2011</t>
  </si>
  <si>
    <t>Jansen van Vuuren, Bettine/0000-0002-5334-5358; le Roux, Peter Christiaan/0000-0002-7941-7444; McGeoch, Melodie/0000-0003-3388-2241</t>
  </si>
  <si>
    <t>Stellenbosch University; South African National Research Foundation; AXA Research Fund; South African Department of Environmental Affairs and Tourism: Antarctica and Islands; Centre for Invasion Biology</t>
  </si>
  <si>
    <t>Stellenbosch University; South African National Research Foundation(National Research Foundation - South Africa); AXA Research Fund(AXA Research Fund); South African Department of Environmental Affairs and Tourism: Antarctica and Islands; Centre for Invasion Biology</t>
  </si>
  <si>
    <t>This research was funded by Stellenbosch University and the South African National Research Foundation (through a South African National Antarctic Programme research grant to BJVV and MAM). CB is the beneficiary of a postdoctoral grant from the AXA Research Fund. Sampling was conducted during the 2009 Marion Island relief voyage, which was logistically supported and funded by the South African Department of Environmental Affairs and Tourism: Antarctica and Islands through the South African National Antarctic Programme. PCLR received additional funding from the Centre for Invasion Biology. We are especially grateful to Mashudu Mashau, Jesse Kalwij and Steven Chown for their generous help in the field, as well as Mia Cerfonteyn and Gayle Pedersen for laboratory assistance. We also thank anonymous reviewers for their helpful and very constructive comments on earlier versions of the manuscript.</t>
  </si>
  <si>
    <t>10.1111/j.1365-294X.2011.05372.x</t>
  </si>
  <si>
    <t>869FO</t>
  </si>
  <si>
    <t>WOS:000298582700015</t>
  </si>
  <si>
    <t>Galin, N; Worby, A; Markus, T; Leuschen, C; Gogineni, P</t>
  </si>
  <si>
    <t>Galin, Natalia; Worby, Anthony; Markus, Thorsten; Leuschen, Carl; Gogineni, Prasad</t>
  </si>
  <si>
    <t>Validation of Airborne FMCW Radar Measurements of Snow Thickness Over Sea Ice in Antarctica</t>
  </si>
  <si>
    <t>IEEE TRANSACTIONS ON GEOSCIENCE AND REMOTE SENSING</t>
  </si>
  <si>
    <t>Airborne; Antarctica; frequency modulated continuous wave (FMCW); sea ice; snow</t>
  </si>
  <si>
    <t>DIELECTRIC-PROPERTIES; SIGNATURES</t>
  </si>
  <si>
    <t>Antarctic sea ice and its snow cover are integral components of the global climate system, yet many aspects of their vertical dimensions are poorly understood, making their representation in global climate models poor. Remote sensing is the key to monitoring the dynamic nature of sea ice and its snow cover. Reliable and accurate snow thickness data are currently a highly sought after data product. Remotely sensed snow thickness measurements can provide an indication of precipitation levels, predicted to increase with effects of climate change in the polar regions. Airborne techniques provide a means for regional-scale estimation of snow depth and distribution. Accurate regional-scale snow thickness data will also facilitate an increase in the accuracy of sea ice thickness retrieval from satellite altimeter freeboard estimates. The airborne data sets are easier to validate with in situ measurements and are better suited to validating satellite algorithms when compared with in situ techniques. This is primarily due to two factors: better chance of getting coincident in situ and airborne data sets and the tractability of comparison between an in situ data set and the airborne data set averaged over the footprint of the antennas. A 2-8-GHz frequency modulated continuous wave (FMCW) radar loaned by the Center for Remote Sensing of Ice Sheets to the Australian Antarctic Division is used to measure snow thickness over sea ice in East Antarctica. Provided with the radar design parameters, the expected performance parameters of the radar are summarized. The necessary conditions for unambiguous identification of the air/snow and snow/ice layers for the radar are presented. Roughnesses of the snow and ice surfaces are found to be dominant determinants in the effectiveness of layer identification for this radar. Finally, this paper presents the first in situ validated snow thickness estimates over sea ice in Antarctica derived from an FMCW radar on a helicopterborne platform.</t>
  </si>
  <si>
    <t>[Galin, Natalia] UCL, Ctr Polar Observat &amp; Modelling, London WC1E 6BT, England; [Worby, Anthony] Australian Antarctic Div, Kingston, Tas 7050, Australia; [Markus, Thorsten] NASA, Goddard Space Flight Ctr, Cryospher Sci Branch, Hydrospher &amp; Biospher Sci Lab, Greenbelt, MD 20771 USA; [Leuschen, Carl; Gogineni, Prasad] Univ Kansas, Lawrence, KS 66045 USA</t>
  </si>
  <si>
    <t>University of London; University College London; Australian Antarctic Division; National Aeronautics &amp; Space Administration (NASA); NASA Goddard Space Flight Center; University of Kansas</t>
  </si>
  <si>
    <t>Galin, N (corresponding author), UCL, Ctr Polar Observat &amp; Modelling, Mortimer St, London WC1E 6BT, England.</t>
  </si>
  <si>
    <t>n.galin@ucl.ac.uk; A.Worby@utas.edu.au; thorsten.markus@nasa.gov; leuschen@eecs.ku.edu; gogineni@cresis.ku.edu</t>
  </si>
  <si>
    <t>Markus, Thorsten/D-5365-2012</t>
  </si>
  <si>
    <t>0196-2892</t>
  </si>
  <si>
    <t>1558-0644</t>
  </si>
  <si>
    <t>IEEE T GEOSCI REMOTE</t>
  </si>
  <si>
    <t>IEEE Trans. Geosci. Remote Sensing</t>
  </si>
  <si>
    <t>10.1109/TGRS.2011.2159121</t>
  </si>
  <si>
    <t>Geochemistry &amp; Geophysics; Engineering, Electrical &amp; Electronic; Remote Sensing; Imaging Science &amp; Photographic Technology</t>
  </si>
  <si>
    <t>Geochemistry &amp; Geophysics; Engineering; Remote Sensing; Imaging Science &amp; Photographic Technology</t>
  </si>
  <si>
    <t>872BS</t>
  </si>
  <si>
    <t>WOS:000298782000001</t>
  </si>
  <si>
    <t>Ghidan, OY; Loss, RD</t>
  </si>
  <si>
    <t>Ghidan, Osama Y.; Loss, Robert D.</t>
  </si>
  <si>
    <t>Zinc isotope fractionation analyses by thermal ionization mass spectrometry and a double spiking technique</t>
  </si>
  <si>
    <t>INTERNATIONAL JOURNAL OF MASS SPECTROMETRY</t>
  </si>
  <si>
    <t>Zinc; TIMS; Double Spiking; Isotope fractionation</t>
  </si>
  <si>
    <t>STABLE-ISOTOPES; ZN ISOTOPE; IRON; CU; COPPER; PB; DISCRIMINATION; GEOCHEMISTRY; DEPOSITIONS; CHONDRITES</t>
  </si>
  <si>
    <t>The aim of this work was to develop thermal ionization mass spectrometry (TIMS) isotopic procedures to measure Zn isotope fractionation (delta Zn) in natural materials. This work represents the most recent development of Zn isotope measurements and the first delta Zn identification in terrestrial materials using TIMS and a double spike technique. The developed procedures evaluate and solve several critical analytical issues involved in TIMS Zn isotope analysis. For example, no more than 1 mu g Zn was used for isotopic analyses which, considering the high ionization potential and low thermal ionization of Zn, represents a useful breakthrough in Zn isotope TIMS analysis. The effect of the ion exchange process on delta Zn was assessed and found equal to +0.07 +/- 0.02 parts per thousand amu(-1) per column. The ionization efficiency of Zn was enhanced to 0.22 +/- 0.07%, which is four times more than what was achieved previously. The magnitude of delta Zn accompanied by the 95% confidence associated uncertainties were calculated relative to the IRMM 3702, using a Monte Carlo approach for each individual analysis, while the calculated average of delta Zn for number of analysis was accompanied by a 95% confidence calculated using GUM Workbench software. delta Zn values where always calculated using two different sets of isotopes which always agreed within uncertainty. These developments enabled sub-per mil delta Zn to be revealed relative to delta Zn zero for natural materials. Most of the samples measured are Standard Reference Materials SRMs, where, except for BCR-1 and BIR-1, this is the first time Zn isotopic fractionation has been measured in these samples. No previously published results for Zn isotopic fractionation have been published on these samples using double spiking. Consistent delta Zn of similar to+ 0.3 parts per thousand amu(-1) was found in 5 sediments from a range of localities. delta Zn in two metamorphic samples is similar to that found in igneous rocks but different to that found in sedimentary rocks, which is consistent with our understanding that high temperature and pressure processes do not fractionate the composition of chalcophile elements. The isotope fractionation of Zn in a clay sample is within uncertainties the same as the sediments. The isotope fractionation of Zn of -0.088 +/- 0.070 parts per thousand amu(-1) was also measured in a standard rice sample. delta Zn in Antarctic Krill of +0.21 +/- 0.11 parts per thousand amu(-1) was found to be similar to the average delta Zn of +0.281 +/- 0.083 parts per thousand amu(-1) for marine sediments. River water was fractionated by -1.09 +/- 0.70 parts per thousand amu(-1), while restrained tap water yielded the maximum isotope fractionation of -6.39 +/- 0.62 parts per thousand amu(-1). delta Zn in high pure Zn standard materials ranged from 5.11 +/- 0.36 parts per thousand amu(-1) for AE 10760 to +0.12 +/- 0.16 parts per thousand amu(-1) for Zn IRMM 10440 with some evidence for a relationship between Zn isotope fractionation and its purity. All of the measured isotope fractionation yields an atomic weight within the IUPAC atomic weight of Zn. (C) 2011 Elsevier B.V. All rights reserved.</t>
  </si>
  <si>
    <t>[Ghidan, Osama Y.; Loss, Robert D.] Curtin Univ Technol, Dept Appl Phys &amp; Med Imaging, Perth, WA 6845, Australia</t>
  </si>
  <si>
    <t>Ghidan, OY (corresponding author), Balga Appl Univ, Fac Engn Technol, Dept Appl Sci, Amman 11134, Jordan.</t>
  </si>
  <si>
    <t>Osama.Ghidan@Fet.edu.jo</t>
  </si>
  <si>
    <t>Ghidan, Osama/I-3225-2017</t>
  </si>
  <si>
    <t>Ghidan, Osama/0000-0003-0370-0961</t>
  </si>
  <si>
    <t>1387-3806</t>
  </si>
  <si>
    <t>1873-2798</t>
  </si>
  <si>
    <t>INT J MASS SPECTROM</t>
  </si>
  <si>
    <t>Int. J. Mass Spectrom.</t>
  </si>
  <si>
    <t>10.1016/j.ijms.2011.09.001</t>
  </si>
  <si>
    <t>Physics, Atomic, Molecular &amp; Chemical; Spectroscopy</t>
  </si>
  <si>
    <t>Physics; Spectroscopy</t>
  </si>
  <si>
    <t>875VK</t>
  </si>
  <si>
    <t>WOS:000299063100011</t>
  </si>
  <si>
    <t>Cullather, RI; Bosilovich, MG</t>
  </si>
  <si>
    <t>Cullather, Richard I.; Bosilovich, Michael G.</t>
  </si>
  <si>
    <t>The Energy Budget of the Polar Atmosphere in MERRA</t>
  </si>
  <si>
    <t>IN-SITU; DATA ASSIMILATION; RADIATION BUDGET; EAST ANTARCTICA; ANNUAL CYCLE; HEAT-BUDGET; SURFACE; BALANCE; OCEAN; VARIABILITY</t>
  </si>
  <si>
    <t>Components of the atmospheric energy budget from the Modern-Era Retrospective Analysis for Research and Applications (MERRA) are evaluated in polar regions for the period 1979-2005 and compared with previous estimates, in situ observations, and contemporary reanalyses. Closure of the budget is reflected by the analysis increments term, which indicates an energy surplus of 11 W m(-2) over the North Polar cap (70 degrees-90 degrees N) and 22 W m(-2) over the South Polar cap (70 degrees-90 degrees S). Total atmospheric energy convergence from MERRA compares favorably with previous studies for northern high latitudes but exceeds the available previous estimate for the South Polar cap by 46%. Discrepancies with the Southern Hemisphere energy transport are largest in autumn and may be related to differences in topography with earlier reanalyses. For the Arctic; differences between MERRA and other sources in top of atmosphere (TOA) and surface radiative fluxes are largest in May. These differences are concurrent with the largest discrepancies between MERRA parameterized and observed surface albedo. For May, in situ observations of the upwelling shortwave flux in the Arctic are 80 W m(-2) larger than MERRA, while the MERRA downwelling longwave flux is underestimated by 12 W m(-2) throughout the year. Over grounded ice sheets, the annual mean net surface energy flux in MERRA is erroneously nonzero. Contemporary reanalyses from the Climate Forecast Center (CFSR) and the Interim Re-Analyses of the European Centre for Medium-Range Weather Forecasts (ERA-I) are found to have better surface parameterizations; however, these reanalyses also disagree with observed surface and TOA energy fluxes. Discrepancies among available reanalyses underscore the challenge of reproducing credible estimates of the atmospheric energy budget in polar regions.</t>
  </si>
  <si>
    <t>[Cullather, Richard I.; Bosilovich, Michael G.] NASA, Goddard Space Flight Ctr, Global Modeling &amp; Assimilat Off, Greenbelt, MD 20771 USA; [Cullather, Richard I.] Univ Maryland, Earth Syst Sci Interdisciplinary Ctr, College Pk, MD 20742 USA</t>
  </si>
  <si>
    <t>National Aeronautics &amp; Space Administration (NASA); NASA Goddard Space Flight Center; University System of Maryland; University of Maryland College Park</t>
  </si>
  <si>
    <t>Cullather, RI (corresponding author), NASA, Goddard Space Flight Ctr, Global Modeling &amp; Assimilat Off, GSFC Code 610-1,8800 Greenbelt Rd, Greenbelt, MD 20771 USA.</t>
  </si>
  <si>
    <t>richard.cullather@nasa.gov</t>
  </si>
  <si>
    <t>Bosilovich, Michael/F-8175-2012; Keyes, Dennis/AAZ-9285-2021</t>
  </si>
  <si>
    <t>NASA; NASA Energy and Water Cycle Study (NEWS)</t>
  </si>
  <si>
    <t>NASA(National Aeronautics &amp; Space Administration (NASA)); NASA Energy and Water Cycle Study (NEWS)</t>
  </si>
  <si>
    <t>Data from the Surface Heat Budget of the Arctic Ocean experiment (SHEBA) were obtained from the University of Washington Department of Atmospheric Sciences, Seattle, Washington. Reference Antarctic Data for Environmental Research (READER) is a project of the Scientific Committee on Antarctic Research (SCAR) and were obtained from British Antarctic Survey (BAS), Cambridge, United Kingdom. Arctic station values from the Integrated Surface Database (ISD) and the Integrated Rawinsonde Global Rawinsonde Archive (IGRA) were obtained from the National Climate Data Center, Asheville, North Carolina. The ERA-I was obtained from the Data Support Section at the National Center for Atmospheric Research. The CFSR was obtained from the National Climate Data Center. This study was funded by grants from the NASA Modeling Analysis and Prediction Program (MAP) and the NASA Energy and Water Cycle Study (NEWS) to the second author.</t>
  </si>
  <si>
    <t>10.1175/2011JCLI4138.1</t>
  </si>
  <si>
    <t>876TG</t>
  </si>
  <si>
    <t>WOS:000299130000002</t>
  </si>
  <si>
    <t>Schmidtko, S; Johnson, GC</t>
  </si>
  <si>
    <t>Schmidtko, Sunke; Johnson, Gregory C.</t>
  </si>
  <si>
    <t>Multidecadal Warming and Shoaling of Antarctic Intermediate Water</t>
  </si>
  <si>
    <t>SOUTHERN-OCEAN; HYDROLOGICAL CYCLE; DECADAL CHANGES; MASS CHANGES; PACIFIC; NORTH; CIRCULATION; ATLANTIC; TRENDS; MODE</t>
  </si>
  <si>
    <t>Antarctic Intermediate Water (AAIW) is a dominant Southern Hemisphere water mass that spreads from its formation regions just north of the Antarctic Circumpolar Current (ACC) to at least 20 degrees S in all oceans. This study uses an isopycnal climatology constructed from Argo conductivity-temperature-depth (CTD) profile data to define the current state of the AAIW salinity minimum (its core) and thence compute anomalies of AAIW core pressure, potential temperature, salinity, and potential density since the mid-1970s from ship-based CTD profiles. The results are used to calculate maps of temporal property trends at the AAIW core, where statistically significant strong circumpolar shoaling (30-50 dbar decade(-1)), warming (0.05 degrees-0.15 degrees C decade(-1)), and density reductions [up to -0.03 (kg m(-3)) decade(-1)] are found. These trends are strongest just north of the ACC in the southeast Pacific and Atlantic Oceans and decrease equatorward. Salinity trends are generally small, with their sign varying regionally. Bottle data are used to extend the AAIW core potential temperature anomaly analysis back to 1925 in the Atlantic and to similar to 1960 elsewhere. The modern warm AAIW core conditions appear largely unprecedented in the historical record: biennially and zonally binned median AAIW core potential temperatures within each ocean basin are, with the notable exception of the subtropical South Atlantic in the 1950s-70s, 0.2-1 degrees C colder than modern values. Zonally averaged sea surface temperature anomalies around the AAIW formation latitudes in each ocean and sectoral southern annular mode indices are used to put the AAIW core property trends and variations into context.</t>
  </si>
  <si>
    <t>[Schmidtko, Sunke; Johnson, Gregory C.] Natl Ocean &amp; Atmospher Adm, Pacific Marine Environm Lab, Seattle, WA USA</t>
  </si>
  <si>
    <t>Schmidtko, S (corresponding author), Univ E Anglia, Sch Environm Sci, Norwich NR4 7TJ, Norfolk, England.</t>
  </si>
  <si>
    <t>s.schmidtko@uea.ac.uk</t>
  </si>
  <si>
    <t>Johnson, Gregory C/0000-0002-8023-4020; Schmidtko, Sunke/0000-0003-3272-7055</t>
  </si>
  <si>
    <t>NOAA Climate Program Office; NOAA Office of Oceanic and Atmospheric Research</t>
  </si>
  <si>
    <t>NOAA Climate Program Office(National Oceanic Atmospheric Admin (NOAA) - USA); NOAA Office of Oceanic and Atmospheric Research(National Oceanic Atmospheric Admin (NOAA) - USA)</t>
  </si>
  <si>
    <t>Float data used here were collected and made freely available by Argo (http://www.argo.net/), a program of the Global Ocean Observing System, and contributing national programs. Our heartfelt thanks go to all those who helped to collect, calibrate, and process Argo, WOCE, and GO-SHIP data analyzed here. Comments of two anonymous reviewers helped to improve the manuscript. The findings and conclusions in this article are those of the authors and do not necessarily reflect the views of the National Oceanic and Atmospheric Administration (NOAA). The NOAA Climate Program Office and the NOAA Office of Oceanic and Atmospheric Research supported this analysis.</t>
  </si>
  <si>
    <t>10.1175/JCLI-D-11-00021.1</t>
  </si>
  <si>
    <t>WOS:000299130000013</t>
  </si>
  <si>
    <t>Sijp, WP; England, MH</t>
  </si>
  <si>
    <t>Sijp, Willem P.; England, Matthew H.</t>
  </si>
  <si>
    <t>Precise Calculations of the Existence of Multiple AMOC Equilibria in Coupled Climate Models. Part II: Transient Behavior</t>
  </si>
  <si>
    <t>THERMOHALINE CIRCULATION STABILITY; BOX MODEL</t>
  </si>
  <si>
    <t>In Part I of this paper an evolution equation for the Atlantic salinity and the reverse cell strength in the North Atlantic Deep Water (NADW) OFF state was formulated. Here, an analytical solution to this equation is used to test its validity in the context of transient solutions. In this study several transient scenarios in the general circulation model are examined to determine the accuracy of the predictions made with the material in Part I. The authors also determine how well the basic premises of Part I hold throughout these transient behaviors. The unstable equilibria (S) over bar (unst) that mark the upper boundary of the OFF state attraction basin are elucidated by the time-dependent behavior shown here. Transient equilibration from one stable NADW OFF state to another in response to changes in the anomalous salt flux H is accurately described by the evolution equation. The theory also explains the distribution of decay times for the NADW OFF state around the maximum critical Atlantic surface flux. Exceedingly long collapse times in excess of 50 000 years are found for surface flux values slightly in excess of the critical value.</t>
  </si>
  <si>
    <t>[Sijp, Willem P.; England, Matthew H.] Univ New S Wales, CCRC, Sydney, NSW 2052, Australia</t>
  </si>
  <si>
    <t>Sijp, WP (corresponding author), Univ New S Wales, CCRC, Sydney, NSW 2052, Australia.</t>
  </si>
  <si>
    <t>England, Matthew/A-7539-2011; Sijp, Willem P/E-5988-2012</t>
  </si>
  <si>
    <t>England, Matthew/0000-0001-9696-2930; Sijp, Willem/0000-0002-5971-3860</t>
  </si>
  <si>
    <t>Australian Research Council; Australiar Antarctic Science Program</t>
  </si>
  <si>
    <t>Australian Research Council(Australian Research Council); Australiar Antarctic Science Program</t>
  </si>
  <si>
    <t>We thank the University of Victoria staff for support in usage of the their coupled climate model. This research was supported by the Australian Research Council and the Australiar Antarctic Science Program. We thank Marc d'Orgeville for an internal review and Bruce Henry from the School of Mathematics at the University of New South Wales for help in deriving the time-dependent solutions [Eqs. (1) and (2)] to the evolution equation shown in Part II.</t>
  </si>
  <si>
    <t>10.1175/2011JCLI4246.1</t>
  </si>
  <si>
    <t>WOS:000299130000018</t>
  </si>
  <si>
    <t>Dubischar, CD; Pakhomov, EA; von Harbou, L; Hunt, BPV; Bathmann, UV</t>
  </si>
  <si>
    <t>Dubischar, C. D.; Pakhomov, E. A.; von Harbou, L.; Hunt, B. P. V.; Bathmann, U. V.</t>
  </si>
  <si>
    <t>Salps in the Lazarev Sea, Southern Ocean: II. Biochemical composition and potential prey value</t>
  </si>
  <si>
    <t>KRILL EUPHAUSIA-SUPERBA; MARGINAL ICE-ZONE; ELEMENTAL COMPOSITION; THALIA-DEMOCRATICA; PELAGIC TUNICATES; THOMPSONI ECOLOGY; CARBON FLUX; FOOD-WEB; ZOOPLANKTON; FISH</t>
  </si>
  <si>
    <t>Two species of salps, Salpa thompsoni and Ihlea racovitzai, were sampled during three cruises to the Lazarev Sea, Southern Ocean, in summer (December-January) 2005/2006, Autumn (April-May) 2004 and Winter (July-August) 2006. Dry weight, carbon, nitrogen, protein, lipid and carbohydrate contents were measured to characterize the potential value of salps as a food source for predators in the Antarctic ecosystem. Biochemical composition measurements showed that despite having a high percentage of water (similar to 94% of wet weight), both species had relatively high carbon and protein contents in their remaining dry weight (DW). In particular I. racovitzai showed high carbon (up to 22% of DW) and protein (up to 32% of DW) values during all seasons sampled, compared to lower values for S. thompsoni (carbon content only about 15% of the DW, protein content about 10% of the DW). At the same time, carbohydrates (CH) and lipids (Lip) only accounted for a small portion of salp DW in both species (1.4% CH and 3.6% Lip for I. racovitzai; 2.1% CH and 2.9% Lip for S. thompsoni). There was little variability in the biochemical composition of either salp species between the seasons sampled. Both biochemical composition and life cycle characteristics suggest that Antarctic salps, especially I. racovitzai, may be important prey items for both cold and warm-blooded predators in an environment where food is often very scarce.</t>
  </si>
  <si>
    <t>[Dubischar, C. D.; von Harbou, L.; Bathmann, U. V.] Alfred Wegener Inst Polar &amp; Marine Res, D-27515 Bremerhaven, Germany; [Pakhomov, E. A.; Hunt, B. P. V.] Univ British Columbia, Dept Earth &amp; Ocean Sci, Vancouver, BC V6T 1Z4, Canada</t>
  </si>
  <si>
    <t>Helmholtz Association; Alfred Wegener Institute, Helmholtz Centre for Polar &amp; Marine Research; University of British Columbia</t>
  </si>
  <si>
    <t>Dubischar, CD (corresponding author), Alfred Wegener Inst Polar &amp; Marine Res, Handelshafen 12, D-27515 Bremerhaven, Germany.</t>
  </si>
  <si>
    <t>Corinna.Dubischar@awi.de</t>
  </si>
  <si>
    <t>German LAKRIS (Bundesministerium fur Bildung und Forschung, BMBF Forschungsvorhaben) [03F0406A/B]; German National Science Foundation (DFG) [BA-1508/5-1]</t>
  </si>
  <si>
    <t>German LAKRIS (Bundesministerium fur Bildung und Forschung, BMBF Forschungsvorhaben)(Federal Ministry of Education &amp; Research (BMBF)); German National Science Foundation (DFG)(German Research Foundation (DFG))</t>
  </si>
  <si>
    <t>We thank the captains, the officers and the crew of the RV Polarstern for their skilful help during all three cruises. We also are very grateful to Matthias Brenner, John Kitchener, Leigh Gurney, Gesine Schmidt and Volker Siegel for invaluable assistance in sample collection. Special thanks go to Carsten Pape for his help with the carbohydrate measurements and to Stefanie Meyer and Leona Schulze for their help with the biochemical analyses. Additionally, we want to thank the assistant editor and two anonymous reviewers for their very valuable and helpful comments on the manuscript. The surveys were financially supported by the German LAKRIS Project (Bundesministerium fur Bildung und Forschung, BMBF Forschungsvorhaben 03F0406A/B). The Alexander von Humboldt Foundation supported a Research stay of EAP at the Alfred Wegener Institute (AWI). Parts of this study were financially supported by a grant of the German National Science Foundation (DFG, grant number BA-1508/5-1).</t>
  </si>
  <si>
    <t>10.1007/s00227-011-1785-5</t>
  </si>
  <si>
    <t>877RF</t>
  </si>
  <si>
    <t>WOS:000299198900002</t>
  </si>
  <si>
    <t>Abrantes, KG; Semmens, JM; Lyle, JM; Nichols, PD</t>
  </si>
  <si>
    <t>Abrantes, Katya G.; Semmens, Jayson M.; Lyle, Jeremy M.; Nichols, Peter D.</t>
  </si>
  <si>
    <t>Normalisation models for accounting for fat content in stable isotope measurements in salmonid muscle tissue</t>
  </si>
  <si>
    <t>FOOD-WEB STRUCTURE; LIPID EXTRACTION; FISH-TISSUES; CARBON ISOTOPES; DELTA-N-15 VALUES; FEEDING LEVEL; DELTA-C-13; RATIOS; FRACTIONATION; NITROGEN</t>
  </si>
  <si>
    <t>Stable isotope analysis is increasingly used in ecological studies. Because lipid content influences delta(13)C, lipids should be removed from lipid-rich samples before delta(13)C analysis. To account for differences in delta(13)C arising from differences in lipid content, relationships between lipid content, C:N ratio and Delta delta(13)C with lipid removal can be used to normalise lipid content to uniform levels. We investigate these relationships for salmonid muscle and evaluate the suitability of previously published normalisation equations for these fish. Salmonids with a wide range of condition (muscle lipid content = 3-35% of dry weight) were considered. There were no consistent relationships between lipid content or C:N ratio and Delta delta(13)N. There were linear relationships between C:N ratio and lipid content (L = -16.53 + 6.27 x C:N); C:N ratio and Delta delta(13)C (Delta delta(13)C = -1.87 + 0.65 x C:N); and lipid content and Delta delta(13)C (Delta delta(13)C = 0.01 + 0.10 x L), which should be used on salmonid stable isotope studies.</t>
  </si>
  <si>
    <t>[Abrantes, Katya G.; Semmens, Jayson M.; Lyle, Jeremy M.] Univ Tasmania, Inst Marine &amp; Antarctic Studies, Fisheries Aquaculture &amp; Coasts Ctr, Hobart, Tas 7001, Australia; [Nichols, Peter D.] CSIRO Marine &amp; Atmospher Res, Hobart, Tas 7001, Australia</t>
  </si>
  <si>
    <t>Abrantes, KG (corresponding author), Katholieke Univ Leuven, Dept Earth &amp; Environm Sci, Kasteelpk Arenberg 20, B-3001 Heverlee, Belgium.</t>
  </si>
  <si>
    <t>Katya.Abrantes@gmail.com</t>
  </si>
  <si>
    <t>Nichols, Peter D/C-5128-2011; Lyle, Jeremy/J-7170-2014</t>
  </si>
  <si>
    <t>Semmens, Jayson/0000-0003-1742-6692; abrantes, katya/0000-0001-8648-8817; Lyle, Jeremy/0000-0001-9670-5854</t>
  </si>
  <si>
    <t>Cradle Coast Natural Resource Management; Australian Government's Natural Heritage Trust</t>
  </si>
  <si>
    <t>Cradle Coast Natural Resource Management; Australian Government's Natural Heritage Trust(Australian Government)</t>
  </si>
  <si>
    <t>We thank Graeme Ewing and Adam Barnett for help in the field and the anonymous reviewers for their constructive comments. Zack Wingfield from Tassal Pty Ltd provided farmed Atlantic salmon and Barry McClure from Petuna Seafarms farmed rainbow trout. Justin Clarke, Matt Gaby, Andrew Blenkhorn and Doug Keep provided muscle samples from their catch. Research was conducted under the General Fisheries Permit no. 7068 (DPIPWE, Tasmania). All research procedures received approval from the Animal Ethics Committee, University of Tasmania (Ethics Approval A0010272). This project was supported by Cradle Coast Natural Resource Management through funding from the Australian Government's Natural Heritage Trust.</t>
  </si>
  <si>
    <t>10.1007/s00227-011-1789-1</t>
  </si>
  <si>
    <t>WOS:000299198900006</t>
  </si>
  <si>
    <t>Mittlefehldt, DW; Beck, AW; Lee, CTA; Mcsween, HY; Buchanan, PC</t>
  </si>
  <si>
    <t>Mittlefehldt, David W.; Beck, Andrew W.; Lee, Cin-Ty A.; Mcsween, Harry Y., Jr.; Buchanan, Paul C.</t>
  </si>
  <si>
    <t>Compositional constraints on the genesis of diogenites</t>
  </si>
  <si>
    <t>EUCRITE PARENT BODY; ORTHO-PYROXENE; OLIVINE DIOGENITES; ASTEROID VESTA; CORE FORMATION; GEOCHEMISTRY; PETROLOGY; INSIGHTS; COEFFICIENTS; HOWARDITES</t>
  </si>
  <si>
    <t>We have done bulk rock compositional analyses (INAA, ICP-MS) and petrologic study of a suite of diogenite meteorites. Most contain orthopyroxenes with mg#s of 70.679.0. Meteorite Hills (MET) 00425 is magnesian (mg# of 83.9). Lewis Cliff (LEW) 88011 contains orthopyroxene grains of varying mg# (76.368.6). Queen Alexandra Range (QUE) 93009 (orthopyroxene mg# 70.6) contains coarse-grained noritic clasts (plagioclase An84.788.3), and is rich in incompatible trace elements. It has Eu/Eu* &lt; 1, indicating that cumulate norites do not dominate its trace element inventory. Queen Alexandra Range 93009 may be transitional between diogenites and magnesian cumulate eucrites. Lewis Cliff 88679, a dimict breccia of harzburgite and orthopyroxenite, has anomalously low concentrations of highly incompatible elements (e.g., Nb, La, Ta, U) compared to other diogenites, but is similar to them in less highly incompatible elements (e.g., Y, Zr, Yb, Hf). It is unlikely that this characteristic reflects a low proportion of a trapped melt component. The highly incompatible elements were likely mobilized after impact mixing of the two parent lithologies. Graves Nunataks 98108 shows an extreme range in Eu/Eu* attributable to the heterogeneous distribution of plagioclase; one sample has the lowest Eu/Eu* among diogenites. We find no compelling evidence to support the hypothesis that diogenite parent magmas were contaminated by partial melts of the eucritic crust. We posit that subsolidus equilibration between orthopyroxene and minor/trace phases (including phosphates) resulted in preferential redistribution of Eu2+ relative to Eu3+ and other rare earth elements, and results in anomalously low Eu/Eu* in samples leached in acids that dissolve phosphates.</t>
  </si>
  <si>
    <t>[Mittlefehldt, David W.] NASA, Mail Code KR, Astromat Res Off, Lyndon B Johnson Space Ctr, Houston, TX 77058 USA; [Beck, Andrew W.; Mcsween, Harry Y., Jr.] Univ Tennessee, Dept Earth &amp; Planetary Sci, Knoxville, TN 37996 USA; [Beck, Andrew W.; Mcsween, Harry Y., Jr.] Univ Tennessee, Planetary Geosci Inst, Knoxville, TN 37996 USA; [Lee, Cin-Ty A.] Rice Univ, Dept Earth Sci, Houston, TX 77005 USA; [Buchanan, Paul C.] Kilgore Coll, Kilgore, TX 75662 USA</t>
  </si>
  <si>
    <t>National Aeronautics &amp; Space Administration (NASA); NASA Johnson Space Center; University of Tennessee System; University of Tennessee Knoxville; University of Tennessee System; University of Tennessee Knoxville; Rice University</t>
  </si>
  <si>
    <t>Mittlefehldt, DW (corresponding author), NASA, Mail Code KR, Astromat Res Off, Lyndon B Johnson Space Ctr, Houston, TX 77058 USA.</t>
  </si>
  <si>
    <t>david.w.mittlefehldt@nasa.gov</t>
  </si>
  <si>
    <t>Lee, Cin-Ty/AAV-8155-2021; Mittlefehldt, David/JUV-2877-2023; Lee, Cin-Ty/A-5469-2008; Beck, Andrew/J-7215-2015</t>
  </si>
  <si>
    <t>Lee, Cin-Ty/0000-0002-3586-0110; Beck, Andrew/0000-0003-4455-2299; Buchanan, Paul/0000-0003-1648-6079</t>
  </si>
  <si>
    <t>National Science Foundation; Meteorite Working Group, NASA JSC; National Museum of Natural History (Smithsonian Institution); NASA [NNG06GG36G]</t>
  </si>
  <si>
    <t>National Science Foundation(National Science Foundation (NSF)); Meteorite Working Group, NASA JSC; National Museum of Natural History (Smithsonian Institution)(Smithsonian InstitutionSmithsonian National Museum of Natural History); NASA(National Aeronautics &amp; Space Administration (NASA))</t>
  </si>
  <si>
    <t>We thank the National Science Foundation for funding the ANSMET collecting teams that brought back the Antarctic samples studied here, and the Meteorite Working Group, NASA JSC, and the National Museum of Natural History (Smithsonian Institution) for allocation of the samples. We thank K. J. Domanik and the late M. J. Drake of the University of Arizona for providing the sample of Bilanga studied here. This work was funded through the NASA Cosmochemistry Program to D. W. M. and Cosmochemistry grant NNG06GG36G to H. Y. M. We thank MAPS AE R. Korotev and referees J.-A. Barrat and anonymous'' for thorough reviews and editorial handling that greatly improved the quality of this article.</t>
  </si>
  <si>
    <t>10.1111/j.1945-5100.2011.01314.x</t>
  </si>
  <si>
    <t>871NC</t>
  </si>
  <si>
    <t>WOS:000298743900005</t>
  </si>
  <si>
    <t>Osyczka, P; Mleczko, P; Karasinski, D; Chlebicki, A</t>
  </si>
  <si>
    <t>Osyczka, Piotr; Mleczko, Piotr; Karasinski, Dariusz; Chlebicki, Andrzej</t>
  </si>
  <si>
    <t>Timber transported to Antarctica: a potential and undesirable carrier for alien fungi and insects</t>
  </si>
  <si>
    <t>Non-native; Human impact; Cargo; Wood; Removal; Antarctic conservation</t>
  </si>
  <si>
    <t>Antarctica's severe climate and its geographical isolation are the factors that hinder the arrival of non-native species by natural means. However, the movement of people and cargo associated with national scientific programs and tourism render Antarctica much more accessible to exotic organisms. Both the transport routes and carriers are varied. The wide range of uses to which timber is put means that it is readily freighted to Antarctic stations. However, it can harbor numerous alien organisms. All the timber materials transported to the Arctowski station for the 32nd Polish Antarctic Expedition in the 2007/2008 season were scanned as a potential vector for alien species. This study focuses on the non-lichenized fungi and insects which were found on the timber. Four species of perithecia-forming Ascomycota, five species of corticioid and polyporoid Basidiomycota, four unidentified basidiomycetes taxa in form of sterile mycelia, and two insects belonging to Cerambycidae, were detected. Most of these 'hitch-hikers' were connected with the untreated parts of the timber. Their enduring survival in harsh Antarctic conditions is regarded as highly improbable. Nevertheless, some ascocarps frequently contained vital spores, and live insect larvae and imago were found in hibernation. The results also emphasize that such organisms can be accidentally transported to Antarctica and that the elementary rules for the eventual safe transport of non-infected goods should be obeyed and respected.</t>
  </si>
  <si>
    <t>[Osyczka, Piotr] Jagiellonian Univ, Inst Bot, Dept Polar Res &amp; Documentat, PL-31501 Krakow, Poland; [Mleczko, Piotr] Jagiellonian Univ, Inst Bot, Dept Plant Taxon &amp; Phytogeog, PL-31501 Krakow, Poland; [Karasinski, Dariusz; Chlebicki, Andrzej] Polish Acad Sci, W Szafer Inst Bot, Dept Mycol, PL-31512 Krakow, Poland</t>
  </si>
  <si>
    <t>Jagiellonian University; Jagiellonian University; Polish Academy of Sciences; W. Szafer Institute of Botany of the Polish Academy of Sciences</t>
  </si>
  <si>
    <t>Osyczka, P (corresponding author), Jagiellonian Univ, Inst Bot, Dept Polar Res &amp; Documentat, Kopernika 27, PL-31501 Krakow, Poland.</t>
  </si>
  <si>
    <t>piotr.osyczka@uj.edu.pl</t>
  </si>
  <si>
    <t>Karasinski, Dariusz/0000-0003-0068-5815; Osyczka, Piotr/0000-0003-4999-4897; Chlebicki, Andrzej/0000-0002-7001-2782</t>
  </si>
  <si>
    <t>Department of Antarctic Biology, Polish Academy of Sciences; Ministry of Science and Higher Education [IPY/27/2007]</t>
  </si>
  <si>
    <t>Department of Antarctic Biology, Polish Academy of Sciences; Ministry of Science and Higher Education(Ministry of Science and Higher Education, Poland)</t>
  </si>
  <si>
    <t>The field survey was made possible by the logistical and financial support of the Department of Antarctic Biology, Polish Academy of Sciences. Special thanks are due to expeditionary teams and all persons who accompanied and helped me during the 32nd Polish Antarctic Expedition to Arctowski station. We are very grateful to Dr Robert Rossa (Krakow) who confirmed identification of insect's imago and identified larvae. The work is part of the Aliens in Antarctica project realized as part of the International Polar Year (IPY) 2007-2008 and recommended by SCAR (Scientific Committee on Antarctic Research) and EBA (Evolution and Biodiversity in Antarctic) programs. This study was supported by the Ministry of Science and Higher Education (special grant no. IPY/27/2007).</t>
  </si>
  <si>
    <t>10.1007/s10530-011-9991-0</t>
  </si>
  <si>
    <t>870CH</t>
  </si>
  <si>
    <t>Green Submitted, hybrid</t>
  </si>
  <si>
    <t>WOS:000298646200003</t>
  </si>
  <si>
    <t>The Usefulness of Edible and Medicinal Fabaceae in Argentine and Chilean Patagonia: Environmental Availability and Other Sources of Supply</t>
  </si>
  <si>
    <t>EVIDENCE-BASED COMPLEMENTARY AND ALTERNATIVE MEDICINE</t>
  </si>
  <si>
    <t>WILD PLANT KNOWLEDGE; MAPUCHE COMMUNITY; PATTERNS; WEEDS; FOOD; CONSUMPTION; POPOLUCA; ECOLOGY; LEGUMES; MEXICO</t>
  </si>
  <si>
    <t>Fabaceae is of great ethnobotanical importance in indigenous and urban communities throughout the world. This work presents a revision of the use of Fabaceae as a food and/or medicinal resource in Argentine-Chilean Patagonia. It is based on a bibliographical analysis of 27 ethnobotanical sources and catalogues of regional flora. Approximately 234 wild species grow in Patagonia, mainly (60%) in arid environments, whilst the remainder belong to Sub-Antarctic forest. It was found that 12.8% (30 species), mainly woody, conspicuous plants, are collected for food or medicines. Most of the species used grow in arid environments. Cultivation and purchase/barter enrich the Fabaceae offer, bringing it up to a total of 63 species. The richness of native and exotic species, and the existence of multiple strategies for obtaining these plants, indicates hybridization of knowledge and practices. Only 22% of the total species used are mentioned in bothcontexts of food and medicine, reflecting low-use complementation. This study suggests a significant ecological appearance and a high level of availability in shops and exchange networks in Patagonia, highlighting the need to consider the full set of environmental and socioeconomic factors in research related to the use and cultural importance of plants in regional contexts.</t>
  </si>
  <si>
    <t>[Molares, Soledad; Ladio, Ana] Univ Nacl Comahue CONICET, INIBIOMA, RA-8400 San Carlos De Bariloche, Rio Negro, Argentina</t>
  </si>
  <si>
    <t>Ladio, A (corresponding author), Univ Nacl Comahue CONICET, INIBIOMA, Quintral 1250, RA-8400 San Carlos De Bariloche, Rio Negro, Argentina.</t>
  </si>
  <si>
    <t>Consejo Nacional de Investigaciones Cientificas y Tecnicas de la Argentina (CONICET); Universidad Nacional del Comahue; FONCYT [PICT 13593]; CONICET [PIP 02289]</t>
  </si>
  <si>
    <t>Consejo Nacional de Investigaciones Cientificas y Tecnicas de la Argentina (CONICET); Universidad Nacional del Comahue; FONCYT(FONCyT); CONICET(Consejo Nacional de Investigaciones Cientificas y Tecnicas (CONICET))</t>
  </si>
  <si>
    <t>This research has been carried out thanks to the support of the Consejo Nacional de Investigaciones Cientificas y Tecnicas de la Argentina (CONICET), along with grants provided by the Universidad Nacional del Comahue, FONCYT (PICT 13593) and CONICET (PIP 02289).</t>
  </si>
  <si>
    <t>1741-427X</t>
  </si>
  <si>
    <t>1741-4288</t>
  </si>
  <si>
    <t>EVID-BASED COMPL ALT</t>
  </si>
  <si>
    <t>Evid.-based Complement Altern. Med.</t>
  </si>
  <si>
    <t>10.1155/2012/901918</t>
  </si>
  <si>
    <t>Integrative &amp; Complementary Medicine</t>
  </si>
  <si>
    <t>872KV</t>
  </si>
  <si>
    <t>WOS:000298809200001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</si>
</sst>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74</v>
      </c>
      <c r="AB2" t="s">
        <v>87</v>
      </c>
      <c r="AC2" t="s">
        <v>88</v>
      </c>
      <c r="AD2" t="s">
        <v>89</v>
      </c>
      <c r="AE2" t="s">
        <v>90</v>
      </c>
      <c r="AF2" t="s">
        <v>74</v>
      </c>
      <c r="AG2">
        <v>101</v>
      </c>
      <c r="AH2">
        <v>13</v>
      </c>
      <c r="AI2">
        <v>15</v>
      </c>
      <c r="AJ2">
        <v>0</v>
      </c>
      <c r="AK2">
        <v>0</v>
      </c>
      <c r="AL2" t="s">
        <v>91</v>
      </c>
      <c r="AM2" t="s">
        <v>92</v>
      </c>
      <c r="AN2" t="s">
        <v>93</v>
      </c>
      <c r="AO2" t="s">
        <v>94</v>
      </c>
      <c r="AP2" t="s">
        <v>95</v>
      </c>
      <c r="AQ2" t="s">
        <v>74</v>
      </c>
      <c r="AR2" t="s">
        <v>77</v>
      </c>
      <c r="AS2" t="s">
        <v>96</v>
      </c>
      <c r="AT2" t="s">
        <v>97</v>
      </c>
      <c r="AU2">
        <v>2012</v>
      </c>
      <c r="AV2" t="s">
        <v>74</v>
      </c>
      <c r="AW2">
        <v>3310</v>
      </c>
      <c r="AX2" t="s">
        <v>74</v>
      </c>
      <c r="AY2" t="s">
        <v>74</v>
      </c>
      <c r="AZ2" t="s">
        <v>74</v>
      </c>
      <c r="BA2" t="s">
        <v>74</v>
      </c>
      <c r="BB2">
        <v>1</v>
      </c>
      <c r="BC2">
        <v>50</v>
      </c>
      <c r="BD2" t="s">
        <v>74</v>
      </c>
      <c r="BE2" t="s">
        <v>74</v>
      </c>
      <c r="BF2" t="s">
        <v>74</v>
      </c>
      <c r="BG2" t="s">
        <v>74</v>
      </c>
      <c r="BH2" t="s">
        <v>74</v>
      </c>
      <c r="BI2">
        <v>50</v>
      </c>
      <c r="BJ2" t="s">
        <v>98</v>
      </c>
      <c r="BK2" t="s">
        <v>99</v>
      </c>
      <c r="BL2" t="s">
        <v>98</v>
      </c>
      <c r="BM2" t="s">
        <v>100</v>
      </c>
      <c r="BN2" t="s">
        <v>74</v>
      </c>
      <c r="BO2" t="s">
        <v>74</v>
      </c>
      <c r="BP2" t="s">
        <v>74</v>
      </c>
      <c r="BQ2" t="s">
        <v>74</v>
      </c>
      <c r="BR2" t="s">
        <v>101</v>
      </c>
      <c r="BS2" t="s">
        <v>102</v>
      </c>
      <c r="BT2" t="str">
        <f>HYPERLINK("https%3A%2F%2Fwww.webofscience.com%2Fwos%2Fwoscc%2Ffull-record%2FWOS:000304174100001","View Full Record in Web of Science")</f>
        <v>View Full Record in Web of Science</v>
      </c>
    </row>
    <row r="3" spans="1:72" x14ac:dyDescent="0.15">
      <c r="A3" t="s">
        <v>72</v>
      </c>
      <c r="B3" t="s">
        <v>103</v>
      </c>
      <c r="C3" t="s">
        <v>74</v>
      </c>
      <c r="D3" t="s">
        <v>74</v>
      </c>
      <c r="E3" t="s">
        <v>74</v>
      </c>
      <c r="F3" t="s">
        <v>104</v>
      </c>
      <c r="G3" t="s">
        <v>74</v>
      </c>
      <c r="H3" t="s">
        <v>74</v>
      </c>
      <c r="I3" t="s">
        <v>105</v>
      </c>
      <c r="J3" t="s">
        <v>106</v>
      </c>
      <c r="K3" t="s">
        <v>74</v>
      </c>
      <c r="L3" t="s">
        <v>74</v>
      </c>
      <c r="M3" t="s">
        <v>78</v>
      </c>
      <c r="N3" t="s">
        <v>79</v>
      </c>
      <c r="O3" t="s">
        <v>74</v>
      </c>
      <c r="P3" t="s">
        <v>74</v>
      </c>
      <c r="Q3" t="s">
        <v>74</v>
      </c>
      <c r="R3" t="s">
        <v>74</v>
      </c>
      <c r="S3" t="s">
        <v>74</v>
      </c>
      <c r="T3" t="s">
        <v>74</v>
      </c>
      <c r="U3" t="s">
        <v>107</v>
      </c>
      <c r="V3" t="s">
        <v>108</v>
      </c>
      <c r="W3" t="s">
        <v>109</v>
      </c>
      <c r="X3" t="s">
        <v>110</v>
      </c>
      <c r="Y3" t="s">
        <v>111</v>
      </c>
      <c r="Z3" t="s">
        <v>112</v>
      </c>
      <c r="AA3" t="s">
        <v>113</v>
      </c>
      <c r="AB3" t="s">
        <v>114</v>
      </c>
      <c r="AC3" t="s">
        <v>115</v>
      </c>
      <c r="AD3" t="s">
        <v>116</v>
      </c>
      <c r="AE3" t="s">
        <v>117</v>
      </c>
      <c r="AF3" t="s">
        <v>74</v>
      </c>
      <c r="AG3">
        <v>35</v>
      </c>
      <c r="AH3">
        <v>52</v>
      </c>
      <c r="AI3">
        <v>53</v>
      </c>
      <c r="AJ3">
        <v>0</v>
      </c>
      <c r="AK3">
        <v>7</v>
      </c>
      <c r="AL3" t="s">
        <v>118</v>
      </c>
      <c r="AM3" t="s">
        <v>119</v>
      </c>
      <c r="AN3" t="s">
        <v>120</v>
      </c>
      <c r="AO3" t="s">
        <v>121</v>
      </c>
      <c r="AP3" t="s">
        <v>122</v>
      </c>
      <c r="AQ3" t="s">
        <v>74</v>
      </c>
      <c r="AR3" t="s">
        <v>123</v>
      </c>
      <c r="AS3" t="s">
        <v>124</v>
      </c>
      <c r="AT3" t="s">
        <v>125</v>
      </c>
      <c r="AU3">
        <v>2012</v>
      </c>
      <c r="AV3">
        <v>117</v>
      </c>
      <c r="AW3" t="s">
        <v>74</v>
      </c>
      <c r="AX3" t="s">
        <v>74</v>
      </c>
      <c r="AY3" t="s">
        <v>74</v>
      </c>
      <c r="AZ3" t="s">
        <v>74</v>
      </c>
      <c r="BA3" t="s">
        <v>74</v>
      </c>
      <c r="BB3" t="s">
        <v>74</v>
      </c>
      <c r="BC3" t="s">
        <v>74</v>
      </c>
      <c r="BD3" t="s">
        <v>126</v>
      </c>
      <c r="BE3" t="s">
        <v>127</v>
      </c>
      <c r="BF3" t="str">
        <f>HYPERLINK("http://dx.doi.org/10.1029/2011JD017246","http://dx.doi.org/10.1029/2011JD017246")</f>
        <v>http://dx.doi.org/10.1029/2011JD017246</v>
      </c>
      <c r="BG3" t="s">
        <v>74</v>
      </c>
      <c r="BH3" t="s">
        <v>74</v>
      </c>
      <c r="BI3">
        <v>13</v>
      </c>
      <c r="BJ3" t="s">
        <v>128</v>
      </c>
      <c r="BK3" t="s">
        <v>99</v>
      </c>
      <c r="BL3" t="s">
        <v>128</v>
      </c>
      <c r="BM3" t="s">
        <v>129</v>
      </c>
      <c r="BN3" t="s">
        <v>74</v>
      </c>
      <c r="BO3" t="s">
        <v>130</v>
      </c>
      <c r="BP3" t="s">
        <v>74</v>
      </c>
      <c r="BQ3" t="s">
        <v>74</v>
      </c>
      <c r="BR3" t="s">
        <v>101</v>
      </c>
      <c r="BS3" t="s">
        <v>131</v>
      </c>
      <c r="BT3" t="str">
        <f>HYPERLINK("https%3A%2F%2Fwww.webofscience.com%2Fwos%2Fwoscc%2Ffull-record%2FWOS:000304008900003","View Full Record in Web of Science")</f>
        <v>View Full Record in Web of Science</v>
      </c>
    </row>
    <row r="4" spans="1:72" x14ac:dyDescent="0.15">
      <c r="A4" t="s">
        <v>72</v>
      </c>
      <c r="B4" t="s">
        <v>132</v>
      </c>
      <c r="C4" t="s">
        <v>74</v>
      </c>
      <c r="D4" t="s">
        <v>74</v>
      </c>
      <c r="E4" t="s">
        <v>74</v>
      </c>
      <c r="F4" t="s">
        <v>133</v>
      </c>
      <c r="G4" t="s">
        <v>74</v>
      </c>
      <c r="H4" t="s">
        <v>74</v>
      </c>
      <c r="I4" t="s">
        <v>134</v>
      </c>
      <c r="J4" t="s">
        <v>135</v>
      </c>
      <c r="K4" t="s">
        <v>74</v>
      </c>
      <c r="L4" t="s">
        <v>74</v>
      </c>
      <c r="M4" t="s">
        <v>78</v>
      </c>
      <c r="N4" t="s">
        <v>79</v>
      </c>
      <c r="O4" t="s">
        <v>74</v>
      </c>
      <c r="P4" t="s">
        <v>74</v>
      </c>
      <c r="Q4" t="s">
        <v>74</v>
      </c>
      <c r="R4" t="s">
        <v>74</v>
      </c>
      <c r="S4" t="s">
        <v>74</v>
      </c>
      <c r="T4" t="s">
        <v>74</v>
      </c>
      <c r="U4" t="s">
        <v>136</v>
      </c>
      <c r="V4" t="s">
        <v>137</v>
      </c>
      <c r="W4" t="s">
        <v>138</v>
      </c>
      <c r="X4" t="s">
        <v>139</v>
      </c>
      <c r="Y4" t="s">
        <v>140</v>
      </c>
      <c r="Z4" t="s">
        <v>141</v>
      </c>
      <c r="AA4" t="s">
        <v>74</v>
      </c>
      <c r="AB4" t="s">
        <v>142</v>
      </c>
      <c r="AC4" t="s">
        <v>143</v>
      </c>
      <c r="AD4" t="s">
        <v>144</v>
      </c>
      <c r="AE4" t="s">
        <v>145</v>
      </c>
      <c r="AF4" t="s">
        <v>74</v>
      </c>
      <c r="AG4">
        <v>31</v>
      </c>
      <c r="AH4">
        <v>304</v>
      </c>
      <c r="AI4">
        <v>318</v>
      </c>
      <c r="AJ4">
        <v>3</v>
      </c>
      <c r="AK4">
        <v>132</v>
      </c>
      <c r="AL4" t="s">
        <v>146</v>
      </c>
      <c r="AM4" t="s">
        <v>147</v>
      </c>
      <c r="AN4" t="s">
        <v>148</v>
      </c>
      <c r="AO4" t="s">
        <v>149</v>
      </c>
      <c r="AP4" t="s">
        <v>150</v>
      </c>
      <c r="AQ4" t="s">
        <v>74</v>
      </c>
      <c r="AR4" t="s">
        <v>135</v>
      </c>
      <c r="AS4" t="s">
        <v>151</v>
      </c>
      <c r="AT4" t="s">
        <v>125</v>
      </c>
      <c r="AU4">
        <v>2012</v>
      </c>
      <c r="AV4">
        <v>485</v>
      </c>
      <c r="AW4">
        <v>7397</v>
      </c>
      <c r="AX4" t="s">
        <v>74</v>
      </c>
      <c r="AY4" t="s">
        <v>74</v>
      </c>
      <c r="AZ4" t="s">
        <v>74</v>
      </c>
      <c r="BA4" t="s">
        <v>74</v>
      </c>
      <c r="BB4">
        <v>225</v>
      </c>
      <c r="BC4">
        <v>228</v>
      </c>
      <c r="BD4" t="s">
        <v>74</v>
      </c>
      <c r="BE4" t="s">
        <v>152</v>
      </c>
      <c r="BF4" t="str">
        <f>HYPERLINK("http://dx.doi.org/10.1038/nature11064","http://dx.doi.org/10.1038/nature11064")</f>
        <v>http://dx.doi.org/10.1038/nature11064</v>
      </c>
      <c r="BG4" t="s">
        <v>74</v>
      </c>
      <c r="BH4" t="s">
        <v>74</v>
      </c>
      <c r="BI4">
        <v>4</v>
      </c>
      <c r="BJ4" t="s">
        <v>153</v>
      </c>
      <c r="BK4" t="s">
        <v>99</v>
      </c>
      <c r="BL4" t="s">
        <v>154</v>
      </c>
      <c r="BM4" t="s">
        <v>155</v>
      </c>
      <c r="BN4">
        <v>22575964</v>
      </c>
      <c r="BO4" t="s">
        <v>156</v>
      </c>
      <c r="BP4" t="s">
        <v>74</v>
      </c>
      <c r="BQ4" t="s">
        <v>74</v>
      </c>
      <c r="BR4" t="s">
        <v>101</v>
      </c>
      <c r="BS4" t="s">
        <v>157</v>
      </c>
      <c r="BT4" t="str">
        <f>HYPERLINK("https%3A%2F%2Fwww.webofscience.com%2Fwos%2Fwoscc%2Ffull-record%2FWOS:000303799800038","View Full Record in Web of Science")</f>
        <v>View Full Record in Web of Science</v>
      </c>
    </row>
    <row r="5" spans="1:72" x14ac:dyDescent="0.15">
      <c r="A5" t="s">
        <v>72</v>
      </c>
      <c r="B5" t="s">
        <v>158</v>
      </c>
      <c r="C5" t="s">
        <v>74</v>
      </c>
      <c r="D5" t="s">
        <v>74</v>
      </c>
      <c r="E5" t="s">
        <v>74</v>
      </c>
      <c r="F5" t="s">
        <v>159</v>
      </c>
      <c r="G5" t="s">
        <v>74</v>
      </c>
      <c r="H5" t="s">
        <v>74</v>
      </c>
      <c r="I5" t="s">
        <v>160</v>
      </c>
      <c r="J5" t="s">
        <v>77</v>
      </c>
      <c r="K5" t="s">
        <v>74</v>
      </c>
      <c r="L5" t="s">
        <v>74</v>
      </c>
      <c r="M5" t="s">
        <v>78</v>
      </c>
      <c r="N5" t="s">
        <v>79</v>
      </c>
      <c r="O5" t="s">
        <v>74</v>
      </c>
      <c r="P5" t="s">
        <v>74</v>
      </c>
      <c r="Q5" t="s">
        <v>74</v>
      </c>
      <c r="R5" t="s">
        <v>74</v>
      </c>
      <c r="S5" t="s">
        <v>74</v>
      </c>
      <c r="T5" t="s">
        <v>161</v>
      </c>
      <c r="U5" t="s">
        <v>162</v>
      </c>
      <c r="V5" t="s">
        <v>163</v>
      </c>
      <c r="W5" t="s">
        <v>164</v>
      </c>
      <c r="X5" t="s">
        <v>165</v>
      </c>
      <c r="Y5" t="s">
        <v>166</v>
      </c>
      <c r="Z5" t="s">
        <v>167</v>
      </c>
      <c r="AA5" t="s">
        <v>74</v>
      </c>
      <c r="AB5" t="s">
        <v>74</v>
      </c>
      <c r="AC5" t="s">
        <v>168</v>
      </c>
      <c r="AD5" t="s">
        <v>169</v>
      </c>
      <c r="AE5" t="s">
        <v>170</v>
      </c>
      <c r="AF5" t="s">
        <v>74</v>
      </c>
      <c r="AG5">
        <v>111</v>
      </c>
      <c r="AH5">
        <v>6</v>
      </c>
      <c r="AI5">
        <v>6</v>
      </c>
      <c r="AJ5">
        <v>0</v>
      </c>
      <c r="AK5">
        <v>2</v>
      </c>
      <c r="AL5" t="s">
        <v>91</v>
      </c>
      <c r="AM5" t="s">
        <v>92</v>
      </c>
      <c r="AN5" t="s">
        <v>93</v>
      </c>
      <c r="AO5" t="s">
        <v>94</v>
      </c>
      <c r="AP5" t="s">
        <v>95</v>
      </c>
      <c r="AQ5" t="s">
        <v>74</v>
      </c>
      <c r="AR5" t="s">
        <v>77</v>
      </c>
      <c r="AS5" t="s">
        <v>96</v>
      </c>
      <c r="AT5" t="s">
        <v>125</v>
      </c>
      <c r="AU5">
        <v>2012</v>
      </c>
      <c r="AV5" t="s">
        <v>74</v>
      </c>
      <c r="AW5">
        <v>3307</v>
      </c>
      <c r="AX5" t="s">
        <v>74</v>
      </c>
      <c r="AY5" t="s">
        <v>74</v>
      </c>
      <c r="AZ5" t="s">
        <v>74</v>
      </c>
      <c r="BA5" t="s">
        <v>74</v>
      </c>
      <c r="BB5">
        <v>1</v>
      </c>
      <c r="BC5">
        <v>34</v>
      </c>
      <c r="BD5" t="s">
        <v>74</v>
      </c>
      <c r="BE5" t="s">
        <v>74</v>
      </c>
      <c r="BF5" t="s">
        <v>74</v>
      </c>
      <c r="BG5" t="s">
        <v>74</v>
      </c>
      <c r="BH5" t="s">
        <v>74</v>
      </c>
      <c r="BI5">
        <v>34</v>
      </c>
      <c r="BJ5" t="s">
        <v>98</v>
      </c>
      <c r="BK5" t="s">
        <v>99</v>
      </c>
      <c r="BL5" t="s">
        <v>98</v>
      </c>
      <c r="BM5" t="s">
        <v>171</v>
      </c>
      <c r="BN5" t="s">
        <v>74</v>
      </c>
      <c r="BO5" t="s">
        <v>74</v>
      </c>
      <c r="BP5" t="s">
        <v>74</v>
      </c>
      <c r="BQ5" t="s">
        <v>74</v>
      </c>
      <c r="BR5" t="s">
        <v>101</v>
      </c>
      <c r="BS5" t="s">
        <v>172</v>
      </c>
      <c r="BT5" t="str">
        <f>HYPERLINK("https%3A%2F%2Fwww.webofscience.com%2Fwos%2Fwoscc%2Ffull-record%2FWOS:000303890400001","View Full Record in Web of Science")</f>
        <v>View Full Record in Web of Science</v>
      </c>
    </row>
    <row r="6" spans="1:72" x14ac:dyDescent="0.15">
      <c r="A6" t="s">
        <v>72</v>
      </c>
      <c r="B6" t="s">
        <v>173</v>
      </c>
      <c r="C6" t="s">
        <v>74</v>
      </c>
      <c r="D6" t="s">
        <v>74</v>
      </c>
      <c r="E6" t="s">
        <v>74</v>
      </c>
      <c r="F6" t="s">
        <v>174</v>
      </c>
      <c r="G6" t="s">
        <v>74</v>
      </c>
      <c r="H6" t="s">
        <v>74</v>
      </c>
      <c r="I6" t="s">
        <v>175</v>
      </c>
      <c r="J6" t="s">
        <v>176</v>
      </c>
      <c r="K6" t="s">
        <v>74</v>
      </c>
      <c r="L6" t="s">
        <v>74</v>
      </c>
      <c r="M6" t="s">
        <v>78</v>
      </c>
      <c r="N6" t="s">
        <v>79</v>
      </c>
      <c r="O6" t="s">
        <v>74</v>
      </c>
      <c r="P6" t="s">
        <v>74</v>
      </c>
      <c r="Q6" t="s">
        <v>74</v>
      </c>
      <c r="R6" t="s">
        <v>74</v>
      </c>
      <c r="S6" t="s">
        <v>74</v>
      </c>
      <c r="T6" t="s">
        <v>74</v>
      </c>
      <c r="U6" t="s">
        <v>177</v>
      </c>
      <c r="V6" t="s">
        <v>178</v>
      </c>
      <c r="W6" t="s">
        <v>179</v>
      </c>
      <c r="X6" t="s">
        <v>180</v>
      </c>
      <c r="Y6" t="s">
        <v>181</v>
      </c>
      <c r="Z6" t="s">
        <v>182</v>
      </c>
      <c r="AA6" t="s">
        <v>74</v>
      </c>
      <c r="AB6" t="s">
        <v>183</v>
      </c>
      <c r="AC6" t="s">
        <v>184</v>
      </c>
      <c r="AD6" t="s">
        <v>185</v>
      </c>
      <c r="AE6" t="s">
        <v>186</v>
      </c>
      <c r="AF6" t="s">
        <v>74</v>
      </c>
      <c r="AG6">
        <v>38</v>
      </c>
      <c r="AH6">
        <v>75</v>
      </c>
      <c r="AI6">
        <v>90</v>
      </c>
      <c r="AJ6">
        <v>1</v>
      </c>
      <c r="AK6">
        <v>56</v>
      </c>
      <c r="AL6" t="s">
        <v>118</v>
      </c>
      <c r="AM6" t="s">
        <v>119</v>
      </c>
      <c r="AN6" t="s">
        <v>120</v>
      </c>
      <c r="AO6" t="s">
        <v>187</v>
      </c>
      <c r="AP6" t="s">
        <v>188</v>
      </c>
      <c r="AQ6" t="s">
        <v>74</v>
      </c>
      <c r="AR6" t="s">
        <v>189</v>
      </c>
      <c r="AS6" t="s">
        <v>190</v>
      </c>
      <c r="AT6" t="s">
        <v>191</v>
      </c>
      <c r="AU6">
        <v>2012</v>
      </c>
      <c r="AV6">
        <v>39</v>
      </c>
      <c r="AW6" t="s">
        <v>74</v>
      </c>
      <c r="AX6" t="s">
        <v>74</v>
      </c>
      <c r="AY6" t="s">
        <v>74</v>
      </c>
      <c r="AZ6" t="s">
        <v>74</v>
      </c>
      <c r="BA6" t="s">
        <v>74</v>
      </c>
      <c r="BB6" t="s">
        <v>74</v>
      </c>
      <c r="BC6" t="s">
        <v>74</v>
      </c>
      <c r="BD6" t="s">
        <v>192</v>
      </c>
      <c r="BE6" t="s">
        <v>193</v>
      </c>
      <c r="BF6" t="str">
        <f>HYPERLINK("http://dx.doi.org/10.1029/2012GL051260","http://dx.doi.org/10.1029/2012GL051260")</f>
        <v>http://dx.doi.org/10.1029/2012GL051260</v>
      </c>
      <c r="BG6" t="s">
        <v>74</v>
      </c>
      <c r="BH6" t="s">
        <v>74</v>
      </c>
      <c r="BI6">
        <v>7</v>
      </c>
      <c r="BJ6" t="s">
        <v>194</v>
      </c>
      <c r="BK6" t="s">
        <v>99</v>
      </c>
      <c r="BL6" t="s">
        <v>195</v>
      </c>
      <c r="BM6" t="s">
        <v>196</v>
      </c>
      <c r="BN6" t="s">
        <v>74</v>
      </c>
      <c r="BO6" t="s">
        <v>197</v>
      </c>
      <c r="BP6" t="s">
        <v>74</v>
      </c>
      <c r="BQ6" t="s">
        <v>74</v>
      </c>
      <c r="BR6" t="s">
        <v>101</v>
      </c>
      <c r="BS6" t="s">
        <v>198</v>
      </c>
      <c r="BT6" t="str">
        <f>HYPERLINK("https%3A%2F%2Fwww.webofscience.com%2Fwos%2Fwoscc%2Ffull-record%2FWOS:000304005700003","View Full Record in Web of Science")</f>
        <v>View Full Record in Web of Science</v>
      </c>
    </row>
    <row r="7" spans="1:72" x14ac:dyDescent="0.15">
      <c r="A7" t="s">
        <v>72</v>
      </c>
      <c r="B7" t="s">
        <v>199</v>
      </c>
      <c r="C7" t="s">
        <v>74</v>
      </c>
      <c r="D7" t="s">
        <v>74</v>
      </c>
      <c r="E7" t="s">
        <v>74</v>
      </c>
      <c r="F7" t="s">
        <v>200</v>
      </c>
      <c r="G7" t="s">
        <v>74</v>
      </c>
      <c r="H7" t="s">
        <v>74</v>
      </c>
      <c r="I7" t="s">
        <v>201</v>
      </c>
      <c r="J7" t="s">
        <v>106</v>
      </c>
      <c r="K7" t="s">
        <v>74</v>
      </c>
      <c r="L7" t="s">
        <v>74</v>
      </c>
      <c r="M7" t="s">
        <v>78</v>
      </c>
      <c r="N7" t="s">
        <v>79</v>
      </c>
      <c r="O7" t="s">
        <v>74</v>
      </c>
      <c r="P7" t="s">
        <v>74</v>
      </c>
      <c r="Q7" t="s">
        <v>74</v>
      </c>
      <c r="R7" t="s">
        <v>74</v>
      </c>
      <c r="S7" t="s">
        <v>74</v>
      </c>
      <c r="T7" t="s">
        <v>74</v>
      </c>
      <c r="U7" t="s">
        <v>202</v>
      </c>
      <c r="V7" t="s">
        <v>203</v>
      </c>
      <c r="W7" t="s">
        <v>204</v>
      </c>
      <c r="X7" t="s">
        <v>205</v>
      </c>
      <c r="Y7" t="s">
        <v>206</v>
      </c>
      <c r="Z7" t="s">
        <v>207</v>
      </c>
      <c r="AA7" t="s">
        <v>208</v>
      </c>
      <c r="AB7" t="s">
        <v>209</v>
      </c>
      <c r="AC7" t="s">
        <v>210</v>
      </c>
      <c r="AD7" t="s">
        <v>211</v>
      </c>
      <c r="AE7" t="s">
        <v>212</v>
      </c>
      <c r="AF7" t="s">
        <v>74</v>
      </c>
      <c r="AG7">
        <v>48</v>
      </c>
      <c r="AH7">
        <v>24</v>
      </c>
      <c r="AI7">
        <v>24</v>
      </c>
      <c r="AJ7">
        <v>2</v>
      </c>
      <c r="AK7">
        <v>31</v>
      </c>
      <c r="AL7" t="s">
        <v>118</v>
      </c>
      <c r="AM7" t="s">
        <v>119</v>
      </c>
      <c r="AN7" t="s">
        <v>120</v>
      </c>
      <c r="AO7" t="s">
        <v>121</v>
      </c>
      <c r="AP7" t="s">
        <v>122</v>
      </c>
      <c r="AQ7" t="s">
        <v>74</v>
      </c>
      <c r="AR7" t="s">
        <v>123</v>
      </c>
      <c r="AS7" t="s">
        <v>124</v>
      </c>
      <c r="AT7" t="s">
        <v>213</v>
      </c>
      <c r="AU7">
        <v>2012</v>
      </c>
      <c r="AV7">
        <v>117</v>
      </c>
      <c r="AW7" t="s">
        <v>74</v>
      </c>
      <c r="AX7" t="s">
        <v>74</v>
      </c>
      <c r="AY7" t="s">
        <v>74</v>
      </c>
      <c r="AZ7" t="s">
        <v>74</v>
      </c>
      <c r="BA7" t="s">
        <v>74</v>
      </c>
      <c r="BB7" t="s">
        <v>74</v>
      </c>
      <c r="BC7" t="s">
        <v>74</v>
      </c>
      <c r="BD7" t="s">
        <v>214</v>
      </c>
      <c r="BE7" t="s">
        <v>215</v>
      </c>
      <c r="BF7" t="str">
        <f>HYPERLINK("http://dx.doi.org/10.1029/2011JD017227","http://dx.doi.org/10.1029/2011JD017227")</f>
        <v>http://dx.doi.org/10.1029/2011JD017227</v>
      </c>
      <c r="BG7" t="s">
        <v>74</v>
      </c>
      <c r="BH7" t="s">
        <v>74</v>
      </c>
      <c r="BI7">
        <v>17</v>
      </c>
      <c r="BJ7" t="s">
        <v>128</v>
      </c>
      <c r="BK7" t="s">
        <v>99</v>
      </c>
      <c r="BL7" t="s">
        <v>128</v>
      </c>
      <c r="BM7" t="s">
        <v>216</v>
      </c>
      <c r="BN7" t="s">
        <v>74</v>
      </c>
      <c r="BO7" t="s">
        <v>217</v>
      </c>
      <c r="BP7" t="s">
        <v>74</v>
      </c>
      <c r="BQ7" t="s">
        <v>74</v>
      </c>
      <c r="BR7" t="s">
        <v>101</v>
      </c>
      <c r="BS7" t="s">
        <v>218</v>
      </c>
      <c r="BT7" t="str">
        <f>HYPERLINK("https%3A%2F%2Fwww.webofscience.com%2Fwos%2Fwoscc%2Ffull-record%2FWOS:000304008300003","View Full Record in Web of Science")</f>
        <v>View Full Record in Web of Science</v>
      </c>
    </row>
    <row r="8" spans="1:72" x14ac:dyDescent="0.15">
      <c r="A8" t="s">
        <v>72</v>
      </c>
      <c r="B8" t="s">
        <v>219</v>
      </c>
      <c r="C8" t="s">
        <v>74</v>
      </c>
      <c r="D8" t="s">
        <v>74</v>
      </c>
      <c r="E8" t="s">
        <v>74</v>
      </c>
      <c r="F8" t="s">
        <v>220</v>
      </c>
      <c r="G8" t="s">
        <v>74</v>
      </c>
      <c r="H8" t="s">
        <v>74</v>
      </c>
      <c r="I8" t="s">
        <v>221</v>
      </c>
      <c r="J8" t="s">
        <v>106</v>
      </c>
      <c r="K8" t="s">
        <v>74</v>
      </c>
      <c r="L8" t="s">
        <v>74</v>
      </c>
      <c r="M8" t="s">
        <v>78</v>
      </c>
      <c r="N8" t="s">
        <v>79</v>
      </c>
      <c r="O8" t="s">
        <v>74</v>
      </c>
      <c r="P8" t="s">
        <v>74</v>
      </c>
      <c r="Q8" t="s">
        <v>74</v>
      </c>
      <c r="R8" t="s">
        <v>74</v>
      </c>
      <c r="S8" t="s">
        <v>74</v>
      </c>
      <c r="T8" t="s">
        <v>74</v>
      </c>
      <c r="U8" t="s">
        <v>222</v>
      </c>
      <c r="V8" t="s">
        <v>223</v>
      </c>
      <c r="W8" t="s">
        <v>224</v>
      </c>
      <c r="X8" t="s">
        <v>225</v>
      </c>
      <c r="Y8" t="s">
        <v>226</v>
      </c>
      <c r="Z8" t="s">
        <v>227</v>
      </c>
      <c r="AA8" t="s">
        <v>228</v>
      </c>
      <c r="AB8" t="s">
        <v>229</v>
      </c>
      <c r="AC8" t="s">
        <v>230</v>
      </c>
      <c r="AD8" t="s">
        <v>231</v>
      </c>
      <c r="AE8" t="s">
        <v>232</v>
      </c>
      <c r="AF8" t="s">
        <v>74</v>
      </c>
      <c r="AG8">
        <v>33</v>
      </c>
      <c r="AH8">
        <v>37</v>
      </c>
      <c r="AI8">
        <v>40</v>
      </c>
      <c r="AJ8">
        <v>0</v>
      </c>
      <c r="AK8">
        <v>11</v>
      </c>
      <c r="AL8" t="s">
        <v>118</v>
      </c>
      <c r="AM8" t="s">
        <v>119</v>
      </c>
      <c r="AN8" t="s">
        <v>120</v>
      </c>
      <c r="AO8" t="s">
        <v>121</v>
      </c>
      <c r="AP8" t="s">
        <v>74</v>
      </c>
      <c r="AQ8" t="s">
        <v>74</v>
      </c>
      <c r="AR8" t="s">
        <v>123</v>
      </c>
      <c r="AS8" t="s">
        <v>124</v>
      </c>
      <c r="AT8" t="s">
        <v>213</v>
      </c>
      <c r="AU8">
        <v>2012</v>
      </c>
      <c r="AV8">
        <v>117</v>
      </c>
      <c r="AW8" t="s">
        <v>74</v>
      </c>
      <c r="AX8" t="s">
        <v>74</v>
      </c>
      <c r="AY8" t="s">
        <v>74</v>
      </c>
      <c r="AZ8" t="s">
        <v>74</v>
      </c>
      <c r="BA8" t="s">
        <v>74</v>
      </c>
      <c r="BB8" t="s">
        <v>74</v>
      </c>
      <c r="BC8" t="s">
        <v>74</v>
      </c>
      <c r="BD8" t="s">
        <v>233</v>
      </c>
      <c r="BE8" t="s">
        <v>234</v>
      </c>
      <c r="BF8" t="str">
        <f>HYPERLINK("http://dx.doi.org/10.1029/2011JD016857","http://dx.doi.org/10.1029/2011JD016857")</f>
        <v>http://dx.doi.org/10.1029/2011JD016857</v>
      </c>
      <c r="BG8" t="s">
        <v>74</v>
      </c>
      <c r="BH8" t="s">
        <v>74</v>
      </c>
      <c r="BI8">
        <v>19</v>
      </c>
      <c r="BJ8" t="s">
        <v>128</v>
      </c>
      <c r="BK8" t="s">
        <v>99</v>
      </c>
      <c r="BL8" t="s">
        <v>128</v>
      </c>
      <c r="BM8" t="s">
        <v>216</v>
      </c>
      <c r="BN8" t="s">
        <v>74</v>
      </c>
      <c r="BO8" t="s">
        <v>217</v>
      </c>
      <c r="BP8" t="s">
        <v>74</v>
      </c>
      <c r="BQ8" t="s">
        <v>74</v>
      </c>
      <c r="BR8" t="s">
        <v>101</v>
      </c>
      <c r="BS8" t="s">
        <v>235</v>
      </c>
      <c r="BT8" t="str">
        <f>HYPERLINK("https%3A%2F%2Fwww.webofscience.com%2Fwos%2Fwoscc%2Ffull-record%2FWOS:000304008300001","View Full Record in Web of Science")</f>
        <v>View Full Record in Web of Science</v>
      </c>
    </row>
    <row r="9" spans="1:72" x14ac:dyDescent="0.15">
      <c r="A9" t="s">
        <v>72</v>
      </c>
      <c r="B9" t="s">
        <v>236</v>
      </c>
      <c r="C9" t="s">
        <v>74</v>
      </c>
      <c r="D9" t="s">
        <v>74</v>
      </c>
      <c r="E9" t="s">
        <v>74</v>
      </c>
      <c r="F9" t="s">
        <v>237</v>
      </c>
      <c r="G9" t="s">
        <v>74</v>
      </c>
      <c r="H9" t="s">
        <v>74</v>
      </c>
      <c r="I9" t="s">
        <v>238</v>
      </c>
      <c r="J9" t="s">
        <v>239</v>
      </c>
      <c r="K9" t="s">
        <v>74</v>
      </c>
      <c r="L9" t="s">
        <v>74</v>
      </c>
      <c r="M9" t="s">
        <v>78</v>
      </c>
      <c r="N9" t="s">
        <v>79</v>
      </c>
      <c r="O9" t="s">
        <v>74</v>
      </c>
      <c r="P9" t="s">
        <v>74</v>
      </c>
      <c r="Q9" t="s">
        <v>74</v>
      </c>
      <c r="R9" t="s">
        <v>74</v>
      </c>
      <c r="S9" t="s">
        <v>74</v>
      </c>
      <c r="T9" t="s">
        <v>240</v>
      </c>
      <c r="U9" t="s">
        <v>241</v>
      </c>
      <c r="V9" t="s">
        <v>242</v>
      </c>
      <c r="W9" t="s">
        <v>243</v>
      </c>
      <c r="X9" t="s">
        <v>244</v>
      </c>
      <c r="Y9" t="s">
        <v>245</v>
      </c>
      <c r="Z9" t="s">
        <v>246</v>
      </c>
      <c r="AA9" t="s">
        <v>247</v>
      </c>
      <c r="AB9" t="s">
        <v>248</v>
      </c>
      <c r="AC9" t="s">
        <v>249</v>
      </c>
      <c r="AD9" t="s">
        <v>250</v>
      </c>
      <c r="AE9" t="s">
        <v>251</v>
      </c>
      <c r="AF9" t="s">
        <v>74</v>
      </c>
      <c r="AG9">
        <v>29</v>
      </c>
      <c r="AH9">
        <v>246</v>
      </c>
      <c r="AI9">
        <v>269</v>
      </c>
      <c r="AJ9">
        <v>3</v>
      </c>
      <c r="AK9">
        <v>86</v>
      </c>
      <c r="AL9" t="s">
        <v>252</v>
      </c>
      <c r="AM9" t="s">
        <v>119</v>
      </c>
      <c r="AN9" t="s">
        <v>253</v>
      </c>
      <c r="AO9" t="s">
        <v>254</v>
      </c>
      <c r="AP9" t="s">
        <v>74</v>
      </c>
      <c r="AQ9" t="s">
        <v>74</v>
      </c>
      <c r="AR9" t="s">
        <v>255</v>
      </c>
      <c r="AS9" t="s">
        <v>256</v>
      </c>
      <c r="AT9" t="s">
        <v>213</v>
      </c>
      <c r="AU9">
        <v>2012</v>
      </c>
      <c r="AV9">
        <v>109</v>
      </c>
      <c r="AW9">
        <v>19</v>
      </c>
      <c r="AX9" t="s">
        <v>74</v>
      </c>
      <c r="AY9" t="s">
        <v>74</v>
      </c>
      <c r="AZ9" t="s">
        <v>74</v>
      </c>
      <c r="BA9" t="s">
        <v>74</v>
      </c>
      <c r="BB9">
        <v>7169</v>
      </c>
      <c r="BC9">
        <v>7174</v>
      </c>
      <c r="BD9" t="s">
        <v>74</v>
      </c>
      <c r="BE9" t="s">
        <v>257</v>
      </c>
      <c r="BF9" t="str">
        <f>HYPERLINK("http://dx.doi.org/10.1073/pnas.1121201109","http://dx.doi.org/10.1073/pnas.1121201109")</f>
        <v>http://dx.doi.org/10.1073/pnas.1121201109</v>
      </c>
      <c r="BG9" t="s">
        <v>74</v>
      </c>
      <c r="BH9" t="s">
        <v>74</v>
      </c>
      <c r="BI9">
        <v>6</v>
      </c>
      <c r="BJ9" t="s">
        <v>153</v>
      </c>
      <c r="BK9" t="s">
        <v>99</v>
      </c>
      <c r="BL9" t="s">
        <v>154</v>
      </c>
      <c r="BM9" t="s">
        <v>258</v>
      </c>
      <c r="BN9">
        <v>22529349</v>
      </c>
      <c r="BO9" t="s">
        <v>259</v>
      </c>
      <c r="BP9" t="s">
        <v>74</v>
      </c>
      <c r="BQ9" t="s">
        <v>74</v>
      </c>
      <c r="BR9" t="s">
        <v>101</v>
      </c>
      <c r="BS9" t="s">
        <v>260</v>
      </c>
      <c r="BT9" t="str">
        <f>HYPERLINK("https%3A%2F%2Fwww.webofscience.com%2Fwos%2Fwoscc%2Ffull-record%2FWOS:000304090600018","View Full Record in Web of Science")</f>
        <v>View Full Record in Web of Science</v>
      </c>
    </row>
    <row r="10" spans="1:72" x14ac:dyDescent="0.15">
      <c r="A10" t="s">
        <v>72</v>
      </c>
      <c r="B10" t="s">
        <v>261</v>
      </c>
      <c r="C10" t="s">
        <v>74</v>
      </c>
      <c r="D10" t="s">
        <v>74</v>
      </c>
      <c r="E10" t="s">
        <v>74</v>
      </c>
      <c r="F10" t="s">
        <v>262</v>
      </c>
      <c r="G10" t="s">
        <v>74</v>
      </c>
      <c r="H10" t="s">
        <v>74</v>
      </c>
      <c r="I10" t="s">
        <v>263</v>
      </c>
      <c r="J10" t="s">
        <v>264</v>
      </c>
      <c r="K10" t="s">
        <v>74</v>
      </c>
      <c r="L10" t="s">
        <v>74</v>
      </c>
      <c r="M10" t="s">
        <v>78</v>
      </c>
      <c r="N10" t="s">
        <v>79</v>
      </c>
      <c r="O10" t="s">
        <v>74</v>
      </c>
      <c r="P10" t="s">
        <v>74</v>
      </c>
      <c r="Q10" t="s">
        <v>74</v>
      </c>
      <c r="R10" t="s">
        <v>74</v>
      </c>
      <c r="S10" t="s">
        <v>74</v>
      </c>
      <c r="T10" t="s">
        <v>265</v>
      </c>
      <c r="U10" t="s">
        <v>266</v>
      </c>
      <c r="V10" t="s">
        <v>267</v>
      </c>
      <c r="W10" t="s">
        <v>268</v>
      </c>
      <c r="X10" t="s">
        <v>269</v>
      </c>
      <c r="Y10" t="s">
        <v>270</v>
      </c>
      <c r="Z10" t="s">
        <v>271</v>
      </c>
      <c r="AA10" t="s">
        <v>272</v>
      </c>
      <c r="AB10" t="s">
        <v>273</v>
      </c>
      <c r="AC10" t="s">
        <v>274</v>
      </c>
      <c r="AD10" t="s">
        <v>275</v>
      </c>
      <c r="AE10" t="s">
        <v>276</v>
      </c>
      <c r="AF10" t="s">
        <v>74</v>
      </c>
      <c r="AG10">
        <v>16</v>
      </c>
      <c r="AH10">
        <v>23</v>
      </c>
      <c r="AI10">
        <v>24</v>
      </c>
      <c r="AJ10">
        <v>0</v>
      </c>
      <c r="AK10">
        <v>23</v>
      </c>
      <c r="AL10" t="s">
        <v>277</v>
      </c>
      <c r="AM10" t="s">
        <v>278</v>
      </c>
      <c r="AN10" t="s">
        <v>279</v>
      </c>
      <c r="AO10" t="s">
        <v>280</v>
      </c>
      <c r="AP10" t="s">
        <v>281</v>
      </c>
      <c r="AQ10" t="s">
        <v>74</v>
      </c>
      <c r="AR10" t="s">
        <v>264</v>
      </c>
      <c r="AS10" t="s">
        <v>282</v>
      </c>
      <c r="AT10" t="s">
        <v>283</v>
      </c>
      <c r="AU10">
        <v>2012</v>
      </c>
      <c r="AV10">
        <v>68</v>
      </c>
      <c r="AW10">
        <v>18</v>
      </c>
      <c r="AX10" t="s">
        <v>74</v>
      </c>
      <c r="AY10" t="s">
        <v>74</v>
      </c>
      <c r="AZ10" t="s">
        <v>74</v>
      </c>
      <c r="BA10" t="s">
        <v>74</v>
      </c>
      <c r="BB10">
        <v>3541</v>
      </c>
      <c r="BC10">
        <v>3544</v>
      </c>
      <c r="BD10" t="s">
        <v>74</v>
      </c>
      <c r="BE10" t="s">
        <v>284</v>
      </c>
      <c r="BF10" t="str">
        <f>HYPERLINK("http://dx.doi.org/10.1016/j.tet.2012.03.013","http://dx.doi.org/10.1016/j.tet.2012.03.013")</f>
        <v>http://dx.doi.org/10.1016/j.tet.2012.03.013</v>
      </c>
      <c r="BG10" t="s">
        <v>74</v>
      </c>
      <c r="BH10" t="s">
        <v>74</v>
      </c>
      <c r="BI10">
        <v>4</v>
      </c>
      <c r="BJ10" t="s">
        <v>285</v>
      </c>
      <c r="BK10" t="s">
        <v>286</v>
      </c>
      <c r="BL10" t="s">
        <v>287</v>
      </c>
      <c r="BM10" t="s">
        <v>288</v>
      </c>
      <c r="BN10" t="s">
        <v>74</v>
      </c>
      <c r="BO10" t="s">
        <v>74</v>
      </c>
      <c r="BP10" t="s">
        <v>74</v>
      </c>
      <c r="BQ10" t="s">
        <v>74</v>
      </c>
      <c r="BR10" t="s">
        <v>101</v>
      </c>
      <c r="BS10" t="s">
        <v>289</v>
      </c>
      <c r="BT10" t="str">
        <f>HYPERLINK("https%3A%2F%2Fwww.webofscience.com%2Fwos%2Fwoscc%2Ffull-record%2FWOS:000303303600003","View Full Record in Web of Science")</f>
        <v>View Full Record in Web of Science</v>
      </c>
    </row>
    <row r="11" spans="1:72" x14ac:dyDescent="0.15">
      <c r="A11" t="s">
        <v>72</v>
      </c>
      <c r="B11" t="s">
        <v>290</v>
      </c>
      <c r="C11" t="s">
        <v>74</v>
      </c>
      <c r="D11" t="s">
        <v>74</v>
      </c>
      <c r="E11" t="s">
        <v>74</v>
      </c>
      <c r="F11" t="s">
        <v>291</v>
      </c>
      <c r="G11" t="s">
        <v>74</v>
      </c>
      <c r="H11" t="s">
        <v>74</v>
      </c>
      <c r="I11" t="s">
        <v>292</v>
      </c>
      <c r="J11" t="s">
        <v>106</v>
      </c>
      <c r="K11" t="s">
        <v>74</v>
      </c>
      <c r="L11" t="s">
        <v>74</v>
      </c>
      <c r="M11" t="s">
        <v>78</v>
      </c>
      <c r="N11" t="s">
        <v>79</v>
      </c>
      <c r="O11" t="s">
        <v>74</v>
      </c>
      <c r="P11" t="s">
        <v>74</v>
      </c>
      <c r="Q11" t="s">
        <v>74</v>
      </c>
      <c r="R11" t="s">
        <v>74</v>
      </c>
      <c r="S11" t="s">
        <v>74</v>
      </c>
      <c r="T11" t="s">
        <v>74</v>
      </c>
      <c r="U11" t="s">
        <v>293</v>
      </c>
      <c r="V11" t="s">
        <v>294</v>
      </c>
      <c r="W11" t="s">
        <v>295</v>
      </c>
      <c r="X11" t="s">
        <v>296</v>
      </c>
      <c r="Y11" t="s">
        <v>297</v>
      </c>
      <c r="Z11" t="s">
        <v>298</v>
      </c>
      <c r="AA11" t="s">
        <v>299</v>
      </c>
      <c r="AB11" t="s">
        <v>300</v>
      </c>
      <c r="AC11" t="s">
        <v>301</v>
      </c>
      <c r="AD11" t="s">
        <v>302</v>
      </c>
      <c r="AE11" t="s">
        <v>303</v>
      </c>
      <c r="AF11" t="s">
        <v>74</v>
      </c>
      <c r="AG11">
        <v>86</v>
      </c>
      <c r="AH11">
        <v>40</v>
      </c>
      <c r="AI11">
        <v>47</v>
      </c>
      <c r="AJ11">
        <v>3</v>
      </c>
      <c r="AK11">
        <v>58</v>
      </c>
      <c r="AL11" t="s">
        <v>118</v>
      </c>
      <c r="AM11" t="s">
        <v>119</v>
      </c>
      <c r="AN11" t="s">
        <v>120</v>
      </c>
      <c r="AO11" t="s">
        <v>121</v>
      </c>
      <c r="AP11" t="s">
        <v>122</v>
      </c>
      <c r="AQ11" t="s">
        <v>74</v>
      </c>
      <c r="AR11" t="s">
        <v>123</v>
      </c>
      <c r="AS11" t="s">
        <v>124</v>
      </c>
      <c r="AT11" t="s">
        <v>304</v>
      </c>
      <c r="AU11">
        <v>2012</v>
      </c>
      <c r="AV11">
        <v>117</v>
      </c>
      <c r="AW11" t="s">
        <v>74</v>
      </c>
      <c r="AX11" t="s">
        <v>74</v>
      </c>
      <c r="AY11" t="s">
        <v>74</v>
      </c>
      <c r="AZ11" t="s">
        <v>74</v>
      </c>
      <c r="BA11" t="s">
        <v>74</v>
      </c>
      <c r="BB11" t="s">
        <v>74</v>
      </c>
      <c r="BC11" t="s">
        <v>74</v>
      </c>
      <c r="BD11" t="s">
        <v>305</v>
      </c>
      <c r="BE11" t="s">
        <v>306</v>
      </c>
      <c r="BF11" t="str">
        <f>HYPERLINK("http://dx.doi.org/10.1029/2011JD016612","http://dx.doi.org/10.1029/2011JD016612")</f>
        <v>http://dx.doi.org/10.1029/2011JD016612</v>
      </c>
      <c r="BG11" t="s">
        <v>74</v>
      </c>
      <c r="BH11" t="s">
        <v>74</v>
      </c>
      <c r="BI11">
        <v>17</v>
      </c>
      <c r="BJ11" t="s">
        <v>128</v>
      </c>
      <c r="BK11" t="s">
        <v>99</v>
      </c>
      <c r="BL11" t="s">
        <v>128</v>
      </c>
      <c r="BM11" t="s">
        <v>307</v>
      </c>
      <c r="BN11" t="s">
        <v>74</v>
      </c>
      <c r="BO11" t="s">
        <v>308</v>
      </c>
      <c r="BP11" t="s">
        <v>74</v>
      </c>
      <c r="BQ11" t="s">
        <v>74</v>
      </c>
      <c r="BR11" t="s">
        <v>101</v>
      </c>
      <c r="BS11" t="s">
        <v>309</v>
      </c>
      <c r="BT11" t="str">
        <f>HYPERLINK("https%3A%2F%2Fwww.webofscience.com%2Fwos%2Fwoscc%2Ffull-record%2FWOS:000303678800001","View Full Record in Web of Science")</f>
        <v>View Full Record in Web of Science</v>
      </c>
    </row>
    <row r="12" spans="1:72" x14ac:dyDescent="0.15">
      <c r="A12" t="s">
        <v>72</v>
      </c>
      <c r="B12" t="s">
        <v>310</v>
      </c>
      <c r="C12" t="s">
        <v>74</v>
      </c>
      <c r="D12" t="s">
        <v>74</v>
      </c>
      <c r="E12" t="s">
        <v>74</v>
      </c>
      <c r="F12" t="s">
        <v>311</v>
      </c>
      <c r="G12" t="s">
        <v>74</v>
      </c>
      <c r="H12" t="s">
        <v>74</v>
      </c>
      <c r="I12" t="s">
        <v>312</v>
      </c>
      <c r="J12" t="s">
        <v>106</v>
      </c>
      <c r="K12" t="s">
        <v>74</v>
      </c>
      <c r="L12" t="s">
        <v>74</v>
      </c>
      <c r="M12" t="s">
        <v>78</v>
      </c>
      <c r="N12" t="s">
        <v>79</v>
      </c>
      <c r="O12" t="s">
        <v>74</v>
      </c>
      <c r="P12" t="s">
        <v>74</v>
      </c>
      <c r="Q12" t="s">
        <v>74</v>
      </c>
      <c r="R12" t="s">
        <v>74</v>
      </c>
      <c r="S12" t="s">
        <v>74</v>
      </c>
      <c r="T12" t="s">
        <v>74</v>
      </c>
      <c r="U12" t="s">
        <v>313</v>
      </c>
      <c r="V12" t="s">
        <v>314</v>
      </c>
      <c r="W12" t="s">
        <v>315</v>
      </c>
      <c r="X12" t="s">
        <v>316</v>
      </c>
      <c r="Y12" t="s">
        <v>317</v>
      </c>
      <c r="Z12" t="s">
        <v>318</v>
      </c>
      <c r="AA12" t="s">
        <v>319</v>
      </c>
      <c r="AB12" t="s">
        <v>320</v>
      </c>
      <c r="AC12" t="s">
        <v>321</v>
      </c>
      <c r="AD12" t="s">
        <v>322</v>
      </c>
      <c r="AE12" t="s">
        <v>323</v>
      </c>
      <c r="AF12" t="s">
        <v>74</v>
      </c>
      <c r="AG12">
        <v>91</v>
      </c>
      <c r="AH12">
        <v>35</v>
      </c>
      <c r="AI12">
        <v>38</v>
      </c>
      <c r="AJ12">
        <v>0</v>
      </c>
      <c r="AK12">
        <v>36</v>
      </c>
      <c r="AL12" t="s">
        <v>118</v>
      </c>
      <c r="AM12" t="s">
        <v>119</v>
      </c>
      <c r="AN12" t="s">
        <v>120</v>
      </c>
      <c r="AO12" t="s">
        <v>121</v>
      </c>
      <c r="AP12" t="s">
        <v>122</v>
      </c>
      <c r="AQ12" t="s">
        <v>74</v>
      </c>
      <c r="AR12" t="s">
        <v>123</v>
      </c>
      <c r="AS12" t="s">
        <v>124</v>
      </c>
      <c r="AT12" t="s">
        <v>324</v>
      </c>
      <c r="AU12">
        <v>2012</v>
      </c>
      <c r="AV12">
        <v>117</v>
      </c>
      <c r="AW12" t="s">
        <v>74</v>
      </c>
      <c r="AX12" t="s">
        <v>74</v>
      </c>
      <c r="AY12" t="s">
        <v>74</v>
      </c>
      <c r="AZ12" t="s">
        <v>74</v>
      </c>
      <c r="BA12" t="s">
        <v>74</v>
      </c>
      <c r="BB12" t="s">
        <v>74</v>
      </c>
      <c r="BC12" t="s">
        <v>74</v>
      </c>
      <c r="BD12" t="s">
        <v>325</v>
      </c>
      <c r="BE12" t="s">
        <v>326</v>
      </c>
      <c r="BF12" t="str">
        <f>HYPERLINK("http://dx.doi.org/10.1029/2011JD017341","http://dx.doi.org/10.1029/2011JD017341")</f>
        <v>http://dx.doi.org/10.1029/2011JD017341</v>
      </c>
      <c r="BG12" t="s">
        <v>74</v>
      </c>
      <c r="BH12" t="s">
        <v>74</v>
      </c>
      <c r="BI12">
        <v>22</v>
      </c>
      <c r="BJ12" t="s">
        <v>128</v>
      </c>
      <c r="BK12" t="s">
        <v>99</v>
      </c>
      <c r="BL12" t="s">
        <v>128</v>
      </c>
      <c r="BM12" t="s">
        <v>327</v>
      </c>
      <c r="BN12" t="s">
        <v>74</v>
      </c>
      <c r="BO12" t="s">
        <v>328</v>
      </c>
      <c r="BP12" t="s">
        <v>74</v>
      </c>
      <c r="BQ12" t="s">
        <v>74</v>
      </c>
      <c r="BR12" t="s">
        <v>101</v>
      </c>
      <c r="BS12" t="s">
        <v>329</v>
      </c>
      <c r="BT12" t="str">
        <f>HYPERLINK("https%3A%2F%2Fwww.webofscience.com%2Fwos%2Fwoscc%2Ffull-record%2FWOS:000303678600002","View Full Record in Web of Science")</f>
        <v>View Full Record in Web of Science</v>
      </c>
    </row>
    <row r="13" spans="1:72" x14ac:dyDescent="0.15">
      <c r="A13" t="s">
        <v>72</v>
      </c>
      <c r="B13" t="s">
        <v>330</v>
      </c>
      <c r="C13" t="s">
        <v>74</v>
      </c>
      <c r="D13" t="s">
        <v>74</v>
      </c>
      <c r="E13" t="s">
        <v>74</v>
      </c>
      <c r="F13" t="s">
        <v>331</v>
      </c>
      <c r="G13" t="s">
        <v>74</v>
      </c>
      <c r="H13" t="s">
        <v>74</v>
      </c>
      <c r="I13" t="s">
        <v>332</v>
      </c>
      <c r="J13" t="s">
        <v>333</v>
      </c>
      <c r="K13" t="s">
        <v>74</v>
      </c>
      <c r="L13" t="s">
        <v>74</v>
      </c>
      <c r="M13" t="s">
        <v>78</v>
      </c>
      <c r="N13" t="s">
        <v>79</v>
      </c>
      <c r="O13" t="s">
        <v>74</v>
      </c>
      <c r="P13" t="s">
        <v>74</v>
      </c>
      <c r="Q13" t="s">
        <v>74</v>
      </c>
      <c r="R13" t="s">
        <v>74</v>
      </c>
      <c r="S13" t="s">
        <v>74</v>
      </c>
      <c r="T13" t="s">
        <v>74</v>
      </c>
      <c r="U13" t="s">
        <v>334</v>
      </c>
      <c r="V13" t="s">
        <v>335</v>
      </c>
      <c r="W13" t="s">
        <v>336</v>
      </c>
      <c r="X13" t="s">
        <v>337</v>
      </c>
      <c r="Y13" t="s">
        <v>338</v>
      </c>
      <c r="Z13" t="s">
        <v>339</v>
      </c>
      <c r="AA13" t="s">
        <v>74</v>
      </c>
      <c r="AB13" t="s">
        <v>340</v>
      </c>
      <c r="AC13" t="s">
        <v>341</v>
      </c>
      <c r="AD13" t="s">
        <v>342</v>
      </c>
      <c r="AE13" t="s">
        <v>343</v>
      </c>
      <c r="AF13" t="s">
        <v>74</v>
      </c>
      <c r="AG13">
        <v>79</v>
      </c>
      <c r="AH13">
        <v>37</v>
      </c>
      <c r="AI13">
        <v>39</v>
      </c>
      <c r="AJ13">
        <v>0</v>
      </c>
      <c r="AK13">
        <v>29</v>
      </c>
      <c r="AL13" t="s">
        <v>118</v>
      </c>
      <c r="AM13" t="s">
        <v>119</v>
      </c>
      <c r="AN13" t="s">
        <v>120</v>
      </c>
      <c r="AO13" t="s">
        <v>344</v>
      </c>
      <c r="AP13" t="s">
        <v>345</v>
      </c>
      <c r="AQ13" t="s">
        <v>74</v>
      </c>
      <c r="AR13" t="s">
        <v>346</v>
      </c>
      <c r="AS13" t="s">
        <v>347</v>
      </c>
      <c r="AT13" t="s">
        <v>324</v>
      </c>
      <c r="AU13">
        <v>2012</v>
      </c>
      <c r="AV13">
        <v>117</v>
      </c>
      <c r="AW13" t="s">
        <v>74</v>
      </c>
      <c r="AX13" t="s">
        <v>74</v>
      </c>
      <c r="AY13" t="s">
        <v>74</v>
      </c>
      <c r="AZ13" t="s">
        <v>74</v>
      </c>
      <c r="BA13" t="s">
        <v>74</v>
      </c>
      <c r="BB13" t="s">
        <v>74</v>
      </c>
      <c r="BC13" t="s">
        <v>74</v>
      </c>
      <c r="BD13" t="s">
        <v>348</v>
      </c>
      <c r="BE13" t="s">
        <v>349</v>
      </c>
      <c r="BF13" t="str">
        <f>HYPERLINK("http://dx.doi.org/10.1029/2011JC007544","http://dx.doi.org/10.1029/2011JC007544")</f>
        <v>http://dx.doi.org/10.1029/2011JC007544</v>
      </c>
      <c r="BG13" t="s">
        <v>74</v>
      </c>
      <c r="BH13" t="s">
        <v>74</v>
      </c>
      <c r="BI13">
        <v>20</v>
      </c>
      <c r="BJ13" t="s">
        <v>350</v>
      </c>
      <c r="BK13" t="s">
        <v>99</v>
      </c>
      <c r="BL13" t="s">
        <v>350</v>
      </c>
      <c r="BM13" t="s">
        <v>351</v>
      </c>
      <c r="BN13" t="s">
        <v>74</v>
      </c>
      <c r="BO13" t="s">
        <v>74</v>
      </c>
      <c r="BP13" t="s">
        <v>74</v>
      </c>
      <c r="BQ13" t="s">
        <v>74</v>
      </c>
      <c r="BR13" t="s">
        <v>101</v>
      </c>
      <c r="BS13" t="s">
        <v>352</v>
      </c>
      <c r="BT13" t="str">
        <f>HYPERLINK("https%3A%2F%2Fwww.webofscience.com%2Fwos%2Fwoscc%2Ffull-record%2FWOS:000303670100001","View Full Record in Web of Science")</f>
        <v>View Full Record in Web of Science</v>
      </c>
    </row>
    <row r="14" spans="1:72" x14ac:dyDescent="0.15">
      <c r="A14" t="s">
        <v>72</v>
      </c>
      <c r="B14" t="s">
        <v>353</v>
      </c>
      <c r="C14" t="s">
        <v>74</v>
      </c>
      <c r="D14" t="s">
        <v>74</v>
      </c>
      <c r="E14" t="s">
        <v>74</v>
      </c>
      <c r="F14" t="s">
        <v>354</v>
      </c>
      <c r="G14" t="s">
        <v>74</v>
      </c>
      <c r="H14" t="s">
        <v>74</v>
      </c>
      <c r="I14" t="s">
        <v>355</v>
      </c>
      <c r="J14" t="s">
        <v>356</v>
      </c>
      <c r="K14" t="s">
        <v>74</v>
      </c>
      <c r="L14" t="s">
        <v>74</v>
      </c>
      <c r="M14" t="s">
        <v>78</v>
      </c>
      <c r="N14" t="s">
        <v>79</v>
      </c>
      <c r="O14" t="s">
        <v>74</v>
      </c>
      <c r="P14" t="s">
        <v>74</v>
      </c>
      <c r="Q14" t="s">
        <v>74</v>
      </c>
      <c r="R14" t="s">
        <v>74</v>
      </c>
      <c r="S14" t="s">
        <v>74</v>
      </c>
      <c r="T14" t="s">
        <v>357</v>
      </c>
      <c r="U14" t="s">
        <v>358</v>
      </c>
      <c r="V14" t="s">
        <v>359</v>
      </c>
      <c r="W14" t="s">
        <v>360</v>
      </c>
      <c r="X14" t="s">
        <v>361</v>
      </c>
      <c r="Y14" t="s">
        <v>362</v>
      </c>
      <c r="Z14" t="s">
        <v>363</v>
      </c>
      <c r="AA14" t="s">
        <v>74</v>
      </c>
      <c r="AB14" t="s">
        <v>364</v>
      </c>
      <c r="AC14" t="s">
        <v>365</v>
      </c>
      <c r="AD14" t="s">
        <v>366</v>
      </c>
      <c r="AE14" t="s">
        <v>367</v>
      </c>
      <c r="AF14" t="s">
        <v>74</v>
      </c>
      <c r="AG14">
        <v>24</v>
      </c>
      <c r="AH14">
        <v>15</v>
      </c>
      <c r="AI14">
        <v>16</v>
      </c>
      <c r="AJ14">
        <v>0</v>
      </c>
      <c r="AK14">
        <v>9</v>
      </c>
      <c r="AL14" t="s">
        <v>368</v>
      </c>
      <c r="AM14" t="s">
        <v>369</v>
      </c>
      <c r="AN14" t="s">
        <v>370</v>
      </c>
      <c r="AO14" t="s">
        <v>371</v>
      </c>
      <c r="AP14" t="s">
        <v>74</v>
      </c>
      <c r="AQ14" t="s">
        <v>74</v>
      </c>
      <c r="AR14" t="s">
        <v>372</v>
      </c>
      <c r="AS14" t="s">
        <v>373</v>
      </c>
      <c r="AT14" t="s">
        <v>324</v>
      </c>
      <c r="AU14">
        <v>2012</v>
      </c>
      <c r="AV14">
        <v>156</v>
      </c>
      <c r="AW14" t="s">
        <v>374</v>
      </c>
      <c r="AX14" t="s">
        <v>74</v>
      </c>
      <c r="AY14" t="s">
        <v>74</v>
      </c>
      <c r="AZ14" t="s">
        <v>74</v>
      </c>
      <c r="BA14" t="s">
        <v>74</v>
      </c>
      <c r="BB14">
        <v>343</v>
      </c>
      <c r="BC14">
        <v>346</v>
      </c>
      <c r="BD14" t="s">
        <v>74</v>
      </c>
      <c r="BE14" t="s">
        <v>375</v>
      </c>
      <c r="BF14" t="str">
        <f>HYPERLINK("http://dx.doi.org/10.1016/j.vetmic.2011.10.034","http://dx.doi.org/10.1016/j.vetmic.2011.10.034")</f>
        <v>http://dx.doi.org/10.1016/j.vetmic.2011.10.034</v>
      </c>
      <c r="BG14" t="s">
        <v>74</v>
      </c>
      <c r="BH14" t="s">
        <v>74</v>
      </c>
      <c r="BI14">
        <v>4</v>
      </c>
      <c r="BJ14" t="s">
        <v>376</v>
      </c>
      <c r="BK14" t="s">
        <v>99</v>
      </c>
      <c r="BL14" t="s">
        <v>376</v>
      </c>
      <c r="BM14" t="s">
        <v>377</v>
      </c>
      <c r="BN14">
        <v>22112853</v>
      </c>
      <c r="BO14" t="s">
        <v>74</v>
      </c>
      <c r="BP14" t="s">
        <v>74</v>
      </c>
      <c r="BQ14" t="s">
        <v>74</v>
      </c>
      <c r="BR14" t="s">
        <v>101</v>
      </c>
      <c r="BS14" t="s">
        <v>378</v>
      </c>
      <c r="BT14" t="str">
        <f>HYPERLINK("https%3A%2F%2Fwww.webofscience.com%2Fwos%2Fwoscc%2Ffull-record%2FWOS:000302890700014","View Full Record in Web of Science")</f>
        <v>View Full Record in Web of Science</v>
      </c>
    </row>
    <row r="15" spans="1:72" x14ac:dyDescent="0.15">
      <c r="A15" t="s">
        <v>72</v>
      </c>
      <c r="B15" t="s">
        <v>379</v>
      </c>
      <c r="C15" t="s">
        <v>74</v>
      </c>
      <c r="D15" t="s">
        <v>74</v>
      </c>
      <c r="E15" t="s">
        <v>74</v>
      </c>
      <c r="F15" t="s">
        <v>380</v>
      </c>
      <c r="G15" t="s">
        <v>74</v>
      </c>
      <c r="H15" t="s">
        <v>74</v>
      </c>
      <c r="I15" t="s">
        <v>381</v>
      </c>
      <c r="J15" t="s">
        <v>382</v>
      </c>
      <c r="K15" t="s">
        <v>74</v>
      </c>
      <c r="L15" t="s">
        <v>74</v>
      </c>
      <c r="M15" t="s">
        <v>78</v>
      </c>
      <c r="N15" t="s">
        <v>79</v>
      </c>
      <c r="O15" t="s">
        <v>74</v>
      </c>
      <c r="P15" t="s">
        <v>74</v>
      </c>
      <c r="Q15" t="s">
        <v>74</v>
      </c>
      <c r="R15" t="s">
        <v>74</v>
      </c>
      <c r="S15" t="s">
        <v>74</v>
      </c>
      <c r="T15" t="s">
        <v>383</v>
      </c>
      <c r="U15" t="s">
        <v>384</v>
      </c>
      <c r="V15" t="s">
        <v>385</v>
      </c>
      <c r="W15" t="s">
        <v>386</v>
      </c>
      <c r="X15" t="s">
        <v>74</v>
      </c>
      <c r="Y15" t="s">
        <v>387</v>
      </c>
      <c r="Z15" t="s">
        <v>388</v>
      </c>
      <c r="AA15" t="s">
        <v>74</v>
      </c>
      <c r="AB15" t="s">
        <v>74</v>
      </c>
      <c r="AC15" t="s">
        <v>389</v>
      </c>
      <c r="AD15" t="s">
        <v>390</v>
      </c>
      <c r="AE15" t="s">
        <v>391</v>
      </c>
      <c r="AF15" t="s">
        <v>74</v>
      </c>
      <c r="AG15">
        <v>41</v>
      </c>
      <c r="AH15">
        <v>16</v>
      </c>
      <c r="AI15">
        <v>16</v>
      </c>
      <c r="AJ15">
        <v>0</v>
      </c>
      <c r="AK15">
        <v>8</v>
      </c>
      <c r="AL15" t="s">
        <v>91</v>
      </c>
      <c r="AM15" t="s">
        <v>92</v>
      </c>
      <c r="AN15" t="s">
        <v>392</v>
      </c>
      <c r="AO15" t="s">
        <v>393</v>
      </c>
      <c r="AP15" t="s">
        <v>74</v>
      </c>
      <c r="AQ15" t="s">
        <v>74</v>
      </c>
      <c r="AR15" t="s">
        <v>382</v>
      </c>
      <c r="AS15" t="s">
        <v>394</v>
      </c>
      <c r="AT15" t="s">
        <v>395</v>
      </c>
      <c r="AU15">
        <v>2012</v>
      </c>
      <c r="AV15">
        <v>52</v>
      </c>
      <c r="AW15" t="s">
        <v>74</v>
      </c>
      <c r="AX15" t="s">
        <v>74</v>
      </c>
      <c r="AY15" t="s">
        <v>74</v>
      </c>
      <c r="AZ15" t="s">
        <v>74</v>
      </c>
      <c r="BA15" t="s">
        <v>74</v>
      </c>
      <c r="BB15">
        <v>33</v>
      </c>
      <c r="BC15">
        <v>42</v>
      </c>
      <c r="BD15" t="s">
        <v>74</v>
      </c>
      <c r="BE15" t="s">
        <v>74</v>
      </c>
      <c r="BF15" t="s">
        <v>74</v>
      </c>
      <c r="BG15" t="s">
        <v>74</v>
      </c>
      <c r="BH15" t="s">
        <v>74</v>
      </c>
      <c r="BI15">
        <v>10</v>
      </c>
      <c r="BJ15" t="s">
        <v>396</v>
      </c>
      <c r="BK15" t="s">
        <v>99</v>
      </c>
      <c r="BL15" t="s">
        <v>396</v>
      </c>
      <c r="BM15" t="s">
        <v>397</v>
      </c>
      <c r="BN15" t="s">
        <v>74</v>
      </c>
      <c r="BO15" t="s">
        <v>74</v>
      </c>
      <c r="BP15" t="s">
        <v>74</v>
      </c>
      <c r="BQ15" t="s">
        <v>74</v>
      </c>
      <c r="BR15" t="s">
        <v>101</v>
      </c>
      <c r="BS15" t="s">
        <v>398</v>
      </c>
      <c r="BT15" t="str">
        <f>HYPERLINK("https%3A%2F%2Fwww.webofscience.com%2Fwos%2Fwoscc%2Ffull-record%2FWOS:000303603100001","View Full Record in Web of Science")</f>
        <v>View Full Record in Web of Science</v>
      </c>
    </row>
    <row r="16" spans="1:72" x14ac:dyDescent="0.15">
      <c r="A16" t="s">
        <v>72</v>
      </c>
      <c r="B16" t="s">
        <v>399</v>
      </c>
      <c r="C16" t="s">
        <v>74</v>
      </c>
      <c r="D16" t="s">
        <v>74</v>
      </c>
      <c r="E16" t="s">
        <v>74</v>
      </c>
      <c r="F16" t="s">
        <v>400</v>
      </c>
      <c r="G16" t="s">
        <v>74</v>
      </c>
      <c r="H16" t="s">
        <v>74</v>
      </c>
      <c r="I16" t="s">
        <v>401</v>
      </c>
      <c r="J16" t="s">
        <v>333</v>
      </c>
      <c r="K16" t="s">
        <v>74</v>
      </c>
      <c r="L16" t="s">
        <v>74</v>
      </c>
      <c r="M16" t="s">
        <v>78</v>
      </c>
      <c r="N16" t="s">
        <v>79</v>
      </c>
      <c r="O16" t="s">
        <v>74</v>
      </c>
      <c r="P16" t="s">
        <v>74</v>
      </c>
      <c r="Q16" t="s">
        <v>74</v>
      </c>
      <c r="R16" t="s">
        <v>74</v>
      </c>
      <c r="S16" t="s">
        <v>74</v>
      </c>
      <c r="T16" t="s">
        <v>74</v>
      </c>
      <c r="U16" t="s">
        <v>402</v>
      </c>
      <c r="V16" t="s">
        <v>403</v>
      </c>
      <c r="W16" t="s">
        <v>404</v>
      </c>
      <c r="X16" t="s">
        <v>405</v>
      </c>
      <c r="Y16" t="s">
        <v>406</v>
      </c>
      <c r="Z16" t="s">
        <v>407</v>
      </c>
      <c r="AA16" t="s">
        <v>408</v>
      </c>
      <c r="AB16" t="s">
        <v>409</v>
      </c>
      <c r="AC16" t="s">
        <v>410</v>
      </c>
      <c r="AD16" t="s">
        <v>411</v>
      </c>
      <c r="AE16" t="s">
        <v>412</v>
      </c>
      <c r="AF16" t="s">
        <v>74</v>
      </c>
      <c r="AG16">
        <v>105</v>
      </c>
      <c r="AH16">
        <v>61</v>
      </c>
      <c r="AI16">
        <v>65</v>
      </c>
      <c r="AJ16">
        <v>0</v>
      </c>
      <c r="AK16">
        <v>22</v>
      </c>
      <c r="AL16" t="s">
        <v>118</v>
      </c>
      <c r="AM16" t="s">
        <v>119</v>
      </c>
      <c r="AN16" t="s">
        <v>120</v>
      </c>
      <c r="AO16" t="s">
        <v>344</v>
      </c>
      <c r="AP16" t="s">
        <v>74</v>
      </c>
      <c r="AQ16" t="s">
        <v>74</v>
      </c>
      <c r="AR16" t="s">
        <v>346</v>
      </c>
      <c r="AS16" t="s">
        <v>347</v>
      </c>
      <c r="AT16" t="s">
        <v>395</v>
      </c>
      <c r="AU16">
        <v>2012</v>
      </c>
      <c r="AV16">
        <v>117</v>
      </c>
      <c r="AW16" t="s">
        <v>74</v>
      </c>
      <c r="AX16" t="s">
        <v>74</v>
      </c>
      <c r="AY16" t="s">
        <v>74</v>
      </c>
      <c r="AZ16" t="s">
        <v>74</v>
      </c>
      <c r="BA16" t="s">
        <v>74</v>
      </c>
      <c r="BB16" t="s">
        <v>74</v>
      </c>
      <c r="BC16" t="s">
        <v>74</v>
      </c>
      <c r="BD16" t="s">
        <v>413</v>
      </c>
      <c r="BE16" t="s">
        <v>414</v>
      </c>
      <c r="BF16" t="str">
        <f>HYPERLINK("http://dx.doi.org/10.1029/2011JC007263","http://dx.doi.org/10.1029/2011JC007263")</f>
        <v>http://dx.doi.org/10.1029/2011JC007263</v>
      </c>
      <c r="BG16" t="s">
        <v>74</v>
      </c>
      <c r="BH16" t="s">
        <v>74</v>
      </c>
      <c r="BI16">
        <v>20</v>
      </c>
      <c r="BJ16" t="s">
        <v>350</v>
      </c>
      <c r="BK16" t="s">
        <v>99</v>
      </c>
      <c r="BL16" t="s">
        <v>350</v>
      </c>
      <c r="BM16" t="s">
        <v>415</v>
      </c>
      <c r="BN16" t="s">
        <v>74</v>
      </c>
      <c r="BO16" t="s">
        <v>308</v>
      </c>
      <c r="BP16" t="s">
        <v>74</v>
      </c>
      <c r="BQ16" t="s">
        <v>74</v>
      </c>
      <c r="BR16" t="s">
        <v>101</v>
      </c>
      <c r="BS16" t="s">
        <v>416</v>
      </c>
      <c r="BT16" t="str">
        <f>HYPERLINK("https%3A%2F%2Fwww.webofscience.com%2Fwos%2Fwoscc%2Ffull-record%2FWOS:000303670000001","View Full Record in Web of Science")</f>
        <v>View Full Record in Web of Science</v>
      </c>
    </row>
    <row r="17" spans="1:72" x14ac:dyDescent="0.15">
      <c r="A17" t="s">
        <v>72</v>
      </c>
      <c r="B17" t="s">
        <v>417</v>
      </c>
      <c r="C17" t="s">
        <v>74</v>
      </c>
      <c r="D17" t="s">
        <v>74</v>
      </c>
      <c r="E17" t="s">
        <v>74</v>
      </c>
      <c r="F17" t="s">
        <v>418</v>
      </c>
      <c r="G17" t="s">
        <v>74</v>
      </c>
      <c r="H17" t="s">
        <v>74</v>
      </c>
      <c r="I17" t="s">
        <v>419</v>
      </c>
      <c r="J17" t="s">
        <v>420</v>
      </c>
      <c r="K17" t="s">
        <v>74</v>
      </c>
      <c r="L17" t="s">
        <v>74</v>
      </c>
      <c r="M17" t="s">
        <v>78</v>
      </c>
      <c r="N17" t="s">
        <v>79</v>
      </c>
      <c r="O17" t="s">
        <v>74</v>
      </c>
      <c r="P17" t="s">
        <v>74</v>
      </c>
      <c r="Q17" t="s">
        <v>74</v>
      </c>
      <c r="R17" t="s">
        <v>74</v>
      </c>
      <c r="S17" t="s">
        <v>74</v>
      </c>
      <c r="T17" t="s">
        <v>74</v>
      </c>
      <c r="U17" t="s">
        <v>421</v>
      </c>
      <c r="V17" t="s">
        <v>422</v>
      </c>
      <c r="W17" t="s">
        <v>423</v>
      </c>
      <c r="X17" t="s">
        <v>424</v>
      </c>
      <c r="Y17" t="s">
        <v>425</v>
      </c>
      <c r="Z17" t="s">
        <v>426</v>
      </c>
      <c r="AA17" t="s">
        <v>427</v>
      </c>
      <c r="AB17" t="s">
        <v>428</v>
      </c>
      <c r="AC17" t="s">
        <v>429</v>
      </c>
      <c r="AD17" t="s">
        <v>430</v>
      </c>
      <c r="AE17" t="s">
        <v>431</v>
      </c>
      <c r="AF17" t="s">
        <v>74</v>
      </c>
      <c r="AG17">
        <v>21</v>
      </c>
      <c r="AH17">
        <v>44</v>
      </c>
      <c r="AI17">
        <v>48</v>
      </c>
      <c r="AJ17">
        <v>2</v>
      </c>
      <c r="AK17">
        <v>4</v>
      </c>
      <c r="AL17" t="s">
        <v>118</v>
      </c>
      <c r="AM17" t="s">
        <v>119</v>
      </c>
      <c r="AN17" t="s">
        <v>120</v>
      </c>
      <c r="AO17" t="s">
        <v>432</v>
      </c>
      <c r="AP17" t="s">
        <v>433</v>
      </c>
      <c r="AQ17" t="s">
        <v>74</v>
      </c>
      <c r="AR17" t="s">
        <v>434</v>
      </c>
      <c r="AS17" t="s">
        <v>435</v>
      </c>
      <c r="AT17" t="s">
        <v>395</v>
      </c>
      <c r="AU17">
        <v>2012</v>
      </c>
      <c r="AV17">
        <v>117</v>
      </c>
      <c r="AW17" t="s">
        <v>74</v>
      </c>
      <c r="AX17" t="s">
        <v>74</v>
      </c>
      <c r="AY17" t="s">
        <v>74</v>
      </c>
      <c r="AZ17" t="s">
        <v>74</v>
      </c>
      <c r="BA17" t="s">
        <v>74</v>
      </c>
      <c r="BB17" t="s">
        <v>74</v>
      </c>
      <c r="BC17" t="s">
        <v>74</v>
      </c>
      <c r="BD17" t="s">
        <v>436</v>
      </c>
      <c r="BE17" t="s">
        <v>437</v>
      </c>
      <c r="BF17" t="str">
        <f>HYPERLINK("http://dx.doi.org/10.1029/2011JA017073","http://dx.doi.org/10.1029/2011JA017073")</f>
        <v>http://dx.doi.org/10.1029/2011JA017073</v>
      </c>
      <c r="BG17" t="s">
        <v>74</v>
      </c>
      <c r="BH17" t="s">
        <v>74</v>
      </c>
      <c r="BI17">
        <v>23</v>
      </c>
      <c r="BJ17" t="s">
        <v>438</v>
      </c>
      <c r="BK17" t="s">
        <v>99</v>
      </c>
      <c r="BL17" t="s">
        <v>438</v>
      </c>
      <c r="BM17" t="s">
        <v>439</v>
      </c>
      <c r="BN17" t="s">
        <v>74</v>
      </c>
      <c r="BO17" t="s">
        <v>440</v>
      </c>
      <c r="BP17" t="s">
        <v>74</v>
      </c>
      <c r="BQ17" t="s">
        <v>74</v>
      </c>
      <c r="BR17" t="s">
        <v>101</v>
      </c>
      <c r="BS17" t="s">
        <v>441</v>
      </c>
      <c r="BT17" t="str">
        <f>HYPERLINK("https%3A%2F%2Fwww.webofscience.com%2Fwos%2Fwoscc%2Ffull-record%2FWOS:000303672100001","View Full Record in Web of Science")</f>
        <v>View Full Record in Web of Science</v>
      </c>
    </row>
    <row r="18" spans="1:72" x14ac:dyDescent="0.15">
      <c r="A18" t="s">
        <v>72</v>
      </c>
      <c r="B18" t="s">
        <v>442</v>
      </c>
      <c r="C18" t="s">
        <v>74</v>
      </c>
      <c r="D18" t="s">
        <v>74</v>
      </c>
      <c r="E18" t="s">
        <v>74</v>
      </c>
      <c r="F18" t="s">
        <v>443</v>
      </c>
      <c r="G18" t="s">
        <v>74</v>
      </c>
      <c r="H18" t="s">
        <v>74</v>
      </c>
      <c r="I18" t="s">
        <v>444</v>
      </c>
      <c r="J18" t="s">
        <v>106</v>
      </c>
      <c r="K18" t="s">
        <v>74</v>
      </c>
      <c r="L18" t="s">
        <v>74</v>
      </c>
      <c r="M18" t="s">
        <v>78</v>
      </c>
      <c r="N18" t="s">
        <v>79</v>
      </c>
      <c r="O18" t="s">
        <v>74</v>
      </c>
      <c r="P18" t="s">
        <v>74</v>
      </c>
      <c r="Q18" t="s">
        <v>74</v>
      </c>
      <c r="R18" t="s">
        <v>74</v>
      </c>
      <c r="S18" t="s">
        <v>74</v>
      </c>
      <c r="T18" t="s">
        <v>74</v>
      </c>
      <c r="U18" t="s">
        <v>445</v>
      </c>
      <c r="V18" t="s">
        <v>446</v>
      </c>
      <c r="W18" t="s">
        <v>447</v>
      </c>
      <c r="X18" t="s">
        <v>448</v>
      </c>
      <c r="Y18" t="s">
        <v>449</v>
      </c>
      <c r="Z18" t="s">
        <v>450</v>
      </c>
      <c r="AA18" t="s">
        <v>74</v>
      </c>
      <c r="AB18" t="s">
        <v>74</v>
      </c>
      <c r="AC18" t="s">
        <v>451</v>
      </c>
      <c r="AD18" t="s">
        <v>452</v>
      </c>
      <c r="AE18" t="s">
        <v>453</v>
      </c>
      <c r="AF18" t="s">
        <v>74</v>
      </c>
      <c r="AG18">
        <v>41</v>
      </c>
      <c r="AH18">
        <v>3</v>
      </c>
      <c r="AI18">
        <v>3</v>
      </c>
      <c r="AJ18">
        <v>0</v>
      </c>
      <c r="AK18">
        <v>4</v>
      </c>
      <c r="AL18" t="s">
        <v>118</v>
      </c>
      <c r="AM18" t="s">
        <v>119</v>
      </c>
      <c r="AN18" t="s">
        <v>120</v>
      </c>
      <c r="AO18" t="s">
        <v>121</v>
      </c>
      <c r="AP18" t="s">
        <v>122</v>
      </c>
      <c r="AQ18" t="s">
        <v>74</v>
      </c>
      <c r="AR18" t="s">
        <v>123</v>
      </c>
      <c r="AS18" t="s">
        <v>124</v>
      </c>
      <c r="AT18" t="s">
        <v>454</v>
      </c>
      <c r="AU18">
        <v>2012</v>
      </c>
      <c r="AV18">
        <v>117</v>
      </c>
      <c r="AW18" t="s">
        <v>74</v>
      </c>
      <c r="AX18" t="s">
        <v>74</v>
      </c>
      <c r="AY18" t="s">
        <v>74</v>
      </c>
      <c r="AZ18" t="s">
        <v>74</v>
      </c>
      <c r="BA18" t="s">
        <v>74</v>
      </c>
      <c r="BB18" t="s">
        <v>74</v>
      </c>
      <c r="BC18" t="s">
        <v>74</v>
      </c>
      <c r="BD18" t="s">
        <v>455</v>
      </c>
      <c r="BE18" t="s">
        <v>456</v>
      </c>
      <c r="BF18" t="str">
        <f>HYPERLINK("http://dx.doi.org/10.1029/2011JD016731","http://dx.doi.org/10.1029/2011JD016731")</f>
        <v>http://dx.doi.org/10.1029/2011JD016731</v>
      </c>
      <c r="BG18" t="s">
        <v>74</v>
      </c>
      <c r="BH18" t="s">
        <v>74</v>
      </c>
      <c r="BI18">
        <v>15</v>
      </c>
      <c r="BJ18" t="s">
        <v>128</v>
      </c>
      <c r="BK18" t="s">
        <v>99</v>
      </c>
      <c r="BL18" t="s">
        <v>128</v>
      </c>
      <c r="BM18" t="s">
        <v>457</v>
      </c>
      <c r="BN18" t="s">
        <v>74</v>
      </c>
      <c r="BO18" t="s">
        <v>74</v>
      </c>
      <c r="BP18" t="s">
        <v>74</v>
      </c>
      <c r="BQ18" t="s">
        <v>74</v>
      </c>
      <c r="BR18" t="s">
        <v>101</v>
      </c>
      <c r="BS18" t="s">
        <v>458</v>
      </c>
      <c r="BT18" t="str">
        <f>HYPERLINK("https%3A%2F%2Fwww.webofscience.com%2Fwos%2Fwoscc%2Ffull-record%2FWOS:000303678300002","View Full Record in Web of Science")</f>
        <v>View Full Record in Web of Science</v>
      </c>
    </row>
    <row r="19" spans="1:72" x14ac:dyDescent="0.15">
      <c r="A19" t="s">
        <v>72</v>
      </c>
      <c r="B19" t="s">
        <v>459</v>
      </c>
      <c r="C19" t="s">
        <v>74</v>
      </c>
      <c r="D19" t="s">
        <v>74</v>
      </c>
      <c r="E19" t="s">
        <v>74</v>
      </c>
      <c r="F19" t="s">
        <v>460</v>
      </c>
      <c r="G19" t="s">
        <v>74</v>
      </c>
      <c r="H19" t="s">
        <v>74</v>
      </c>
      <c r="I19" t="s">
        <v>461</v>
      </c>
      <c r="J19" t="s">
        <v>462</v>
      </c>
      <c r="K19" t="s">
        <v>74</v>
      </c>
      <c r="L19" t="s">
        <v>74</v>
      </c>
      <c r="M19" t="s">
        <v>78</v>
      </c>
      <c r="N19" t="s">
        <v>79</v>
      </c>
      <c r="O19" t="s">
        <v>74</v>
      </c>
      <c r="P19" t="s">
        <v>74</v>
      </c>
      <c r="Q19" t="s">
        <v>74</v>
      </c>
      <c r="R19" t="s">
        <v>74</v>
      </c>
      <c r="S19" t="s">
        <v>74</v>
      </c>
      <c r="T19" t="s">
        <v>463</v>
      </c>
      <c r="U19" t="s">
        <v>464</v>
      </c>
      <c r="V19" t="s">
        <v>465</v>
      </c>
      <c r="W19" t="s">
        <v>466</v>
      </c>
      <c r="X19" t="s">
        <v>467</v>
      </c>
      <c r="Y19" t="s">
        <v>468</v>
      </c>
      <c r="Z19" t="s">
        <v>469</v>
      </c>
      <c r="AA19" t="s">
        <v>470</v>
      </c>
      <c r="AB19" t="s">
        <v>471</v>
      </c>
      <c r="AC19" t="s">
        <v>472</v>
      </c>
      <c r="AD19" t="s">
        <v>473</v>
      </c>
      <c r="AE19" t="s">
        <v>474</v>
      </c>
      <c r="AF19" t="s">
        <v>74</v>
      </c>
      <c r="AG19">
        <v>121</v>
      </c>
      <c r="AH19">
        <v>23</v>
      </c>
      <c r="AI19">
        <v>23</v>
      </c>
      <c r="AJ19">
        <v>1</v>
      </c>
      <c r="AK19">
        <v>9</v>
      </c>
      <c r="AL19" t="s">
        <v>277</v>
      </c>
      <c r="AM19" t="s">
        <v>278</v>
      </c>
      <c r="AN19" t="s">
        <v>279</v>
      </c>
      <c r="AO19" t="s">
        <v>475</v>
      </c>
      <c r="AP19" t="s">
        <v>476</v>
      </c>
      <c r="AQ19" t="s">
        <v>74</v>
      </c>
      <c r="AR19" t="s">
        <v>477</v>
      </c>
      <c r="AS19" t="s">
        <v>478</v>
      </c>
      <c r="AT19" t="s">
        <v>454</v>
      </c>
      <c r="AU19">
        <v>2012</v>
      </c>
      <c r="AV19">
        <v>50</v>
      </c>
      <c r="AW19" t="s">
        <v>74</v>
      </c>
      <c r="AX19" t="s">
        <v>74</v>
      </c>
      <c r="AY19" t="s">
        <v>74</v>
      </c>
      <c r="AZ19" t="s">
        <v>74</v>
      </c>
      <c r="BA19" t="s">
        <v>74</v>
      </c>
      <c r="BB19">
        <v>14</v>
      </c>
      <c r="BC19">
        <v>26</v>
      </c>
      <c r="BD19" t="s">
        <v>74</v>
      </c>
      <c r="BE19" t="s">
        <v>479</v>
      </c>
      <c r="BF19" t="str">
        <f>HYPERLINK("http://dx.doi.org/10.1016/j.jseaes.2012.01.017","http://dx.doi.org/10.1016/j.jseaes.2012.01.017")</f>
        <v>http://dx.doi.org/10.1016/j.jseaes.2012.01.017</v>
      </c>
      <c r="BG19" t="s">
        <v>74</v>
      </c>
      <c r="BH19" t="s">
        <v>74</v>
      </c>
      <c r="BI19">
        <v>13</v>
      </c>
      <c r="BJ19" t="s">
        <v>194</v>
      </c>
      <c r="BK19" t="s">
        <v>99</v>
      </c>
      <c r="BL19" t="s">
        <v>195</v>
      </c>
      <c r="BM19" t="s">
        <v>480</v>
      </c>
      <c r="BN19" t="s">
        <v>74</v>
      </c>
      <c r="BO19" t="s">
        <v>74</v>
      </c>
      <c r="BP19" t="s">
        <v>74</v>
      </c>
      <c r="BQ19" t="s">
        <v>74</v>
      </c>
      <c r="BR19" t="s">
        <v>101</v>
      </c>
      <c r="BS19" t="s">
        <v>481</v>
      </c>
      <c r="BT19" t="str">
        <f>HYPERLINK("https%3A%2F%2Fwww.webofscience.com%2Fwos%2Fwoscc%2Ffull-record%2FWOS:000303431900003","View Full Record in Web of Science")</f>
        <v>View Full Record in Web of Science</v>
      </c>
    </row>
    <row r="20" spans="1:72" x14ac:dyDescent="0.15">
      <c r="A20" t="s">
        <v>72</v>
      </c>
      <c r="B20" t="s">
        <v>482</v>
      </c>
      <c r="C20" t="s">
        <v>74</v>
      </c>
      <c r="D20" t="s">
        <v>74</v>
      </c>
      <c r="E20" t="s">
        <v>74</v>
      </c>
      <c r="F20" t="s">
        <v>483</v>
      </c>
      <c r="G20" t="s">
        <v>74</v>
      </c>
      <c r="H20" t="s">
        <v>74</v>
      </c>
      <c r="I20" t="s">
        <v>484</v>
      </c>
      <c r="J20" t="s">
        <v>106</v>
      </c>
      <c r="K20" t="s">
        <v>74</v>
      </c>
      <c r="L20" t="s">
        <v>74</v>
      </c>
      <c r="M20" t="s">
        <v>78</v>
      </c>
      <c r="N20" t="s">
        <v>79</v>
      </c>
      <c r="O20" t="s">
        <v>74</v>
      </c>
      <c r="P20" t="s">
        <v>74</v>
      </c>
      <c r="Q20" t="s">
        <v>74</v>
      </c>
      <c r="R20" t="s">
        <v>74</v>
      </c>
      <c r="S20" t="s">
        <v>74</v>
      </c>
      <c r="T20" t="s">
        <v>74</v>
      </c>
      <c r="U20" t="s">
        <v>485</v>
      </c>
      <c r="V20" t="s">
        <v>486</v>
      </c>
      <c r="W20" t="s">
        <v>487</v>
      </c>
      <c r="X20" t="s">
        <v>488</v>
      </c>
      <c r="Y20" t="s">
        <v>489</v>
      </c>
      <c r="Z20" t="s">
        <v>490</v>
      </c>
      <c r="AA20" t="s">
        <v>491</v>
      </c>
      <c r="AB20" t="s">
        <v>492</v>
      </c>
      <c r="AC20" t="s">
        <v>493</v>
      </c>
      <c r="AD20" t="s">
        <v>494</v>
      </c>
      <c r="AE20" t="s">
        <v>495</v>
      </c>
      <c r="AF20" t="s">
        <v>74</v>
      </c>
      <c r="AG20">
        <v>62</v>
      </c>
      <c r="AH20">
        <v>13</v>
      </c>
      <c r="AI20">
        <v>13</v>
      </c>
      <c r="AJ20">
        <v>0</v>
      </c>
      <c r="AK20">
        <v>10</v>
      </c>
      <c r="AL20" t="s">
        <v>118</v>
      </c>
      <c r="AM20" t="s">
        <v>119</v>
      </c>
      <c r="AN20" t="s">
        <v>120</v>
      </c>
      <c r="AO20" t="s">
        <v>121</v>
      </c>
      <c r="AP20" t="s">
        <v>74</v>
      </c>
      <c r="AQ20" t="s">
        <v>74</v>
      </c>
      <c r="AR20" t="s">
        <v>123</v>
      </c>
      <c r="AS20" t="s">
        <v>124</v>
      </c>
      <c r="AT20" t="s">
        <v>454</v>
      </c>
      <c r="AU20">
        <v>2012</v>
      </c>
      <c r="AV20">
        <v>117</v>
      </c>
      <c r="AW20" t="s">
        <v>74</v>
      </c>
      <c r="AX20" t="s">
        <v>74</v>
      </c>
      <c r="AY20" t="s">
        <v>74</v>
      </c>
      <c r="AZ20" t="s">
        <v>74</v>
      </c>
      <c r="BA20" t="s">
        <v>74</v>
      </c>
      <c r="BB20" t="s">
        <v>74</v>
      </c>
      <c r="BC20" t="s">
        <v>74</v>
      </c>
      <c r="BD20" t="s">
        <v>496</v>
      </c>
      <c r="BE20" t="s">
        <v>497</v>
      </c>
      <c r="BF20" t="str">
        <f>HYPERLINK("http://dx.doi.org/10.1029/2011JD016901","http://dx.doi.org/10.1029/2011JD016901")</f>
        <v>http://dx.doi.org/10.1029/2011JD016901</v>
      </c>
      <c r="BG20" t="s">
        <v>74</v>
      </c>
      <c r="BH20" t="s">
        <v>74</v>
      </c>
      <c r="BI20">
        <v>15</v>
      </c>
      <c r="BJ20" t="s">
        <v>128</v>
      </c>
      <c r="BK20" t="s">
        <v>99</v>
      </c>
      <c r="BL20" t="s">
        <v>128</v>
      </c>
      <c r="BM20" t="s">
        <v>457</v>
      </c>
      <c r="BN20" t="s">
        <v>74</v>
      </c>
      <c r="BO20" t="s">
        <v>130</v>
      </c>
      <c r="BP20" t="s">
        <v>74</v>
      </c>
      <c r="BQ20" t="s">
        <v>74</v>
      </c>
      <c r="BR20" t="s">
        <v>101</v>
      </c>
      <c r="BS20" t="s">
        <v>498</v>
      </c>
      <c r="BT20" t="str">
        <f>HYPERLINK("https%3A%2F%2Fwww.webofscience.com%2Fwos%2Fwoscc%2Ffull-record%2FWOS:000303678300003","View Full Record in Web of Science")</f>
        <v>View Full Record in Web of Science</v>
      </c>
    </row>
    <row r="21" spans="1:72" x14ac:dyDescent="0.15">
      <c r="A21" t="s">
        <v>72</v>
      </c>
      <c r="B21" t="s">
        <v>499</v>
      </c>
      <c r="C21" t="s">
        <v>74</v>
      </c>
      <c r="D21" t="s">
        <v>74</v>
      </c>
      <c r="E21" t="s">
        <v>74</v>
      </c>
      <c r="F21" t="s">
        <v>500</v>
      </c>
      <c r="G21" t="s">
        <v>74</v>
      </c>
      <c r="H21" t="s">
        <v>74</v>
      </c>
      <c r="I21" t="s">
        <v>501</v>
      </c>
      <c r="J21" t="s">
        <v>502</v>
      </c>
      <c r="K21" t="s">
        <v>74</v>
      </c>
      <c r="L21" t="s">
        <v>74</v>
      </c>
      <c r="M21" t="s">
        <v>78</v>
      </c>
      <c r="N21" t="s">
        <v>79</v>
      </c>
      <c r="O21" t="s">
        <v>74</v>
      </c>
      <c r="P21" t="s">
        <v>74</v>
      </c>
      <c r="Q21" t="s">
        <v>74</v>
      </c>
      <c r="R21" t="s">
        <v>74</v>
      </c>
      <c r="S21" t="s">
        <v>74</v>
      </c>
      <c r="T21" t="s">
        <v>74</v>
      </c>
      <c r="U21" t="s">
        <v>503</v>
      </c>
      <c r="V21" t="s">
        <v>504</v>
      </c>
      <c r="W21" t="s">
        <v>505</v>
      </c>
      <c r="X21" t="s">
        <v>506</v>
      </c>
      <c r="Y21" t="s">
        <v>507</v>
      </c>
      <c r="Z21" t="s">
        <v>508</v>
      </c>
      <c r="AA21" t="s">
        <v>74</v>
      </c>
      <c r="AB21" t="s">
        <v>509</v>
      </c>
      <c r="AC21" t="s">
        <v>510</v>
      </c>
      <c r="AD21" t="s">
        <v>511</v>
      </c>
      <c r="AE21" t="s">
        <v>512</v>
      </c>
      <c r="AF21" t="s">
        <v>74</v>
      </c>
      <c r="AG21">
        <v>51</v>
      </c>
      <c r="AH21">
        <v>22</v>
      </c>
      <c r="AI21">
        <v>24</v>
      </c>
      <c r="AJ21">
        <v>0</v>
      </c>
      <c r="AK21">
        <v>24</v>
      </c>
      <c r="AL21" t="s">
        <v>513</v>
      </c>
      <c r="AM21" t="s">
        <v>514</v>
      </c>
      <c r="AN21" t="s">
        <v>515</v>
      </c>
      <c r="AO21" t="s">
        <v>516</v>
      </c>
      <c r="AP21" t="s">
        <v>74</v>
      </c>
      <c r="AQ21" t="s">
        <v>74</v>
      </c>
      <c r="AR21" t="s">
        <v>502</v>
      </c>
      <c r="AS21" t="s">
        <v>517</v>
      </c>
      <c r="AT21" t="s">
        <v>454</v>
      </c>
      <c r="AU21">
        <v>2012</v>
      </c>
      <c r="AV21">
        <v>7</v>
      </c>
      <c r="AW21">
        <v>5</v>
      </c>
      <c r="AX21" t="s">
        <v>74</v>
      </c>
      <c r="AY21" t="s">
        <v>74</v>
      </c>
      <c r="AZ21" t="s">
        <v>74</v>
      </c>
      <c r="BA21" t="s">
        <v>74</v>
      </c>
      <c r="BB21" t="s">
        <v>74</v>
      </c>
      <c r="BC21" t="s">
        <v>74</v>
      </c>
      <c r="BD21" t="s">
        <v>518</v>
      </c>
      <c r="BE21" t="s">
        <v>519</v>
      </c>
      <c r="BF21" t="str">
        <f>HYPERLINK("http://dx.doi.org/10.1371/journal.pone.0035775","http://dx.doi.org/10.1371/journal.pone.0035775")</f>
        <v>http://dx.doi.org/10.1371/journal.pone.0035775</v>
      </c>
      <c r="BG21" t="s">
        <v>74</v>
      </c>
      <c r="BH21" t="s">
        <v>74</v>
      </c>
      <c r="BI21">
        <v>8</v>
      </c>
      <c r="BJ21" t="s">
        <v>153</v>
      </c>
      <c r="BK21" t="s">
        <v>99</v>
      </c>
      <c r="BL21" t="s">
        <v>154</v>
      </c>
      <c r="BM21" t="s">
        <v>520</v>
      </c>
      <c r="BN21">
        <v>22567112</v>
      </c>
      <c r="BO21" t="s">
        <v>521</v>
      </c>
      <c r="BP21" t="s">
        <v>74</v>
      </c>
      <c r="BQ21" t="s">
        <v>74</v>
      </c>
      <c r="BR21" t="s">
        <v>101</v>
      </c>
      <c r="BS21" t="s">
        <v>522</v>
      </c>
      <c r="BT21" t="str">
        <f>HYPERLINK("https%3A%2F%2Fwww.webofscience.com%2Fwos%2Fwoscc%2Ffull-record%2FWOS:000305341500030","View Full Record in Web of Science")</f>
        <v>View Full Record in Web of Science</v>
      </c>
    </row>
    <row r="22" spans="1:72" x14ac:dyDescent="0.15">
      <c r="A22" t="s">
        <v>72</v>
      </c>
      <c r="B22" t="s">
        <v>523</v>
      </c>
      <c r="C22" t="s">
        <v>74</v>
      </c>
      <c r="D22" t="s">
        <v>74</v>
      </c>
      <c r="E22" t="s">
        <v>74</v>
      </c>
      <c r="F22" t="s">
        <v>524</v>
      </c>
      <c r="G22" t="s">
        <v>74</v>
      </c>
      <c r="H22" t="s">
        <v>74</v>
      </c>
      <c r="I22" t="s">
        <v>525</v>
      </c>
      <c r="J22" t="s">
        <v>502</v>
      </c>
      <c r="K22" t="s">
        <v>74</v>
      </c>
      <c r="L22" t="s">
        <v>74</v>
      </c>
      <c r="M22" t="s">
        <v>78</v>
      </c>
      <c r="N22" t="s">
        <v>79</v>
      </c>
      <c r="O22" t="s">
        <v>74</v>
      </c>
      <c r="P22" t="s">
        <v>74</v>
      </c>
      <c r="Q22" t="s">
        <v>74</v>
      </c>
      <c r="R22" t="s">
        <v>74</v>
      </c>
      <c r="S22" t="s">
        <v>74</v>
      </c>
      <c r="T22" t="s">
        <v>74</v>
      </c>
      <c r="U22" t="s">
        <v>526</v>
      </c>
      <c r="V22" t="s">
        <v>527</v>
      </c>
      <c r="W22" t="s">
        <v>528</v>
      </c>
      <c r="X22" t="s">
        <v>529</v>
      </c>
      <c r="Y22" t="s">
        <v>530</v>
      </c>
      <c r="Z22" t="s">
        <v>531</v>
      </c>
      <c r="AA22" t="s">
        <v>74</v>
      </c>
      <c r="AB22" t="s">
        <v>74</v>
      </c>
      <c r="AC22" t="s">
        <v>532</v>
      </c>
      <c r="AD22" t="s">
        <v>533</v>
      </c>
      <c r="AE22" t="s">
        <v>534</v>
      </c>
      <c r="AF22" t="s">
        <v>74</v>
      </c>
      <c r="AG22">
        <v>50</v>
      </c>
      <c r="AH22">
        <v>72</v>
      </c>
      <c r="AI22">
        <v>80</v>
      </c>
      <c r="AJ22">
        <v>1</v>
      </c>
      <c r="AK22">
        <v>50</v>
      </c>
      <c r="AL22" t="s">
        <v>513</v>
      </c>
      <c r="AM22" t="s">
        <v>514</v>
      </c>
      <c r="AN22" t="s">
        <v>515</v>
      </c>
      <c r="AO22" t="s">
        <v>516</v>
      </c>
      <c r="AP22" t="s">
        <v>74</v>
      </c>
      <c r="AQ22" t="s">
        <v>74</v>
      </c>
      <c r="AR22" t="s">
        <v>502</v>
      </c>
      <c r="AS22" t="s">
        <v>517</v>
      </c>
      <c r="AT22" t="s">
        <v>454</v>
      </c>
      <c r="AU22">
        <v>2012</v>
      </c>
      <c r="AV22">
        <v>7</v>
      </c>
      <c r="AW22">
        <v>5</v>
      </c>
      <c r="AX22" t="s">
        <v>74</v>
      </c>
      <c r="AY22" t="s">
        <v>74</v>
      </c>
      <c r="AZ22" t="s">
        <v>74</v>
      </c>
      <c r="BA22" t="s">
        <v>74</v>
      </c>
      <c r="BB22" t="s">
        <v>74</v>
      </c>
      <c r="BC22" t="s">
        <v>74</v>
      </c>
      <c r="BD22" t="s">
        <v>535</v>
      </c>
      <c r="BE22" t="s">
        <v>536</v>
      </c>
      <c r="BF22" t="str">
        <f>HYPERLINK("http://dx.doi.org/10.1371/journal.pone.0035968","http://dx.doi.org/10.1371/journal.pone.0035968")</f>
        <v>http://dx.doi.org/10.1371/journal.pone.0035968</v>
      </c>
      <c r="BG22" t="s">
        <v>74</v>
      </c>
      <c r="BH22" t="s">
        <v>74</v>
      </c>
      <c r="BI22">
        <v>9</v>
      </c>
      <c r="BJ22" t="s">
        <v>153</v>
      </c>
      <c r="BK22" t="s">
        <v>99</v>
      </c>
      <c r="BL22" t="s">
        <v>154</v>
      </c>
      <c r="BM22" t="s">
        <v>520</v>
      </c>
      <c r="BN22">
        <v>22567121</v>
      </c>
      <c r="BO22" t="s">
        <v>537</v>
      </c>
      <c r="BP22" t="s">
        <v>74</v>
      </c>
      <c r="BQ22" t="s">
        <v>74</v>
      </c>
      <c r="BR22" t="s">
        <v>101</v>
      </c>
      <c r="BS22" t="s">
        <v>538</v>
      </c>
      <c r="BT22" t="str">
        <f>HYPERLINK("https%3A%2F%2Fwww.webofscience.com%2Fwos%2Fwoscc%2Ffull-record%2FWOS:000305341500039","View Full Record in Web of Science")</f>
        <v>View Full Record in Web of Science</v>
      </c>
    </row>
    <row r="23" spans="1:72" x14ac:dyDescent="0.15">
      <c r="A23" t="s">
        <v>72</v>
      </c>
      <c r="B23" t="s">
        <v>539</v>
      </c>
      <c r="C23" t="s">
        <v>74</v>
      </c>
      <c r="D23" t="s">
        <v>74</v>
      </c>
      <c r="E23" t="s">
        <v>74</v>
      </c>
      <c r="F23" t="s">
        <v>540</v>
      </c>
      <c r="G23" t="s">
        <v>74</v>
      </c>
      <c r="H23" t="s">
        <v>74</v>
      </c>
      <c r="I23" t="s">
        <v>541</v>
      </c>
      <c r="J23" t="s">
        <v>542</v>
      </c>
      <c r="K23" t="s">
        <v>74</v>
      </c>
      <c r="L23" t="s">
        <v>74</v>
      </c>
      <c r="M23" t="s">
        <v>78</v>
      </c>
      <c r="N23" t="s">
        <v>79</v>
      </c>
      <c r="O23" t="s">
        <v>74</v>
      </c>
      <c r="P23" t="s">
        <v>74</v>
      </c>
      <c r="Q23" t="s">
        <v>74</v>
      </c>
      <c r="R23" t="s">
        <v>74</v>
      </c>
      <c r="S23" t="s">
        <v>74</v>
      </c>
      <c r="T23" t="s">
        <v>543</v>
      </c>
      <c r="U23" t="s">
        <v>74</v>
      </c>
      <c r="V23" t="s">
        <v>544</v>
      </c>
      <c r="W23" t="s">
        <v>545</v>
      </c>
      <c r="X23" t="s">
        <v>546</v>
      </c>
      <c r="Y23" t="s">
        <v>547</v>
      </c>
      <c r="Z23" t="s">
        <v>548</v>
      </c>
      <c r="AA23" t="s">
        <v>549</v>
      </c>
      <c r="AB23" t="s">
        <v>550</v>
      </c>
      <c r="AC23" t="s">
        <v>551</v>
      </c>
      <c r="AD23" t="s">
        <v>551</v>
      </c>
      <c r="AE23" t="s">
        <v>552</v>
      </c>
      <c r="AF23" t="s">
        <v>74</v>
      </c>
      <c r="AG23">
        <v>2</v>
      </c>
      <c r="AH23">
        <v>167</v>
      </c>
      <c r="AI23">
        <v>188</v>
      </c>
      <c r="AJ23">
        <v>1</v>
      </c>
      <c r="AK23">
        <v>72</v>
      </c>
      <c r="AL23" t="s">
        <v>553</v>
      </c>
      <c r="AM23" t="s">
        <v>554</v>
      </c>
      <c r="AN23" t="s">
        <v>555</v>
      </c>
      <c r="AO23" t="s">
        <v>556</v>
      </c>
      <c r="AP23" t="s">
        <v>74</v>
      </c>
      <c r="AQ23" t="s">
        <v>74</v>
      </c>
      <c r="AR23" t="s">
        <v>557</v>
      </c>
      <c r="AS23" t="s">
        <v>558</v>
      </c>
      <c r="AT23" t="s">
        <v>559</v>
      </c>
      <c r="AU23">
        <v>2012</v>
      </c>
      <c r="AV23">
        <v>4</v>
      </c>
      <c r="AW23">
        <v>5</v>
      </c>
      <c r="AX23" t="s">
        <v>74</v>
      </c>
      <c r="AY23" t="s">
        <v>74</v>
      </c>
      <c r="AZ23" t="s">
        <v>74</v>
      </c>
      <c r="BA23" t="s">
        <v>74</v>
      </c>
      <c r="BB23">
        <v>1462</v>
      </c>
      <c r="BC23">
        <v>1493</v>
      </c>
      <c r="BD23" t="s">
        <v>74</v>
      </c>
      <c r="BE23" t="s">
        <v>560</v>
      </c>
      <c r="BF23" t="str">
        <f>HYPERLINK("http://dx.doi.org/10.3390/rs4051462","http://dx.doi.org/10.3390/rs4051462")</f>
        <v>http://dx.doi.org/10.3390/rs4051462</v>
      </c>
      <c r="BG23" t="s">
        <v>74</v>
      </c>
      <c r="BH23" t="s">
        <v>74</v>
      </c>
      <c r="BI23">
        <v>32</v>
      </c>
      <c r="BJ23" t="s">
        <v>561</v>
      </c>
      <c r="BK23" t="s">
        <v>99</v>
      </c>
      <c r="BL23" t="s">
        <v>562</v>
      </c>
      <c r="BM23" t="s">
        <v>563</v>
      </c>
      <c r="BN23" t="s">
        <v>74</v>
      </c>
      <c r="BO23" t="s">
        <v>564</v>
      </c>
      <c r="BP23" t="s">
        <v>74</v>
      </c>
      <c r="BQ23" t="s">
        <v>74</v>
      </c>
      <c r="BR23" t="s">
        <v>101</v>
      </c>
      <c r="BS23" t="s">
        <v>565</v>
      </c>
      <c r="BT23" t="str">
        <f>HYPERLINK("https%3A%2F%2Fwww.webofscience.com%2Fwos%2Fwoscc%2Ffull-record%2FWOS:000306757800018","View Full Record in Web of Science")</f>
        <v>View Full Record in Web of Science</v>
      </c>
    </row>
    <row r="24" spans="1:72" x14ac:dyDescent="0.15">
      <c r="A24" t="s">
        <v>72</v>
      </c>
      <c r="B24" t="s">
        <v>566</v>
      </c>
      <c r="C24" t="s">
        <v>74</v>
      </c>
      <c r="D24" t="s">
        <v>74</v>
      </c>
      <c r="E24" t="s">
        <v>74</v>
      </c>
      <c r="F24" t="s">
        <v>567</v>
      </c>
      <c r="G24" t="s">
        <v>74</v>
      </c>
      <c r="H24" t="s">
        <v>74</v>
      </c>
      <c r="I24" t="s">
        <v>568</v>
      </c>
      <c r="J24" t="s">
        <v>569</v>
      </c>
      <c r="K24" t="s">
        <v>74</v>
      </c>
      <c r="L24" t="s">
        <v>74</v>
      </c>
      <c r="M24" t="s">
        <v>78</v>
      </c>
      <c r="N24" t="s">
        <v>79</v>
      </c>
      <c r="O24" t="s">
        <v>74</v>
      </c>
      <c r="P24" t="s">
        <v>74</v>
      </c>
      <c r="Q24" t="s">
        <v>74</v>
      </c>
      <c r="R24" t="s">
        <v>74</v>
      </c>
      <c r="S24" t="s">
        <v>74</v>
      </c>
      <c r="T24" t="s">
        <v>74</v>
      </c>
      <c r="U24" t="s">
        <v>570</v>
      </c>
      <c r="V24" t="s">
        <v>571</v>
      </c>
      <c r="W24" t="s">
        <v>572</v>
      </c>
      <c r="X24" t="s">
        <v>573</v>
      </c>
      <c r="Y24" t="s">
        <v>574</v>
      </c>
      <c r="Z24" t="s">
        <v>575</v>
      </c>
      <c r="AA24" t="s">
        <v>576</v>
      </c>
      <c r="AB24" t="s">
        <v>577</v>
      </c>
      <c r="AC24" t="s">
        <v>578</v>
      </c>
      <c r="AD24" t="s">
        <v>579</v>
      </c>
      <c r="AE24" t="s">
        <v>580</v>
      </c>
      <c r="AF24" t="s">
        <v>74</v>
      </c>
      <c r="AG24">
        <v>60</v>
      </c>
      <c r="AH24">
        <v>5</v>
      </c>
      <c r="AI24">
        <v>5</v>
      </c>
      <c r="AJ24">
        <v>0</v>
      </c>
      <c r="AK24">
        <v>21</v>
      </c>
      <c r="AL24" t="s">
        <v>581</v>
      </c>
      <c r="AM24" t="s">
        <v>582</v>
      </c>
      <c r="AN24" t="s">
        <v>583</v>
      </c>
      <c r="AO24" t="s">
        <v>584</v>
      </c>
      <c r="AP24" t="s">
        <v>585</v>
      </c>
      <c r="AQ24" t="s">
        <v>74</v>
      </c>
      <c r="AR24" t="s">
        <v>569</v>
      </c>
      <c r="AS24" t="s">
        <v>586</v>
      </c>
      <c r="AT24" t="s">
        <v>559</v>
      </c>
      <c r="AU24">
        <v>2012</v>
      </c>
      <c r="AV24">
        <v>85</v>
      </c>
      <c r="AW24">
        <v>6</v>
      </c>
      <c r="AX24" t="s">
        <v>74</v>
      </c>
      <c r="AY24" t="s">
        <v>74</v>
      </c>
      <c r="AZ24" t="s">
        <v>74</v>
      </c>
      <c r="BA24" t="s">
        <v>74</v>
      </c>
      <c r="BB24">
        <v>659</v>
      </c>
      <c r="BC24">
        <v>684</v>
      </c>
      <c r="BD24" t="s">
        <v>74</v>
      </c>
      <c r="BE24" t="s">
        <v>587</v>
      </c>
      <c r="BF24" t="str">
        <f>HYPERLINK("http://dx.doi.org/10.1163/156854012X643942","http://dx.doi.org/10.1163/156854012X643942")</f>
        <v>http://dx.doi.org/10.1163/156854012X643942</v>
      </c>
      <c r="BG24" t="s">
        <v>74</v>
      </c>
      <c r="BH24" t="s">
        <v>74</v>
      </c>
      <c r="BI24">
        <v>26</v>
      </c>
      <c r="BJ24" t="s">
        <v>588</v>
      </c>
      <c r="BK24" t="s">
        <v>99</v>
      </c>
      <c r="BL24" t="s">
        <v>588</v>
      </c>
      <c r="BM24" t="s">
        <v>589</v>
      </c>
      <c r="BN24" t="s">
        <v>74</v>
      </c>
      <c r="BO24" t="s">
        <v>74</v>
      </c>
      <c r="BP24" t="s">
        <v>74</v>
      </c>
      <c r="BQ24" t="s">
        <v>74</v>
      </c>
      <c r="BR24" t="s">
        <v>101</v>
      </c>
      <c r="BS24" t="s">
        <v>590</v>
      </c>
      <c r="BT24" t="str">
        <f>HYPERLINK("https%3A%2F%2Fwww.webofscience.com%2Fwos%2Fwoscc%2Ffull-record%2FWOS:000306632900003","View Full Record in Web of Science")</f>
        <v>View Full Record in Web of Science</v>
      </c>
    </row>
    <row r="25" spans="1:72" x14ac:dyDescent="0.15">
      <c r="A25" t="s">
        <v>72</v>
      </c>
      <c r="B25" t="s">
        <v>591</v>
      </c>
      <c r="C25" t="s">
        <v>74</v>
      </c>
      <c r="D25" t="s">
        <v>74</v>
      </c>
      <c r="E25" t="s">
        <v>74</v>
      </c>
      <c r="F25" t="s">
        <v>592</v>
      </c>
      <c r="G25" t="s">
        <v>74</v>
      </c>
      <c r="H25" t="s">
        <v>74</v>
      </c>
      <c r="I25" t="s">
        <v>593</v>
      </c>
      <c r="J25" t="s">
        <v>594</v>
      </c>
      <c r="K25" t="s">
        <v>74</v>
      </c>
      <c r="L25" t="s">
        <v>74</v>
      </c>
      <c r="M25" t="s">
        <v>595</v>
      </c>
      <c r="N25" t="s">
        <v>79</v>
      </c>
      <c r="O25" t="s">
        <v>74</v>
      </c>
      <c r="P25" t="s">
        <v>74</v>
      </c>
      <c r="Q25" t="s">
        <v>74</v>
      </c>
      <c r="R25" t="s">
        <v>74</v>
      </c>
      <c r="S25" t="s">
        <v>74</v>
      </c>
      <c r="T25" t="s">
        <v>74</v>
      </c>
      <c r="U25" t="s">
        <v>596</v>
      </c>
      <c r="V25" t="s">
        <v>597</v>
      </c>
      <c r="W25" t="s">
        <v>598</v>
      </c>
      <c r="X25" t="s">
        <v>599</v>
      </c>
      <c r="Y25" t="s">
        <v>600</v>
      </c>
      <c r="Z25" t="s">
        <v>601</v>
      </c>
      <c r="AA25" t="s">
        <v>602</v>
      </c>
      <c r="AB25" t="s">
        <v>74</v>
      </c>
      <c r="AC25" t="s">
        <v>74</v>
      </c>
      <c r="AD25" t="s">
        <v>74</v>
      </c>
      <c r="AE25" t="s">
        <v>74</v>
      </c>
      <c r="AF25" t="s">
        <v>74</v>
      </c>
      <c r="AG25">
        <v>24</v>
      </c>
      <c r="AH25">
        <v>1</v>
      </c>
      <c r="AI25">
        <v>1</v>
      </c>
      <c r="AJ25">
        <v>0</v>
      </c>
      <c r="AK25">
        <v>2</v>
      </c>
      <c r="AL25" t="s">
        <v>603</v>
      </c>
      <c r="AM25" t="s">
        <v>604</v>
      </c>
      <c r="AN25" t="s">
        <v>605</v>
      </c>
      <c r="AO25" t="s">
        <v>606</v>
      </c>
      <c r="AP25" t="s">
        <v>74</v>
      </c>
      <c r="AQ25" t="s">
        <v>74</v>
      </c>
      <c r="AR25" t="s">
        <v>607</v>
      </c>
      <c r="AS25" t="s">
        <v>608</v>
      </c>
      <c r="AT25" t="s">
        <v>559</v>
      </c>
      <c r="AU25">
        <v>2012</v>
      </c>
      <c r="AV25">
        <v>78</v>
      </c>
      <c r="AW25">
        <v>3</v>
      </c>
      <c r="AX25" t="s">
        <v>74</v>
      </c>
      <c r="AY25" t="s">
        <v>74</v>
      </c>
      <c r="AZ25" t="s">
        <v>74</v>
      </c>
      <c r="BA25" t="s">
        <v>74</v>
      </c>
      <c r="BB25">
        <v>388</v>
      </c>
      <c r="BC25">
        <v>398</v>
      </c>
      <c r="BD25" t="s">
        <v>74</v>
      </c>
      <c r="BE25" t="s">
        <v>74</v>
      </c>
      <c r="BF25" t="s">
        <v>74</v>
      </c>
      <c r="BG25" t="s">
        <v>74</v>
      </c>
      <c r="BH25" t="s">
        <v>74</v>
      </c>
      <c r="BI25">
        <v>11</v>
      </c>
      <c r="BJ25" t="s">
        <v>609</v>
      </c>
      <c r="BK25" t="s">
        <v>99</v>
      </c>
      <c r="BL25" t="s">
        <v>609</v>
      </c>
      <c r="BM25" t="s">
        <v>610</v>
      </c>
      <c r="BN25" t="s">
        <v>74</v>
      </c>
      <c r="BO25" t="s">
        <v>74</v>
      </c>
      <c r="BP25" t="s">
        <v>74</v>
      </c>
      <c r="BQ25" t="s">
        <v>74</v>
      </c>
      <c r="BR25" t="s">
        <v>101</v>
      </c>
      <c r="BS25" t="s">
        <v>611</v>
      </c>
      <c r="BT25" t="str">
        <f>HYPERLINK("https%3A%2F%2Fwww.webofscience.com%2Fwos%2Fwoscc%2Ffull-record%2FWOS:000306384500007","View Full Record in Web of Science")</f>
        <v>View Full Record in Web of Science</v>
      </c>
    </row>
    <row r="26" spans="1:72" x14ac:dyDescent="0.15">
      <c r="A26" t="s">
        <v>72</v>
      </c>
      <c r="B26" t="s">
        <v>612</v>
      </c>
      <c r="C26" t="s">
        <v>74</v>
      </c>
      <c r="D26" t="s">
        <v>74</v>
      </c>
      <c r="E26" t="s">
        <v>74</v>
      </c>
      <c r="F26" t="s">
        <v>613</v>
      </c>
      <c r="G26" t="s">
        <v>74</v>
      </c>
      <c r="H26" t="s">
        <v>74</v>
      </c>
      <c r="I26" t="s">
        <v>614</v>
      </c>
      <c r="J26" t="s">
        <v>615</v>
      </c>
      <c r="K26" t="s">
        <v>74</v>
      </c>
      <c r="L26" t="s">
        <v>74</v>
      </c>
      <c r="M26" t="s">
        <v>78</v>
      </c>
      <c r="N26" t="s">
        <v>79</v>
      </c>
      <c r="O26" t="s">
        <v>74</v>
      </c>
      <c r="P26" t="s">
        <v>74</v>
      </c>
      <c r="Q26" t="s">
        <v>74</v>
      </c>
      <c r="R26" t="s">
        <v>74</v>
      </c>
      <c r="S26" t="s">
        <v>74</v>
      </c>
      <c r="T26" t="s">
        <v>74</v>
      </c>
      <c r="U26" t="s">
        <v>616</v>
      </c>
      <c r="V26" t="s">
        <v>617</v>
      </c>
      <c r="W26" t="s">
        <v>618</v>
      </c>
      <c r="X26" t="s">
        <v>619</v>
      </c>
      <c r="Y26" t="s">
        <v>620</v>
      </c>
      <c r="Z26" t="s">
        <v>621</v>
      </c>
      <c r="AA26" t="s">
        <v>622</v>
      </c>
      <c r="AB26" t="s">
        <v>623</v>
      </c>
      <c r="AC26" t="s">
        <v>624</v>
      </c>
      <c r="AD26" t="s">
        <v>625</v>
      </c>
      <c r="AE26" t="s">
        <v>626</v>
      </c>
      <c r="AF26" t="s">
        <v>74</v>
      </c>
      <c r="AG26">
        <v>43</v>
      </c>
      <c r="AH26">
        <v>18</v>
      </c>
      <c r="AI26">
        <v>20</v>
      </c>
      <c r="AJ26">
        <v>0</v>
      </c>
      <c r="AK26">
        <v>45</v>
      </c>
      <c r="AL26" t="s">
        <v>627</v>
      </c>
      <c r="AM26" t="s">
        <v>628</v>
      </c>
      <c r="AN26" t="s">
        <v>629</v>
      </c>
      <c r="AO26" t="s">
        <v>630</v>
      </c>
      <c r="AP26" t="s">
        <v>631</v>
      </c>
      <c r="AQ26" t="s">
        <v>74</v>
      </c>
      <c r="AR26" t="s">
        <v>632</v>
      </c>
      <c r="AS26" t="s">
        <v>633</v>
      </c>
      <c r="AT26" t="s">
        <v>559</v>
      </c>
      <c r="AU26">
        <v>2012</v>
      </c>
      <c r="AV26">
        <v>57</v>
      </c>
      <c r="AW26">
        <v>3</v>
      </c>
      <c r="AX26" t="s">
        <v>74</v>
      </c>
      <c r="AY26" t="s">
        <v>74</v>
      </c>
      <c r="AZ26" t="s">
        <v>74</v>
      </c>
      <c r="BA26" t="s">
        <v>74</v>
      </c>
      <c r="BB26">
        <v>684</v>
      </c>
      <c r="BC26">
        <v>697</v>
      </c>
      <c r="BD26" t="s">
        <v>74</v>
      </c>
      <c r="BE26" t="s">
        <v>634</v>
      </c>
      <c r="BF26" t="str">
        <f>HYPERLINK("http://dx.doi.org/10.4319/lo.2012.57.3.0684","http://dx.doi.org/10.4319/lo.2012.57.3.0684")</f>
        <v>http://dx.doi.org/10.4319/lo.2012.57.3.0684</v>
      </c>
      <c r="BG26" t="s">
        <v>74</v>
      </c>
      <c r="BH26" t="s">
        <v>74</v>
      </c>
      <c r="BI26">
        <v>14</v>
      </c>
      <c r="BJ26" t="s">
        <v>635</v>
      </c>
      <c r="BK26" t="s">
        <v>99</v>
      </c>
      <c r="BL26" t="s">
        <v>636</v>
      </c>
      <c r="BM26" t="s">
        <v>637</v>
      </c>
      <c r="BN26" t="s">
        <v>74</v>
      </c>
      <c r="BO26" t="s">
        <v>638</v>
      </c>
      <c r="BP26" t="s">
        <v>74</v>
      </c>
      <c r="BQ26" t="s">
        <v>74</v>
      </c>
      <c r="BR26" t="s">
        <v>101</v>
      </c>
      <c r="BS26" t="s">
        <v>639</v>
      </c>
      <c r="BT26" t="str">
        <f>HYPERLINK("https%3A%2F%2Fwww.webofscience.com%2Fwos%2Fwoscc%2Ffull-record%2FWOS:000306239300002","View Full Record in Web of Science")</f>
        <v>View Full Record in Web of Science</v>
      </c>
    </row>
    <row r="27" spans="1:72" x14ac:dyDescent="0.15">
      <c r="A27" t="s">
        <v>72</v>
      </c>
      <c r="B27" t="s">
        <v>640</v>
      </c>
      <c r="C27" t="s">
        <v>74</v>
      </c>
      <c r="D27" t="s">
        <v>74</v>
      </c>
      <c r="E27" t="s">
        <v>74</v>
      </c>
      <c r="F27" t="s">
        <v>641</v>
      </c>
      <c r="G27" t="s">
        <v>74</v>
      </c>
      <c r="H27" t="s">
        <v>74</v>
      </c>
      <c r="I27" t="s">
        <v>642</v>
      </c>
      <c r="J27" t="s">
        <v>643</v>
      </c>
      <c r="K27" t="s">
        <v>74</v>
      </c>
      <c r="L27" t="s">
        <v>74</v>
      </c>
      <c r="M27" t="s">
        <v>78</v>
      </c>
      <c r="N27" t="s">
        <v>79</v>
      </c>
      <c r="O27" t="s">
        <v>74</v>
      </c>
      <c r="P27" t="s">
        <v>74</v>
      </c>
      <c r="Q27" t="s">
        <v>74</v>
      </c>
      <c r="R27" t="s">
        <v>74</v>
      </c>
      <c r="S27" t="s">
        <v>74</v>
      </c>
      <c r="T27" t="s">
        <v>74</v>
      </c>
      <c r="U27" t="s">
        <v>644</v>
      </c>
      <c r="V27" t="s">
        <v>645</v>
      </c>
      <c r="W27" t="s">
        <v>646</v>
      </c>
      <c r="X27" t="s">
        <v>647</v>
      </c>
      <c r="Y27" t="s">
        <v>648</v>
      </c>
      <c r="Z27" t="s">
        <v>649</v>
      </c>
      <c r="AA27" t="s">
        <v>650</v>
      </c>
      <c r="AB27" t="s">
        <v>651</v>
      </c>
      <c r="AC27" t="s">
        <v>652</v>
      </c>
      <c r="AD27" t="s">
        <v>653</v>
      </c>
      <c r="AE27" t="s">
        <v>654</v>
      </c>
      <c r="AF27" t="s">
        <v>74</v>
      </c>
      <c r="AG27">
        <v>55</v>
      </c>
      <c r="AH27">
        <v>1</v>
      </c>
      <c r="AI27">
        <v>1</v>
      </c>
      <c r="AJ27">
        <v>1</v>
      </c>
      <c r="AK27">
        <v>22</v>
      </c>
      <c r="AL27" t="s">
        <v>655</v>
      </c>
      <c r="AM27" t="s">
        <v>656</v>
      </c>
      <c r="AN27" t="s">
        <v>657</v>
      </c>
      <c r="AO27" t="s">
        <v>658</v>
      </c>
      <c r="AP27" t="s">
        <v>74</v>
      </c>
      <c r="AQ27" t="s">
        <v>74</v>
      </c>
      <c r="AR27" t="s">
        <v>659</v>
      </c>
      <c r="AS27" t="s">
        <v>660</v>
      </c>
      <c r="AT27" t="s">
        <v>559</v>
      </c>
      <c r="AU27">
        <v>2012</v>
      </c>
      <c r="AV27">
        <v>63</v>
      </c>
      <c r="AW27">
        <v>4</v>
      </c>
      <c r="AX27" t="s">
        <v>74</v>
      </c>
      <c r="AY27" t="s">
        <v>74</v>
      </c>
      <c r="AZ27" t="s">
        <v>74</v>
      </c>
      <c r="BA27" t="s">
        <v>74</v>
      </c>
      <c r="BB27">
        <v>751</v>
      </c>
      <c r="BC27">
        <v>760</v>
      </c>
      <c r="BD27" t="s">
        <v>74</v>
      </c>
      <c r="BE27" t="s">
        <v>661</v>
      </c>
      <c r="BF27" t="str">
        <f>HYPERLINK("http://dx.doi.org/10.1007/s00248-011-9982-9","http://dx.doi.org/10.1007/s00248-011-9982-9")</f>
        <v>http://dx.doi.org/10.1007/s00248-011-9982-9</v>
      </c>
      <c r="BG27" t="s">
        <v>74</v>
      </c>
      <c r="BH27" t="s">
        <v>74</v>
      </c>
      <c r="BI27">
        <v>10</v>
      </c>
      <c r="BJ27" t="s">
        <v>662</v>
      </c>
      <c r="BK27" t="s">
        <v>99</v>
      </c>
      <c r="BL27" t="s">
        <v>663</v>
      </c>
      <c r="BM27" t="s">
        <v>664</v>
      </c>
      <c r="BN27">
        <v>22124571</v>
      </c>
      <c r="BO27" t="s">
        <v>74</v>
      </c>
      <c r="BP27" t="s">
        <v>74</v>
      </c>
      <c r="BQ27" t="s">
        <v>74</v>
      </c>
      <c r="BR27" t="s">
        <v>101</v>
      </c>
      <c r="BS27" t="s">
        <v>665</v>
      </c>
      <c r="BT27" t="str">
        <f>HYPERLINK("https%3A%2F%2Fwww.webofscience.com%2Fwos%2Fwoscc%2Ffull-record%2FWOS:000306127300005","View Full Record in Web of Science")</f>
        <v>View Full Record in Web of Science</v>
      </c>
    </row>
    <row r="28" spans="1:72" x14ac:dyDescent="0.15">
      <c r="A28" t="s">
        <v>72</v>
      </c>
      <c r="B28" t="s">
        <v>666</v>
      </c>
      <c r="C28" t="s">
        <v>74</v>
      </c>
      <c r="D28" t="s">
        <v>74</v>
      </c>
      <c r="E28" t="s">
        <v>74</v>
      </c>
      <c r="F28" t="s">
        <v>667</v>
      </c>
      <c r="G28" t="s">
        <v>74</v>
      </c>
      <c r="H28" t="s">
        <v>74</v>
      </c>
      <c r="I28" t="s">
        <v>668</v>
      </c>
      <c r="J28" t="s">
        <v>669</v>
      </c>
      <c r="K28" t="s">
        <v>74</v>
      </c>
      <c r="L28" t="s">
        <v>74</v>
      </c>
      <c r="M28" t="s">
        <v>78</v>
      </c>
      <c r="N28" t="s">
        <v>79</v>
      </c>
      <c r="O28" t="s">
        <v>74</v>
      </c>
      <c r="P28" t="s">
        <v>74</v>
      </c>
      <c r="Q28" t="s">
        <v>74</v>
      </c>
      <c r="R28" t="s">
        <v>74</v>
      </c>
      <c r="S28" t="s">
        <v>74</v>
      </c>
      <c r="T28" t="s">
        <v>670</v>
      </c>
      <c r="U28" t="s">
        <v>74</v>
      </c>
      <c r="V28" t="s">
        <v>671</v>
      </c>
      <c r="W28" t="s">
        <v>672</v>
      </c>
      <c r="X28" t="s">
        <v>673</v>
      </c>
      <c r="Y28" t="s">
        <v>674</v>
      </c>
      <c r="Z28" t="s">
        <v>675</v>
      </c>
      <c r="AA28" t="s">
        <v>676</v>
      </c>
      <c r="AB28" t="s">
        <v>677</v>
      </c>
      <c r="AC28" t="s">
        <v>678</v>
      </c>
      <c r="AD28" t="s">
        <v>679</v>
      </c>
      <c r="AE28" t="s">
        <v>680</v>
      </c>
      <c r="AF28" t="s">
        <v>74</v>
      </c>
      <c r="AG28">
        <v>13</v>
      </c>
      <c r="AH28">
        <v>7</v>
      </c>
      <c r="AI28">
        <v>7</v>
      </c>
      <c r="AJ28">
        <v>2</v>
      </c>
      <c r="AK28">
        <v>16</v>
      </c>
      <c r="AL28" t="s">
        <v>681</v>
      </c>
      <c r="AM28" t="s">
        <v>656</v>
      </c>
      <c r="AN28" t="s">
        <v>682</v>
      </c>
      <c r="AO28" t="s">
        <v>683</v>
      </c>
      <c r="AP28" t="s">
        <v>684</v>
      </c>
      <c r="AQ28" t="s">
        <v>74</v>
      </c>
      <c r="AR28" t="s">
        <v>685</v>
      </c>
      <c r="AS28" t="s">
        <v>686</v>
      </c>
      <c r="AT28" t="s">
        <v>559</v>
      </c>
      <c r="AU28">
        <v>2012</v>
      </c>
      <c r="AV28">
        <v>81</v>
      </c>
      <c r="AW28">
        <v>3</v>
      </c>
      <c r="AX28" t="s">
        <v>74</v>
      </c>
      <c r="AY28" t="s">
        <v>74</v>
      </c>
      <c r="AZ28" t="s">
        <v>74</v>
      </c>
      <c r="BA28" t="s">
        <v>74</v>
      </c>
      <c r="BB28">
        <v>306</v>
      </c>
      <c r="BC28">
        <v>311</v>
      </c>
      <c r="BD28" t="s">
        <v>74</v>
      </c>
      <c r="BE28" t="s">
        <v>687</v>
      </c>
      <c r="BF28" t="str">
        <f>HYPERLINK("http://dx.doi.org/10.1134/S0026261712030071","http://dx.doi.org/10.1134/S0026261712030071")</f>
        <v>http://dx.doi.org/10.1134/S0026261712030071</v>
      </c>
      <c r="BG28" t="s">
        <v>74</v>
      </c>
      <c r="BH28" t="s">
        <v>74</v>
      </c>
      <c r="BI28">
        <v>6</v>
      </c>
      <c r="BJ28" t="s">
        <v>686</v>
      </c>
      <c r="BK28" t="s">
        <v>99</v>
      </c>
      <c r="BL28" t="s">
        <v>686</v>
      </c>
      <c r="BM28" t="s">
        <v>688</v>
      </c>
      <c r="BN28" t="s">
        <v>74</v>
      </c>
      <c r="BO28" t="s">
        <v>74</v>
      </c>
      <c r="BP28" t="s">
        <v>74</v>
      </c>
      <c r="BQ28" t="s">
        <v>74</v>
      </c>
      <c r="BR28" t="s">
        <v>101</v>
      </c>
      <c r="BS28" t="s">
        <v>689</v>
      </c>
      <c r="BT28" t="str">
        <f>HYPERLINK("https%3A%2F%2Fwww.webofscience.com%2Fwos%2Fwoscc%2Ffull-record%2FWOS:000304875300006","View Full Record in Web of Science")</f>
        <v>View Full Record in Web of Science</v>
      </c>
    </row>
    <row r="29" spans="1:72" x14ac:dyDescent="0.15">
      <c r="A29" t="s">
        <v>72</v>
      </c>
      <c r="B29" t="s">
        <v>690</v>
      </c>
      <c r="C29" t="s">
        <v>74</v>
      </c>
      <c r="D29" t="s">
        <v>74</v>
      </c>
      <c r="E29" t="s">
        <v>74</v>
      </c>
      <c r="F29" t="s">
        <v>691</v>
      </c>
      <c r="G29" t="s">
        <v>74</v>
      </c>
      <c r="H29" t="s">
        <v>74</v>
      </c>
      <c r="I29" t="s">
        <v>692</v>
      </c>
      <c r="J29" t="s">
        <v>693</v>
      </c>
      <c r="K29" t="s">
        <v>74</v>
      </c>
      <c r="L29" t="s">
        <v>74</v>
      </c>
      <c r="M29" t="s">
        <v>78</v>
      </c>
      <c r="N29" t="s">
        <v>79</v>
      </c>
      <c r="O29" t="s">
        <v>74</v>
      </c>
      <c r="P29" t="s">
        <v>74</v>
      </c>
      <c r="Q29" t="s">
        <v>74</v>
      </c>
      <c r="R29" t="s">
        <v>74</v>
      </c>
      <c r="S29" t="s">
        <v>74</v>
      </c>
      <c r="T29" t="s">
        <v>74</v>
      </c>
      <c r="U29" t="s">
        <v>694</v>
      </c>
      <c r="V29" t="s">
        <v>695</v>
      </c>
      <c r="W29" t="s">
        <v>696</v>
      </c>
      <c r="X29" t="s">
        <v>697</v>
      </c>
      <c r="Y29" t="s">
        <v>698</v>
      </c>
      <c r="Z29" t="s">
        <v>699</v>
      </c>
      <c r="AA29" t="s">
        <v>700</v>
      </c>
      <c r="AB29" t="s">
        <v>701</v>
      </c>
      <c r="AC29" t="s">
        <v>702</v>
      </c>
      <c r="AD29" t="s">
        <v>703</v>
      </c>
      <c r="AE29" t="s">
        <v>704</v>
      </c>
      <c r="AF29" t="s">
        <v>74</v>
      </c>
      <c r="AG29">
        <v>12</v>
      </c>
      <c r="AH29">
        <v>8</v>
      </c>
      <c r="AI29">
        <v>8</v>
      </c>
      <c r="AJ29">
        <v>0</v>
      </c>
      <c r="AK29">
        <v>3</v>
      </c>
      <c r="AL29" t="s">
        <v>681</v>
      </c>
      <c r="AM29" t="s">
        <v>656</v>
      </c>
      <c r="AN29" t="s">
        <v>682</v>
      </c>
      <c r="AO29" t="s">
        <v>705</v>
      </c>
      <c r="AP29" t="s">
        <v>706</v>
      </c>
      <c r="AQ29" t="s">
        <v>74</v>
      </c>
      <c r="AR29" t="s">
        <v>707</v>
      </c>
      <c r="AS29" t="s">
        <v>708</v>
      </c>
      <c r="AT29" t="s">
        <v>559</v>
      </c>
      <c r="AU29">
        <v>2012</v>
      </c>
      <c r="AV29">
        <v>52</v>
      </c>
      <c r="AW29">
        <v>3</v>
      </c>
      <c r="AX29" t="s">
        <v>74</v>
      </c>
      <c r="AY29" t="s">
        <v>74</v>
      </c>
      <c r="AZ29" t="s">
        <v>74</v>
      </c>
      <c r="BA29" t="s">
        <v>74</v>
      </c>
      <c r="BB29">
        <v>299</v>
      </c>
      <c r="BC29">
        <v>308</v>
      </c>
      <c r="BD29" t="s">
        <v>74</v>
      </c>
      <c r="BE29" t="s">
        <v>709</v>
      </c>
      <c r="BF29" t="str">
        <f>HYPERLINK("http://dx.doi.org/10.1134/S000143701203006X","http://dx.doi.org/10.1134/S000143701203006X")</f>
        <v>http://dx.doi.org/10.1134/S000143701203006X</v>
      </c>
      <c r="BG29" t="s">
        <v>74</v>
      </c>
      <c r="BH29" t="s">
        <v>74</v>
      </c>
      <c r="BI29">
        <v>10</v>
      </c>
      <c r="BJ29" t="s">
        <v>350</v>
      </c>
      <c r="BK29" t="s">
        <v>99</v>
      </c>
      <c r="BL29" t="s">
        <v>350</v>
      </c>
      <c r="BM29" t="s">
        <v>710</v>
      </c>
      <c r="BN29" t="s">
        <v>74</v>
      </c>
      <c r="BO29" t="s">
        <v>74</v>
      </c>
      <c r="BP29" t="s">
        <v>74</v>
      </c>
      <c r="BQ29" t="s">
        <v>74</v>
      </c>
      <c r="BR29" t="s">
        <v>101</v>
      </c>
      <c r="BS29" t="s">
        <v>711</v>
      </c>
      <c r="BT29" t="str">
        <f>HYPERLINK("https%3A%2F%2Fwww.webofscience.com%2Fwos%2Fwoscc%2Ffull-record%2FWOS:000305790400001","View Full Record in Web of Science")</f>
        <v>View Full Record in Web of Science</v>
      </c>
    </row>
    <row r="30" spans="1:72" x14ac:dyDescent="0.15">
      <c r="A30" t="s">
        <v>72</v>
      </c>
      <c r="B30" t="s">
        <v>712</v>
      </c>
      <c r="C30" t="s">
        <v>74</v>
      </c>
      <c r="D30" t="s">
        <v>74</v>
      </c>
      <c r="E30" t="s">
        <v>74</v>
      </c>
      <c r="F30" t="s">
        <v>713</v>
      </c>
      <c r="G30" t="s">
        <v>74</v>
      </c>
      <c r="H30" t="s">
        <v>74</v>
      </c>
      <c r="I30" t="s">
        <v>714</v>
      </c>
      <c r="J30" t="s">
        <v>693</v>
      </c>
      <c r="K30" t="s">
        <v>74</v>
      </c>
      <c r="L30" t="s">
        <v>74</v>
      </c>
      <c r="M30" t="s">
        <v>78</v>
      </c>
      <c r="N30" t="s">
        <v>79</v>
      </c>
      <c r="O30" t="s">
        <v>74</v>
      </c>
      <c r="P30" t="s">
        <v>74</v>
      </c>
      <c r="Q30" t="s">
        <v>74</v>
      </c>
      <c r="R30" t="s">
        <v>74</v>
      </c>
      <c r="S30" t="s">
        <v>74</v>
      </c>
      <c r="T30" t="s">
        <v>74</v>
      </c>
      <c r="U30" t="s">
        <v>715</v>
      </c>
      <c r="V30" t="s">
        <v>716</v>
      </c>
      <c r="W30" t="s">
        <v>717</v>
      </c>
      <c r="X30" t="s">
        <v>697</v>
      </c>
      <c r="Y30" t="s">
        <v>718</v>
      </c>
      <c r="Z30" t="s">
        <v>719</v>
      </c>
      <c r="AA30" t="s">
        <v>720</v>
      </c>
      <c r="AB30" t="s">
        <v>74</v>
      </c>
      <c r="AC30" t="s">
        <v>74</v>
      </c>
      <c r="AD30" t="s">
        <v>74</v>
      </c>
      <c r="AE30" t="s">
        <v>74</v>
      </c>
      <c r="AF30" t="s">
        <v>74</v>
      </c>
      <c r="AG30">
        <v>58</v>
      </c>
      <c r="AH30">
        <v>1</v>
      </c>
      <c r="AI30">
        <v>1</v>
      </c>
      <c r="AJ30">
        <v>0</v>
      </c>
      <c r="AK30">
        <v>4</v>
      </c>
      <c r="AL30" t="s">
        <v>681</v>
      </c>
      <c r="AM30" t="s">
        <v>656</v>
      </c>
      <c r="AN30" t="s">
        <v>682</v>
      </c>
      <c r="AO30" t="s">
        <v>705</v>
      </c>
      <c r="AP30" t="s">
        <v>706</v>
      </c>
      <c r="AQ30" t="s">
        <v>74</v>
      </c>
      <c r="AR30" t="s">
        <v>707</v>
      </c>
      <c r="AS30" t="s">
        <v>708</v>
      </c>
      <c r="AT30" t="s">
        <v>559</v>
      </c>
      <c r="AU30">
        <v>2012</v>
      </c>
      <c r="AV30">
        <v>52</v>
      </c>
      <c r="AW30">
        <v>3</v>
      </c>
      <c r="AX30" t="s">
        <v>74</v>
      </c>
      <c r="AY30" t="s">
        <v>74</v>
      </c>
      <c r="AZ30" t="s">
        <v>74</v>
      </c>
      <c r="BA30" t="s">
        <v>74</v>
      </c>
      <c r="BB30">
        <v>422</v>
      </c>
      <c r="BC30">
        <v>435</v>
      </c>
      <c r="BD30" t="s">
        <v>74</v>
      </c>
      <c r="BE30" t="s">
        <v>721</v>
      </c>
      <c r="BF30" t="str">
        <f>HYPERLINK("http://dx.doi.org/10.1134/S0001437012030101","http://dx.doi.org/10.1134/S0001437012030101")</f>
        <v>http://dx.doi.org/10.1134/S0001437012030101</v>
      </c>
      <c r="BG30" t="s">
        <v>74</v>
      </c>
      <c r="BH30" t="s">
        <v>74</v>
      </c>
      <c r="BI30">
        <v>14</v>
      </c>
      <c r="BJ30" t="s">
        <v>350</v>
      </c>
      <c r="BK30" t="s">
        <v>99</v>
      </c>
      <c r="BL30" t="s">
        <v>350</v>
      </c>
      <c r="BM30" t="s">
        <v>710</v>
      </c>
      <c r="BN30" t="s">
        <v>74</v>
      </c>
      <c r="BO30" t="s">
        <v>74</v>
      </c>
      <c r="BP30" t="s">
        <v>74</v>
      </c>
      <c r="BQ30" t="s">
        <v>74</v>
      </c>
      <c r="BR30" t="s">
        <v>101</v>
      </c>
      <c r="BS30" t="s">
        <v>722</v>
      </c>
      <c r="BT30" t="str">
        <f>HYPERLINK("https%3A%2F%2Fwww.webofscience.com%2Fwos%2Fwoscc%2Ffull-record%2FWOS:000305790400012","View Full Record in Web of Science")</f>
        <v>View Full Record in Web of Science</v>
      </c>
    </row>
    <row r="31" spans="1:72" x14ac:dyDescent="0.15">
      <c r="A31" t="s">
        <v>72</v>
      </c>
      <c r="B31" t="s">
        <v>723</v>
      </c>
      <c r="C31" t="s">
        <v>74</v>
      </c>
      <c r="D31" t="s">
        <v>74</v>
      </c>
      <c r="E31" t="s">
        <v>74</v>
      </c>
      <c r="F31" t="s">
        <v>724</v>
      </c>
      <c r="G31" t="s">
        <v>74</v>
      </c>
      <c r="H31" t="s">
        <v>74</v>
      </c>
      <c r="I31" t="s">
        <v>725</v>
      </c>
      <c r="J31" t="s">
        <v>726</v>
      </c>
      <c r="K31" t="s">
        <v>74</v>
      </c>
      <c r="L31" t="s">
        <v>74</v>
      </c>
      <c r="M31" t="s">
        <v>78</v>
      </c>
      <c r="N31" t="s">
        <v>79</v>
      </c>
      <c r="O31" t="s">
        <v>74</v>
      </c>
      <c r="P31" t="s">
        <v>74</v>
      </c>
      <c r="Q31" t="s">
        <v>74</v>
      </c>
      <c r="R31" t="s">
        <v>74</v>
      </c>
      <c r="S31" t="s">
        <v>74</v>
      </c>
      <c r="T31" t="s">
        <v>74</v>
      </c>
      <c r="U31" t="s">
        <v>727</v>
      </c>
      <c r="V31" t="s">
        <v>728</v>
      </c>
      <c r="W31" t="s">
        <v>729</v>
      </c>
      <c r="X31" t="s">
        <v>730</v>
      </c>
      <c r="Y31" t="s">
        <v>731</v>
      </c>
      <c r="Z31" t="s">
        <v>732</v>
      </c>
      <c r="AA31" t="s">
        <v>74</v>
      </c>
      <c r="AB31" t="s">
        <v>74</v>
      </c>
      <c r="AC31" t="s">
        <v>733</v>
      </c>
      <c r="AD31" t="s">
        <v>734</v>
      </c>
      <c r="AE31" t="s">
        <v>735</v>
      </c>
      <c r="AF31" t="s">
        <v>74</v>
      </c>
      <c r="AG31">
        <v>37</v>
      </c>
      <c r="AH31">
        <v>19</v>
      </c>
      <c r="AI31">
        <v>21</v>
      </c>
      <c r="AJ31">
        <v>1</v>
      </c>
      <c r="AK31">
        <v>53</v>
      </c>
      <c r="AL31" t="s">
        <v>736</v>
      </c>
      <c r="AM31" t="s">
        <v>737</v>
      </c>
      <c r="AN31" t="s">
        <v>738</v>
      </c>
      <c r="AO31" t="s">
        <v>739</v>
      </c>
      <c r="AP31" t="s">
        <v>74</v>
      </c>
      <c r="AQ31" t="s">
        <v>74</v>
      </c>
      <c r="AR31" t="s">
        <v>740</v>
      </c>
      <c r="AS31" t="s">
        <v>741</v>
      </c>
      <c r="AT31" t="s">
        <v>559</v>
      </c>
      <c r="AU31">
        <v>2012</v>
      </c>
      <c r="AV31">
        <v>44</v>
      </c>
      <c r="AW31">
        <v>2</v>
      </c>
      <c r="AX31" t="s">
        <v>74</v>
      </c>
      <c r="AY31" t="s">
        <v>74</v>
      </c>
      <c r="AZ31" t="s">
        <v>74</v>
      </c>
      <c r="BA31" t="s">
        <v>74</v>
      </c>
      <c r="BB31">
        <v>155</v>
      </c>
      <c r="BC31">
        <v>163</v>
      </c>
      <c r="BD31" t="s">
        <v>74</v>
      </c>
      <c r="BE31" t="s">
        <v>742</v>
      </c>
      <c r="BF31" t="str">
        <f>HYPERLINK("http://dx.doi.org/10.1657/1938-4246-44.2.155","http://dx.doi.org/10.1657/1938-4246-44.2.155")</f>
        <v>http://dx.doi.org/10.1657/1938-4246-44.2.155</v>
      </c>
      <c r="BG31" t="s">
        <v>74</v>
      </c>
      <c r="BH31" t="s">
        <v>74</v>
      </c>
      <c r="BI31">
        <v>9</v>
      </c>
      <c r="BJ31" t="s">
        <v>743</v>
      </c>
      <c r="BK31" t="s">
        <v>99</v>
      </c>
      <c r="BL31" t="s">
        <v>744</v>
      </c>
      <c r="BM31" t="s">
        <v>745</v>
      </c>
      <c r="BN31" t="s">
        <v>74</v>
      </c>
      <c r="BO31" t="s">
        <v>156</v>
      </c>
      <c r="BP31" t="s">
        <v>74</v>
      </c>
      <c r="BQ31" t="s">
        <v>74</v>
      </c>
      <c r="BR31" t="s">
        <v>101</v>
      </c>
      <c r="BS31" t="s">
        <v>746</v>
      </c>
      <c r="BT31" t="str">
        <f>HYPERLINK("https%3A%2F%2Fwww.webofscience.com%2Fwos%2Fwoscc%2Ffull-record%2FWOS:000304723500001","View Full Record in Web of Science")</f>
        <v>View Full Record in Web of Science</v>
      </c>
    </row>
    <row r="32" spans="1:72" x14ac:dyDescent="0.15">
      <c r="A32" t="s">
        <v>72</v>
      </c>
      <c r="B32" t="s">
        <v>747</v>
      </c>
      <c r="C32" t="s">
        <v>74</v>
      </c>
      <c r="D32" t="s">
        <v>74</v>
      </c>
      <c r="E32" t="s">
        <v>74</v>
      </c>
      <c r="F32" t="s">
        <v>748</v>
      </c>
      <c r="G32" t="s">
        <v>74</v>
      </c>
      <c r="H32" t="s">
        <v>74</v>
      </c>
      <c r="I32" t="s">
        <v>749</v>
      </c>
      <c r="J32" t="s">
        <v>726</v>
      </c>
      <c r="K32" t="s">
        <v>74</v>
      </c>
      <c r="L32" t="s">
        <v>74</v>
      </c>
      <c r="M32" t="s">
        <v>78</v>
      </c>
      <c r="N32" t="s">
        <v>79</v>
      </c>
      <c r="O32" t="s">
        <v>74</v>
      </c>
      <c r="P32" t="s">
        <v>74</v>
      </c>
      <c r="Q32" t="s">
        <v>74</v>
      </c>
      <c r="R32" t="s">
        <v>74</v>
      </c>
      <c r="S32" t="s">
        <v>74</v>
      </c>
      <c r="T32" t="s">
        <v>74</v>
      </c>
      <c r="U32" t="s">
        <v>750</v>
      </c>
      <c r="V32" t="s">
        <v>751</v>
      </c>
      <c r="W32" t="s">
        <v>752</v>
      </c>
      <c r="X32" t="s">
        <v>753</v>
      </c>
      <c r="Y32" t="s">
        <v>754</v>
      </c>
      <c r="Z32" t="s">
        <v>755</v>
      </c>
      <c r="AA32" t="s">
        <v>756</v>
      </c>
      <c r="AB32" t="s">
        <v>757</v>
      </c>
      <c r="AC32" t="s">
        <v>758</v>
      </c>
      <c r="AD32" t="s">
        <v>759</v>
      </c>
      <c r="AE32" t="s">
        <v>760</v>
      </c>
      <c r="AF32" t="s">
        <v>74</v>
      </c>
      <c r="AG32">
        <v>59</v>
      </c>
      <c r="AH32">
        <v>15</v>
      </c>
      <c r="AI32">
        <v>15</v>
      </c>
      <c r="AJ32">
        <v>0</v>
      </c>
      <c r="AK32">
        <v>18</v>
      </c>
      <c r="AL32" t="s">
        <v>761</v>
      </c>
      <c r="AM32" t="s">
        <v>762</v>
      </c>
      <c r="AN32" t="s">
        <v>763</v>
      </c>
      <c r="AO32" t="s">
        <v>739</v>
      </c>
      <c r="AP32" t="s">
        <v>764</v>
      </c>
      <c r="AQ32" t="s">
        <v>74</v>
      </c>
      <c r="AR32" t="s">
        <v>740</v>
      </c>
      <c r="AS32" t="s">
        <v>741</v>
      </c>
      <c r="AT32" t="s">
        <v>559</v>
      </c>
      <c r="AU32">
        <v>2012</v>
      </c>
      <c r="AV32">
        <v>44</v>
      </c>
      <c r="AW32">
        <v>2</v>
      </c>
      <c r="AX32" t="s">
        <v>74</v>
      </c>
      <c r="AY32" t="s">
        <v>74</v>
      </c>
      <c r="AZ32" t="s">
        <v>74</v>
      </c>
      <c r="BA32" t="s">
        <v>74</v>
      </c>
      <c r="BB32">
        <v>164</v>
      </c>
      <c r="BC32">
        <v>179</v>
      </c>
      <c r="BD32" t="s">
        <v>74</v>
      </c>
      <c r="BE32" t="s">
        <v>765</v>
      </c>
      <c r="BF32" t="str">
        <f>HYPERLINK("http://dx.doi.org/10.1657/1938-4246-44.2.164","http://dx.doi.org/10.1657/1938-4246-44.2.164")</f>
        <v>http://dx.doi.org/10.1657/1938-4246-44.2.164</v>
      </c>
      <c r="BG32" t="s">
        <v>74</v>
      </c>
      <c r="BH32" t="s">
        <v>74</v>
      </c>
      <c r="BI32">
        <v>16</v>
      </c>
      <c r="BJ32" t="s">
        <v>743</v>
      </c>
      <c r="BK32" t="s">
        <v>99</v>
      </c>
      <c r="BL32" t="s">
        <v>744</v>
      </c>
      <c r="BM32" t="s">
        <v>745</v>
      </c>
      <c r="BN32" t="s">
        <v>74</v>
      </c>
      <c r="BO32" t="s">
        <v>156</v>
      </c>
      <c r="BP32" t="s">
        <v>74</v>
      </c>
      <c r="BQ32" t="s">
        <v>74</v>
      </c>
      <c r="BR32" t="s">
        <v>101</v>
      </c>
      <c r="BS32" t="s">
        <v>766</v>
      </c>
      <c r="BT32" t="str">
        <f>HYPERLINK("https%3A%2F%2Fwww.webofscience.com%2Fwos%2Fwoscc%2Ffull-record%2FWOS:000304723500002","View Full Record in Web of Science")</f>
        <v>View Full Record in Web of Science</v>
      </c>
    </row>
    <row r="33" spans="1:72" x14ac:dyDescent="0.15">
      <c r="A33" t="s">
        <v>72</v>
      </c>
      <c r="B33" t="s">
        <v>767</v>
      </c>
      <c r="C33" t="s">
        <v>74</v>
      </c>
      <c r="D33" t="s">
        <v>74</v>
      </c>
      <c r="E33" t="s">
        <v>74</v>
      </c>
      <c r="F33" t="s">
        <v>768</v>
      </c>
      <c r="G33" t="s">
        <v>74</v>
      </c>
      <c r="H33" t="s">
        <v>74</v>
      </c>
      <c r="I33" t="s">
        <v>769</v>
      </c>
      <c r="J33" t="s">
        <v>726</v>
      </c>
      <c r="K33" t="s">
        <v>74</v>
      </c>
      <c r="L33" t="s">
        <v>74</v>
      </c>
      <c r="M33" t="s">
        <v>78</v>
      </c>
      <c r="N33" t="s">
        <v>79</v>
      </c>
      <c r="O33" t="s">
        <v>74</v>
      </c>
      <c r="P33" t="s">
        <v>74</v>
      </c>
      <c r="Q33" t="s">
        <v>74</v>
      </c>
      <c r="R33" t="s">
        <v>74</v>
      </c>
      <c r="S33" t="s">
        <v>74</v>
      </c>
      <c r="T33" t="s">
        <v>74</v>
      </c>
      <c r="U33" t="s">
        <v>770</v>
      </c>
      <c r="V33" t="s">
        <v>771</v>
      </c>
      <c r="W33" t="s">
        <v>772</v>
      </c>
      <c r="X33" t="s">
        <v>74</v>
      </c>
      <c r="Y33" t="s">
        <v>773</v>
      </c>
      <c r="Z33" t="s">
        <v>774</v>
      </c>
      <c r="AA33" t="s">
        <v>74</v>
      </c>
      <c r="AB33" t="s">
        <v>775</v>
      </c>
      <c r="AC33" t="s">
        <v>74</v>
      </c>
      <c r="AD33" t="s">
        <v>74</v>
      </c>
      <c r="AE33" t="s">
        <v>74</v>
      </c>
      <c r="AF33" t="s">
        <v>74</v>
      </c>
      <c r="AG33">
        <v>27</v>
      </c>
      <c r="AH33">
        <v>9</v>
      </c>
      <c r="AI33">
        <v>12</v>
      </c>
      <c r="AJ33">
        <v>0</v>
      </c>
      <c r="AK33">
        <v>24</v>
      </c>
      <c r="AL33" t="s">
        <v>761</v>
      </c>
      <c r="AM33" t="s">
        <v>762</v>
      </c>
      <c r="AN33" t="s">
        <v>763</v>
      </c>
      <c r="AO33" t="s">
        <v>739</v>
      </c>
      <c r="AP33" t="s">
        <v>764</v>
      </c>
      <c r="AQ33" t="s">
        <v>74</v>
      </c>
      <c r="AR33" t="s">
        <v>740</v>
      </c>
      <c r="AS33" t="s">
        <v>741</v>
      </c>
      <c r="AT33" t="s">
        <v>559</v>
      </c>
      <c r="AU33">
        <v>2012</v>
      </c>
      <c r="AV33">
        <v>44</v>
      </c>
      <c r="AW33">
        <v>2</v>
      </c>
      <c r="AX33" t="s">
        <v>74</v>
      </c>
      <c r="AY33" t="s">
        <v>74</v>
      </c>
      <c r="AZ33" t="s">
        <v>74</v>
      </c>
      <c r="BA33" t="s">
        <v>74</v>
      </c>
      <c r="BB33">
        <v>180</v>
      </c>
      <c r="BC33">
        <v>187</v>
      </c>
      <c r="BD33" t="s">
        <v>74</v>
      </c>
      <c r="BE33" t="s">
        <v>776</v>
      </c>
      <c r="BF33" t="str">
        <f>HYPERLINK("http://dx.doi.org/10.1657/1938-4246-44.2.180","http://dx.doi.org/10.1657/1938-4246-44.2.180")</f>
        <v>http://dx.doi.org/10.1657/1938-4246-44.2.180</v>
      </c>
      <c r="BG33" t="s">
        <v>74</v>
      </c>
      <c r="BH33" t="s">
        <v>74</v>
      </c>
      <c r="BI33">
        <v>8</v>
      </c>
      <c r="BJ33" t="s">
        <v>743</v>
      </c>
      <c r="BK33" t="s">
        <v>99</v>
      </c>
      <c r="BL33" t="s">
        <v>744</v>
      </c>
      <c r="BM33" t="s">
        <v>745</v>
      </c>
      <c r="BN33" t="s">
        <v>74</v>
      </c>
      <c r="BO33" t="s">
        <v>777</v>
      </c>
      <c r="BP33" t="s">
        <v>74</v>
      </c>
      <c r="BQ33" t="s">
        <v>74</v>
      </c>
      <c r="BR33" t="s">
        <v>101</v>
      </c>
      <c r="BS33" t="s">
        <v>778</v>
      </c>
      <c r="BT33" t="str">
        <f>HYPERLINK("https%3A%2F%2Fwww.webofscience.com%2Fwos%2Fwoscc%2Ffull-record%2FWOS:000304723500003","View Full Record in Web of Science")</f>
        <v>View Full Record in Web of Science</v>
      </c>
    </row>
    <row r="34" spans="1:72" x14ac:dyDescent="0.15">
      <c r="A34" t="s">
        <v>72</v>
      </c>
      <c r="B34" t="s">
        <v>779</v>
      </c>
      <c r="C34" t="s">
        <v>74</v>
      </c>
      <c r="D34" t="s">
        <v>74</v>
      </c>
      <c r="E34" t="s">
        <v>74</v>
      </c>
      <c r="F34" t="s">
        <v>780</v>
      </c>
      <c r="G34" t="s">
        <v>74</v>
      </c>
      <c r="H34" t="s">
        <v>74</v>
      </c>
      <c r="I34" t="s">
        <v>781</v>
      </c>
      <c r="J34" t="s">
        <v>726</v>
      </c>
      <c r="K34" t="s">
        <v>74</v>
      </c>
      <c r="L34" t="s">
        <v>74</v>
      </c>
      <c r="M34" t="s">
        <v>78</v>
      </c>
      <c r="N34" t="s">
        <v>79</v>
      </c>
      <c r="O34" t="s">
        <v>74</v>
      </c>
      <c r="P34" t="s">
        <v>74</v>
      </c>
      <c r="Q34" t="s">
        <v>74</v>
      </c>
      <c r="R34" t="s">
        <v>74</v>
      </c>
      <c r="S34" t="s">
        <v>74</v>
      </c>
      <c r="T34" t="s">
        <v>74</v>
      </c>
      <c r="U34" t="s">
        <v>782</v>
      </c>
      <c r="V34" t="s">
        <v>783</v>
      </c>
      <c r="W34" t="s">
        <v>784</v>
      </c>
      <c r="X34" t="s">
        <v>785</v>
      </c>
      <c r="Y34" t="s">
        <v>786</v>
      </c>
      <c r="Z34" t="s">
        <v>787</v>
      </c>
      <c r="AA34" t="s">
        <v>74</v>
      </c>
      <c r="AB34" t="s">
        <v>788</v>
      </c>
      <c r="AC34" t="s">
        <v>789</v>
      </c>
      <c r="AD34" t="s">
        <v>790</v>
      </c>
      <c r="AE34" t="s">
        <v>791</v>
      </c>
      <c r="AF34" t="s">
        <v>74</v>
      </c>
      <c r="AG34">
        <v>57</v>
      </c>
      <c r="AH34">
        <v>40</v>
      </c>
      <c r="AI34">
        <v>46</v>
      </c>
      <c r="AJ34">
        <v>8</v>
      </c>
      <c r="AK34">
        <v>146</v>
      </c>
      <c r="AL34" t="s">
        <v>761</v>
      </c>
      <c r="AM34" t="s">
        <v>762</v>
      </c>
      <c r="AN34" t="s">
        <v>763</v>
      </c>
      <c r="AO34" t="s">
        <v>739</v>
      </c>
      <c r="AP34" t="s">
        <v>764</v>
      </c>
      <c r="AQ34" t="s">
        <v>74</v>
      </c>
      <c r="AR34" t="s">
        <v>740</v>
      </c>
      <c r="AS34" t="s">
        <v>741</v>
      </c>
      <c r="AT34" t="s">
        <v>559</v>
      </c>
      <c r="AU34">
        <v>2012</v>
      </c>
      <c r="AV34">
        <v>44</v>
      </c>
      <c r="AW34">
        <v>2</v>
      </c>
      <c r="AX34" t="s">
        <v>74</v>
      </c>
      <c r="AY34" t="s">
        <v>74</v>
      </c>
      <c r="AZ34" t="s">
        <v>74</v>
      </c>
      <c r="BA34" t="s">
        <v>74</v>
      </c>
      <c r="BB34">
        <v>188</v>
      </c>
      <c r="BC34">
        <v>196</v>
      </c>
      <c r="BD34" t="s">
        <v>74</v>
      </c>
      <c r="BE34" t="s">
        <v>792</v>
      </c>
      <c r="BF34" t="str">
        <f>HYPERLINK("http://dx.doi.org/10.1657/1938-4246-44.2.188","http://dx.doi.org/10.1657/1938-4246-44.2.188")</f>
        <v>http://dx.doi.org/10.1657/1938-4246-44.2.188</v>
      </c>
      <c r="BG34" t="s">
        <v>74</v>
      </c>
      <c r="BH34" t="s">
        <v>74</v>
      </c>
      <c r="BI34">
        <v>9</v>
      </c>
      <c r="BJ34" t="s">
        <v>743</v>
      </c>
      <c r="BK34" t="s">
        <v>99</v>
      </c>
      <c r="BL34" t="s">
        <v>744</v>
      </c>
      <c r="BM34" t="s">
        <v>745</v>
      </c>
      <c r="BN34" t="s">
        <v>74</v>
      </c>
      <c r="BO34" t="s">
        <v>197</v>
      </c>
      <c r="BP34" t="s">
        <v>74</v>
      </c>
      <c r="BQ34" t="s">
        <v>74</v>
      </c>
      <c r="BR34" t="s">
        <v>101</v>
      </c>
      <c r="BS34" t="s">
        <v>793</v>
      </c>
      <c r="BT34" t="str">
        <f>HYPERLINK("https%3A%2F%2Fwww.webofscience.com%2Fwos%2Fwoscc%2Ffull-record%2FWOS:000304723500004","View Full Record in Web of Science")</f>
        <v>View Full Record in Web of Science</v>
      </c>
    </row>
    <row r="35" spans="1:72" x14ac:dyDescent="0.15">
      <c r="A35" t="s">
        <v>72</v>
      </c>
      <c r="B35" t="s">
        <v>794</v>
      </c>
      <c r="C35" t="s">
        <v>74</v>
      </c>
      <c r="D35" t="s">
        <v>74</v>
      </c>
      <c r="E35" t="s">
        <v>74</v>
      </c>
      <c r="F35" t="s">
        <v>795</v>
      </c>
      <c r="G35" t="s">
        <v>74</v>
      </c>
      <c r="H35" t="s">
        <v>74</v>
      </c>
      <c r="I35" t="s">
        <v>796</v>
      </c>
      <c r="J35" t="s">
        <v>726</v>
      </c>
      <c r="K35" t="s">
        <v>74</v>
      </c>
      <c r="L35" t="s">
        <v>74</v>
      </c>
      <c r="M35" t="s">
        <v>78</v>
      </c>
      <c r="N35" t="s">
        <v>79</v>
      </c>
      <c r="O35" t="s">
        <v>74</v>
      </c>
      <c r="P35" t="s">
        <v>74</v>
      </c>
      <c r="Q35" t="s">
        <v>74</v>
      </c>
      <c r="R35" t="s">
        <v>74</v>
      </c>
      <c r="S35" t="s">
        <v>74</v>
      </c>
      <c r="T35" t="s">
        <v>74</v>
      </c>
      <c r="U35" t="s">
        <v>797</v>
      </c>
      <c r="V35" t="s">
        <v>798</v>
      </c>
      <c r="W35" t="s">
        <v>799</v>
      </c>
      <c r="X35" t="s">
        <v>800</v>
      </c>
      <c r="Y35" t="s">
        <v>801</v>
      </c>
      <c r="Z35" t="s">
        <v>802</v>
      </c>
      <c r="AA35" t="s">
        <v>74</v>
      </c>
      <c r="AB35" t="s">
        <v>74</v>
      </c>
      <c r="AC35" t="s">
        <v>803</v>
      </c>
      <c r="AD35" t="s">
        <v>804</v>
      </c>
      <c r="AE35" t="s">
        <v>805</v>
      </c>
      <c r="AF35" t="s">
        <v>74</v>
      </c>
      <c r="AG35">
        <v>78</v>
      </c>
      <c r="AH35">
        <v>24</v>
      </c>
      <c r="AI35">
        <v>25</v>
      </c>
      <c r="AJ35">
        <v>0</v>
      </c>
      <c r="AK35">
        <v>43</v>
      </c>
      <c r="AL35" t="s">
        <v>761</v>
      </c>
      <c r="AM35" t="s">
        <v>762</v>
      </c>
      <c r="AN35" t="s">
        <v>763</v>
      </c>
      <c r="AO35" t="s">
        <v>739</v>
      </c>
      <c r="AP35" t="s">
        <v>764</v>
      </c>
      <c r="AQ35" t="s">
        <v>74</v>
      </c>
      <c r="AR35" t="s">
        <v>740</v>
      </c>
      <c r="AS35" t="s">
        <v>741</v>
      </c>
      <c r="AT35" t="s">
        <v>559</v>
      </c>
      <c r="AU35">
        <v>2012</v>
      </c>
      <c r="AV35">
        <v>44</v>
      </c>
      <c r="AW35">
        <v>2</v>
      </c>
      <c r="AX35" t="s">
        <v>74</v>
      </c>
      <c r="AY35" t="s">
        <v>74</v>
      </c>
      <c r="AZ35" t="s">
        <v>74</v>
      </c>
      <c r="BA35" t="s">
        <v>74</v>
      </c>
      <c r="BB35">
        <v>197</v>
      </c>
      <c r="BC35">
        <v>209</v>
      </c>
      <c r="BD35" t="s">
        <v>74</v>
      </c>
      <c r="BE35" t="s">
        <v>806</v>
      </c>
      <c r="BF35" t="str">
        <f>HYPERLINK("http://dx.doi.org/10.1657/1938-4246-44.2.197","http://dx.doi.org/10.1657/1938-4246-44.2.197")</f>
        <v>http://dx.doi.org/10.1657/1938-4246-44.2.197</v>
      </c>
      <c r="BG35" t="s">
        <v>74</v>
      </c>
      <c r="BH35" t="s">
        <v>74</v>
      </c>
      <c r="BI35">
        <v>13</v>
      </c>
      <c r="BJ35" t="s">
        <v>743</v>
      </c>
      <c r="BK35" t="s">
        <v>99</v>
      </c>
      <c r="BL35" t="s">
        <v>744</v>
      </c>
      <c r="BM35" t="s">
        <v>745</v>
      </c>
      <c r="BN35" t="s">
        <v>74</v>
      </c>
      <c r="BO35" t="s">
        <v>197</v>
      </c>
      <c r="BP35" t="s">
        <v>74</v>
      </c>
      <c r="BQ35" t="s">
        <v>74</v>
      </c>
      <c r="BR35" t="s">
        <v>101</v>
      </c>
      <c r="BS35" t="s">
        <v>807</v>
      </c>
      <c r="BT35" t="str">
        <f>HYPERLINK("https%3A%2F%2Fwww.webofscience.com%2Fwos%2Fwoscc%2Ffull-record%2FWOS:000304723500005","View Full Record in Web of Science")</f>
        <v>View Full Record in Web of Science</v>
      </c>
    </row>
    <row r="36" spans="1:72" x14ac:dyDescent="0.15">
      <c r="A36" t="s">
        <v>72</v>
      </c>
      <c r="B36" t="s">
        <v>808</v>
      </c>
      <c r="C36" t="s">
        <v>74</v>
      </c>
      <c r="D36" t="s">
        <v>74</v>
      </c>
      <c r="E36" t="s">
        <v>74</v>
      </c>
      <c r="F36" t="s">
        <v>809</v>
      </c>
      <c r="G36" t="s">
        <v>74</v>
      </c>
      <c r="H36" t="s">
        <v>74</v>
      </c>
      <c r="I36" t="s">
        <v>810</v>
      </c>
      <c r="J36" t="s">
        <v>726</v>
      </c>
      <c r="K36" t="s">
        <v>74</v>
      </c>
      <c r="L36" t="s">
        <v>74</v>
      </c>
      <c r="M36" t="s">
        <v>78</v>
      </c>
      <c r="N36" t="s">
        <v>79</v>
      </c>
      <c r="O36" t="s">
        <v>74</v>
      </c>
      <c r="P36" t="s">
        <v>74</v>
      </c>
      <c r="Q36" t="s">
        <v>74</v>
      </c>
      <c r="R36" t="s">
        <v>74</v>
      </c>
      <c r="S36" t="s">
        <v>74</v>
      </c>
      <c r="T36" t="s">
        <v>74</v>
      </c>
      <c r="U36" t="s">
        <v>811</v>
      </c>
      <c r="V36" t="s">
        <v>812</v>
      </c>
      <c r="W36" t="s">
        <v>813</v>
      </c>
      <c r="X36" t="s">
        <v>814</v>
      </c>
      <c r="Y36" t="s">
        <v>815</v>
      </c>
      <c r="Z36" t="s">
        <v>816</v>
      </c>
      <c r="AA36" t="s">
        <v>74</v>
      </c>
      <c r="AB36" t="s">
        <v>817</v>
      </c>
      <c r="AC36" t="s">
        <v>818</v>
      </c>
      <c r="AD36" t="s">
        <v>819</v>
      </c>
      <c r="AE36" t="s">
        <v>820</v>
      </c>
      <c r="AF36" t="s">
        <v>74</v>
      </c>
      <c r="AG36">
        <v>51</v>
      </c>
      <c r="AH36">
        <v>15</v>
      </c>
      <c r="AI36">
        <v>18</v>
      </c>
      <c r="AJ36">
        <v>0</v>
      </c>
      <c r="AK36">
        <v>12</v>
      </c>
      <c r="AL36" t="s">
        <v>761</v>
      </c>
      <c r="AM36" t="s">
        <v>762</v>
      </c>
      <c r="AN36" t="s">
        <v>763</v>
      </c>
      <c r="AO36" t="s">
        <v>739</v>
      </c>
      <c r="AP36" t="s">
        <v>764</v>
      </c>
      <c r="AQ36" t="s">
        <v>74</v>
      </c>
      <c r="AR36" t="s">
        <v>740</v>
      </c>
      <c r="AS36" t="s">
        <v>741</v>
      </c>
      <c r="AT36" t="s">
        <v>559</v>
      </c>
      <c r="AU36">
        <v>2012</v>
      </c>
      <c r="AV36">
        <v>44</v>
      </c>
      <c r="AW36">
        <v>2</v>
      </c>
      <c r="AX36" t="s">
        <v>74</v>
      </c>
      <c r="AY36" t="s">
        <v>74</v>
      </c>
      <c r="AZ36" t="s">
        <v>74</v>
      </c>
      <c r="BA36" t="s">
        <v>74</v>
      </c>
      <c r="BB36">
        <v>210</v>
      </c>
      <c r="BC36">
        <v>221</v>
      </c>
      <c r="BD36" t="s">
        <v>74</v>
      </c>
      <c r="BE36" t="s">
        <v>821</v>
      </c>
      <c r="BF36" t="str">
        <f>HYPERLINK("http://dx.doi.org/10.1657/1938-4246-44.2.210","http://dx.doi.org/10.1657/1938-4246-44.2.210")</f>
        <v>http://dx.doi.org/10.1657/1938-4246-44.2.210</v>
      </c>
      <c r="BG36" t="s">
        <v>74</v>
      </c>
      <c r="BH36" t="s">
        <v>74</v>
      </c>
      <c r="BI36">
        <v>12</v>
      </c>
      <c r="BJ36" t="s">
        <v>743</v>
      </c>
      <c r="BK36" t="s">
        <v>99</v>
      </c>
      <c r="BL36" t="s">
        <v>744</v>
      </c>
      <c r="BM36" t="s">
        <v>745</v>
      </c>
      <c r="BN36" t="s">
        <v>74</v>
      </c>
      <c r="BO36" t="s">
        <v>822</v>
      </c>
      <c r="BP36" t="s">
        <v>74</v>
      </c>
      <c r="BQ36" t="s">
        <v>74</v>
      </c>
      <c r="BR36" t="s">
        <v>101</v>
      </c>
      <c r="BS36" t="s">
        <v>823</v>
      </c>
      <c r="BT36" t="str">
        <f>HYPERLINK("https%3A%2F%2Fwww.webofscience.com%2Fwos%2Fwoscc%2Ffull-record%2FWOS:000304723500006","View Full Record in Web of Science")</f>
        <v>View Full Record in Web of Science</v>
      </c>
    </row>
    <row r="37" spans="1:72" x14ac:dyDescent="0.15">
      <c r="A37" t="s">
        <v>72</v>
      </c>
      <c r="B37" t="s">
        <v>824</v>
      </c>
      <c r="C37" t="s">
        <v>74</v>
      </c>
      <c r="D37" t="s">
        <v>74</v>
      </c>
      <c r="E37" t="s">
        <v>74</v>
      </c>
      <c r="F37" t="s">
        <v>825</v>
      </c>
      <c r="G37" t="s">
        <v>74</v>
      </c>
      <c r="H37" t="s">
        <v>74</v>
      </c>
      <c r="I37" t="s">
        <v>826</v>
      </c>
      <c r="J37" t="s">
        <v>726</v>
      </c>
      <c r="K37" t="s">
        <v>74</v>
      </c>
      <c r="L37" t="s">
        <v>74</v>
      </c>
      <c r="M37" t="s">
        <v>78</v>
      </c>
      <c r="N37" t="s">
        <v>79</v>
      </c>
      <c r="O37" t="s">
        <v>74</v>
      </c>
      <c r="P37" t="s">
        <v>74</v>
      </c>
      <c r="Q37" t="s">
        <v>74</v>
      </c>
      <c r="R37" t="s">
        <v>74</v>
      </c>
      <c r="S37" t="s">
        <v>74</v>
      </c>
      <c r="T37" t="s">
        <v>74</v>
      </c>
      <c r="U37" t="s">
        <v>827</v>
      </c>
      <c r="V37" t="s">
        <v>828</v>
      </c>
      <c r="W37" t="s">
        <v>829</v>
      </c>
      <c r="X37" t="s">
        <v>830</v>
      </c>
      <c r="Y37" t="s">
        <v>831</v>
      </c>
      <c r="Z37" t="s">
        <v>832</v>
      </c>
      <c r="AA37" t="s">
        <v>833</v>
      </c>
      <c r="AB37" t="s">
        <v>834</v>
      </c>
      <c r="AC37" t="s">
        <v>835</v>
      </c>
      <c r="AD37" t="s">
        <v>836</v>
      </c>
      <c r="AE37" t="s">
        <v>837</v>
      </c>
      <c r="AF37" t="s">
        <v>74</v>
      </c>
      <c r="AG37">
        <v>34</v>
      </c>
      <c r="AH37">
        <v>9</v>
      </c>
      <c r="AI37">
        <v>10</v>
      </c>
      <c r="AJ37">
        <v>1</v>
      </c>
      <c r="AK37">
        <v>39</v>
      </c>
      <c r="AL37" t="s">
        <v>761</v>
      </c>
      <c r="AM37" t="s">
        <v>762</v>
      </c>
      <c r="AN37" t="s">
        <v>763</v>
      </c>
      <c r="AO37" t="s">
        <v>739</v>
      </c>
      <c r="AP37" t="s">
        <v>764</v>
      </c>
      <c r="AQ37" t="s">
        <v>74</v>
      </c>
      <c r="AR37" t="s">
        <v>740</v>
      </c>
      <c r="AS37" t="s">
        <v>741</v>
      </c>
      <c r="AT37" t="s">
        <v>559</v>
      </c>
      <c r="AU37">
        <v>2012</v>
      </c>
      <c r="AV37">
        <v>44</v>
      </c>
      <c r="AW37">
        <v>2</v>
      </c>
      <c r="AX37" t="s">
        <v>74</v>
      </c>
      <c r="AY37" t="s">
        <v>74</v>
      </c>
      <c r="AZ37" t="s">
        <v>74</v>
      </c>
      <c r="BA37" t="s">
        <v>74</v>
      </c>
      <c r="BB37">
        <v>232</v>
      </c>
      <c r="BC37">
        <v>238</v>
      </c>
      <c r="BD37" t="s">
        <v>74</v>
      </c>
      <c r="BE37" t="s">
        <v>838</v>
      </c>
      <c r="BF37" t="str">
        <f>HYPERLINK("http://dx.doi.org/10.1657/1938-4246-44.2.232","http://dx.doi.org/10.1657/1938-4246-44.2.232")</f>
        <v>http://dx.doi.org/10.1657/1938-4246-44.2.232</v>
      </c>
      <c r="BG37" t="s">
        <v>74</v>
      </c>
      <c r="BH37" t="s">
        <v>74</v>
      </c>
      <c r="BI37">
        <v>7</v>
      </c>
      <c r="BJ37" t="s">
        <v>743</v>
      </c>
      <c r="BK37" t="s">
        <v>99</v>
      </c>
      <c r="BL37" t="s">
        <v>744</v>
      </c>
      <c r="BM37" t="s">
        <v>745</v>
      </c>
      <c r="BN37" t="s">
        <v>74</v>
      </c>
      <c r="BO37" t="s">
        <v>156</v>
      </c>
      <c r="BP37" t="s">
        <v>74</v>
      </c>
      <c r="BQ37" t="s">
        <v>74</v>
      </c>
      <c r="BR37" t="s">
        <v>101</v>
      </c>
      <c r="BS37" t="s">
        <v>839</v>
      </c>
      <c r="BT37" t="str">
        <f>HYPERLINK("https%3A%2F%2Fwww.webofscience.com%2Fwos%2Fwoscc%2Ffull-record%2FWOS:000304723500008","View Full Record in Web of Science")</f>
        <v>View Full Record in Web of Science</v>
      </c>
    </row>
    <row r="38" spans="1:72" x14ac:dyDescent="0.15">
      <c r="A38" t="s">
        <v>72</v>
      </c>
      <c r="B38" t="s">
        <v>840</v>
      </c>
      <c r="C38" t="s">
        <v>74</v>
      </c>
      <c r="D38" t="s">
        <v>74</v>
      </c>
      <c r="E38" t="s">
        <v>74</v>
      </c>
      <c r="F38" t="s">
        <v>841</v>
      </c>
      <c r="G38" t="s">
        <v>74</v>
      </c>
      <c r="H38" t="s">
        <v>74</v>
      </c>
      <c r="I38" t="s">
        <v>842</v>
      </c>
      <c r="J38" t="s">
        <v>726</v>
      </c>
      <c r="K38" t="s">
        <v>74</v>
      </c>
      <c r="L38" t="s">
        <v>74</v>
      </c>
      <c r="M38" t="s">
        <v>78</v>
      </c>
      <c r="N38" t="s">
        <v>79</v>
      </c>
      <c r="O38" t="s">
        <v>74</v>
      </c>
      <c r="P38" t="s">
        <v>74</v>
      </c>
      <c r="Q38" t="s">
        <v>74</v>
      </c>
      <c r="R38" t="s">
        <v>74</v>
      </c>
      <c r="S38" t="s">
        <v>74</v>
      </c>
      <c r="T38" t="s">
        <v>74</v>
      </c>
      <c r="U38" t="s">
        <v>843</v>
      </c>
      <c r="V38" t="s">
        <v>844</v>
      </c>
      <c r="W38" t="s">
        <v>845</v>
      </c>
      <c r="X38" t="s">
        <v>846</v>
      </c>
      <c r="Y38" t="s">
        <v>847</v>
      </c>
      <c r="Z38" t="s">
        <v>74</v>
      </c>
      <c r="AA38" t="s">
        <v>848</v>
      </c>
      <c r="AB38" t="s">
        <v>849</v>
      </c>
      <c r="AC38" t="s">
        <v>850</v>
      </c>
      <c r="AD38" t="s">
        <v>851</v>
      </c>
      <c r="AE38" t="s">
        <v>852</v>
      </c>
      <c r="AF38" t="s">
        <v>74</v>
      </c>
      <c r="AG38">
        <v>41</v>
      </c>
      <c r="AH38">
        <v>12</v>
      </c>
      <c r="AI38">
        <v>13</v>
      </c>
      <c r="AJ38">
        <v>7</v>
      </c>
      <c r="AK38">
        <v>77</v>
      </c>
      <c r="AL38" t="s">
        <v>736</v>
      </c>
      <c r="AM38" t="s">
        <v>737</v>
      </c>
      <c r="AN38" t="s">
        <v>738</v>
      </c>
      <c r="AO38" t="s">
        <v>739</v>
      </c>
      <c r="AP38" t="s">
        <v>764</v>
      </c>
      <c r="AQ38" t="s">
        <v>74</v>
      </c>
      <c r="AR38" t="s">
        <v>740</v>
      </c>
      <c r="AS38" t="s">
        <v>741</v>
      </c>
      <c r="AT38" t="s">
        <v>559</v>
      </c>
      <c r="AU38">
        <v>2012</v>
      </c>
      <c r="AV38">
        <v>44</v>
      </c>
      <c r="AW38">
        <v>2</v>
      </c>
      <c r="AX38" t="s">
        <v>74</v>
      </c>
      <c r="AY38" t="s">
        <v>74</v>
      </c>
      <c r="AZ38" t="s">
        <v>74</v>
      </c>
      <c r="BA38" t="s">
        <v>74</v>
      </c>
      <c r="BB38">
        <v>239</v>
      </c>
      <c r="BC38">
        <v>246</v>
      </c>
      <c r="BD38" t="s">
        <v>74</v>
      </c>
      <c r="BE38" t="s">
        <v>853</v>
      </c>
      <c r="BF38" t="str">
        <f>HYPERLINK("http://dx.doi.org/10.1657/1938-4246-44.2.239","http://dx.doi.org/10.1657/1938-4246-44.2.239")</f>
        <v>http://dx.doi.org/10.1657/1938-4246-44.2.239</v>
      </c>
      <c r="BG38" t="s">
        <v>74</v>
      </c>
      <c r="BH38" t="s">
        <v>74</v>
      </c>
      <c r="BI38">
        <v>8</v>
      </c>
      <c r="BJ38" t="s">
        <v>743</v>
      </c>
      <c r="BK38" t="s">
        <v>99</v>
      </c>
      <c r="BL38" t="s">
        <v>744</v>
      </c>
      <c r="BM38" t="s">
        <v>745</v>
      </c>
      <c r="BN38" t="s">
        <v>74</v>
      </c>
      <c r="BO38" t="s">
        <v>854</v>
      </c>
      <c r="BP38" t="s">
        <v>74</v>
      </c>
      <c r="BQ38" t="s">
        <v>74</v>
      </c>
      <c r="BR38" t="s">
        <v>101</v>
      </c>
      <c r="BS38" t="s">
        <v>855</v>
      </c>
      <c r="BT38" t="str">
        <f>HYPERLINK("https%3A%2F%2Fwww.webofscience.com%2Fwos%2Fwoscc%2Ffull-record%2FWOS:000304723500009","View Full Record in Web of Science")</f>
        <v>View Full Record in Web of Science</v>
      </c>
    </row>
    <row r="39" spans="1:72" x14ac:dyDescent="0.15">
      <c r="A39" t="s">
        <v>72</v>
      </c>
      <c r="B39" t="s">
        <v>856</v>
      </c>
      <c r="C39" t="s">
        <v>74</v>
      </c>
      <c r="D39" t="s">
        <v>74</v>
      </c>
      <c r="E39" t="s">
        <v>74</v>
      </c>
      <c r="F39" t="s">
        <v>857</v>
      </c>
      <c r="G39" t="s">
        <v>74</v>
      </c>
      <c r="H39" t="s">
        <v>74</v>
      </c>
      <c r="I39" t="s">
        <v>858</v>
      </c>
      <c r="J39" t="s">
        <v>726</v>
      </c>
      <c r="K39" t="s">
        <v>74</v>
      </c>
      <c r="L39" t="s">
        <v>74</v>
      </c>
      <c r="M39" t="s">
        <v>78</v>
      </c>
      <c r="N39" t="s">
        <v>79</v>
      </c>
      <c r="O39" t="s">
        <v>74</v>
      </c>
      <c r="P39" t="s">
        <v>74</v>
      </c>
      <c r="Q39" t="s">
        <v>74</v>
      </c>
      <c r="R39" t="s">
        <v>74</v>
      </c>
      <c r="S39" t="s">
        <v>74</v>
      </c>
      <c r="T39" t="s">
        <v>74</v>
      </c>
      <c r="U39" t="s">
        <v>859</v>
      </c>
      <c r="V39" t="s">
        <v>860</v>
      </c>
      <c r="W39" t="s">
        <v>861</v>
      </c>
      <c r="X39" t="s">
        <v>862</v>
      </c>
      <c r="Y39" t="s">
        <v>863</v>
      </c>
      <c r="Z39" t="s">
        <v>864</v>
      </c>
      <c r="AA39" t="s">
        <v>74</v>
      </c>
      <c r="AB39" t="s">
        <v>74</v>
      </c>
      <c r="AC39" t="s">
        <v>865</v>
      </c>
      <c r="AD39" t="s">
        <v>866</v>
      </c>
      <c r="AE39" t="s">
        <v>867</v>
      </c>
      <c r="AF39" t="s">
        <v>74</v>
      </c>
      <c r="AG39">
        <v>43</v>
      </c>
      <c r="AH39">
        <v>9</v>
      </c>
      <c r="AI39">
        <v>10</v>
      </c>
      <c r="AJ39">
        <v>1</v>
      </c>
      <c r="AK39">
        <v>29</v>
      </c>
      <c r="AL39" t="s">
        <v>761</v>
      </c>
      <c r="AM39" t="s">
        <v>762</v>
      </c>
      <c r="AN39" t="s">
        <v>763</v>
      </c>
      <c r="AO39" t="s">
        <v>739</v>
      </c>
      <c r="AP39" t="s">
        <v>764</v>
      </c>
      <c r="AQ39" t="s">
        <v>74</v>
      </c>
      <c r="AR39" t="s">
        <v>740</v>
      </c>
      <c r="AS39" t="s">
        <v>741</v>
      </c>
      <c r="AT39" t="s">
        <v>559</v>
      </c>
      <c r="AU39">
        <v>2012</v>
      </c>
      <c r="AV39">
        <v>44</v>
      </c>
      <c r="AW39">
        <v>2</v>
      </c>
      <c r="AX39" t="s">
        <v>74</v>
      </c>
      <c r="AY39" t="s">
        <v>74</v>
      </c>
      <c r="AZ39" t="s">
        <v>74</v>
      </c>
      <c r="BA39" t="s">
        <v>74</v>
      </c>
      <c r="BB39">
        <v>247</v>
      </c>
      <c r="BC39">
        <v>254</v>
      </c>
      <c r="BD39" t="s">
        <v>74</v>
      </c>
      <c r="BE39" t="s">
        <v>868</v>
      </c>
      <c r="BF39" t="str">
        <f>HYPERLINK("http://dx.doi.org/10.1657/1938-4246-44.2.247","http://dx.doi.org/10.1657/1938-4246-44.2.247")</f>
        <v>http://dx.doi.org/10.1657/1938-4246-44.2.247</v>
      </c>
      <c r="BG39" t="s">
        <v>74</v>
      </c>
      <c r="BH39" t="s">
        <v>74</v>
      </c>
      <c r="BI39">
        <v>8</v>
      </c>
      <c r="BJ39" t="s">
        <v>743</v>
      </c>
      <c r="BK39" t="s">
        <v>99</v>
      </c>
      <c r="BL39" t="s">
        <v>744</v>
      </c>
      <c r="BM39" t="s">
        <v>745</v>
      </c>
      <c r="BN39" t="s">
        <v>74</v>
      </c>
      <c r="BO39" t="s">
        <v>217</v>
      </c>
      <c r="BP39" t="s">
        <v>74</v>
      </c>
      <c r="BQ39" t="s">
        <v>74</v>
      </c>
      <c r="BR39" t="s">
        <v>101</v>
      </c>
      <c r="BS39" t="s">
        <v>869</v>
      </c>
      <c r="BT39" t="str">
        <f>HYPERLINK("https%3A%2F%2Fwww.webofscience.com%2Fwos%2Fwoscc%2Ffull-record%2FWOS:000304723500010","View Full Record in Web of Science")</f>
        <v>View Full Record in Web of Science</v>
      </c>
    </row>
    <row r="40" spans="1:72" x14ac:dyDescent="0.15">
      <c r="A40" t="s">
        <v>72</v>
      </c>
      <c r="B40" t="s">
        <v>870</v>
      </c>
      <c r="C40" t="s">
        <v>74</v>
      </c>
      <c r="D40" t="s">
        <v>74</v>
      </c>
      <c r="E40" t="s">
        <v>74</v>
      </c>
      <c r="F40" t="s">
        <v>871</v>
      </c>
      <c r="G40" t="s">
        <v>74</v>
      </c>
      <c r="H40" t="s">
        <v>74</v>
      </c>
      <c r="I40" t="s">
        <v>872</v>
      </c>
      <c r="J40" t="s">
        <v>726</v>
      </c>
      <c r="K40" t="s">
        <v>74</v>
      </c>
      <c r="L40" t="s">
        <v>74</v>
      </c>
      <c r="M40" t="s">
        <v>78</v>
      </c>
      <c r="N40" t="s">
        <v>873</v>
      </c>
      <c r="O40" t="s">
        <v>74</v>
      </c>
      <c r="P40" t="s">
        <v>74</v>
      </c>
      <c r="Q40" t="s">
        <v>74</v>
      </c>
      <c r="R40" t="s">
        <v>74</v>
      </c>
      <c r="S40" t="s">
        <v>74</v>
      </c>
      <c r="T40" t="s">
        <v>74</v>
      </c>
      <c r="U40" t="s">
        <v>74</v>
      </c>
      <c r="V40" t="s">
        <v>74</v>
      </c>
      <c r="W40" t="s">
        <v>874</v>
      </c>
      <c r="X40" t="s">
        <v>875</v>
      </c>
      <c r="Y40" t="s">
        <v>876</v>
      </c>
      <c r="Z40" t="s">
        <v>877</v>
      </c>
      <c r="AA40" t="s">
        <v>878</v>
      </c>
      <c r="AB40" t="s">
        <v>879</v>
      </c>
      <c r="AC40" t="s">
        <v>74</v>
      </c>
      <c r="AD40" t="s">
        <v>74</v>
      </c>
      <c r="AE40" t="s">
        <v>74</v>
      </c>
      <c r="AF40" t="s">
        <v>74</v>
      </c>
      <c r="AG40">
        <v>1</v>
      </c>
      <c r="AH40">
        <v>0</v>
      </c>
      <c r="AI40">
        <v>0</v>
      </c>
      <c r="AJ40">
        <v>0</v>
      </c>
      <c r="AK40">
        <v>18</v>
      </c>
      <c r="AL40" t="s">
        <v>736</v>
      </c>
      <c r="AM40" t="s">
        <v>737</v>
      </c>
      <c r="AN40" t="s">
        <v>738</v>
      </c>
      <c r="AO40" t="s">
        <v>739</v>
      </c>
      <c r="AP40" t="s">
        <v>74</v>
      </c>
      <c r="AQ40" t="s">
        <v>74</v>
      </c>
      <c r="AR40" t="s">
        <v>740</v>
      </c>
      <c r="AS40" t="s">
        <v>741</v>
      </c>
      <c r="AT40" t="s">
        <v>559</v>
      </c>
      <c r="AU40">
        <v>2012</v>
      </c>
      <c r="AV40">
        <v>44</v>
      </c>
      <c r="AW40">
        <v>2</v>
      </c>
      <c r="AX40" t="s">
        <v>74</v>
      </c>
      <c r="AY40" t="s">
        <v>74</v>
      </c>
      <c r="AZ40" t="s">
        <v>74</v>
      </c>
      <c r="BA40" t="s">
        <v>74</v>
      </c>
      <c r="BB40">
        <v>255</v>
      </c>
      <c r="BC40">
        <v>255</v>
      </c>
      <c r="BD40" t="s">
        <v>74</v>
      </c>
      <c r="BE40" t="s">
        <v>880</v>
      </c>
      <c r="BF40" t="str">
        <f>HYPERLINK("http://dx.doi.org/10.1657/1938-4246-44.2.255","http://dx.doi.org/10.1657/1938-4246-44.2.255")</f>
        <v>http://dx.doi.org/10.1657/1938-4246-44.2.255</v>
      </c>
      <c r="BG40" t="s">
        <v>74</v>
      </c>
      <c r="BH40" t="s">
        <v>74</v>
      </c>
      <c r="BI40">
        <v>1</v>
      </c>
      <c r="BJ40" t="s">
        <v>743</v>
      </c>
      <c r="BK40" t="s">
        <v>99</v>
      </c>
      <c r="BL40" t="s">
        <v>744</v>
      </c>
      <c r="BM40" t="s">
        <v>745</v>
      </c>
      <c r="BN40" t="s">
        <v>74</v>
      </c>
      <c r="BO40" t="s">
        <v>217</v>
      </c>
      <c r="BP40" t="s">
        <v>74</v>
      </c>
      <c r="BQ40" t="s">
        <v>74</v>
      </c>
      <c r="BR40" t="s">
        <v>101</v>
      </c>
      <c r="BS40" t="s">
        <v>881</v>
      </c>
      <c r="BT40" t="str">
        <f>HYPERLINK("https%3A%2F%2Fwww.webofscience.com%2Fwos%2Fwoscc%2Ffull-record%2FWOS:000304723500011","View Full Record in Web of Science")</f>
        <v>View Full Record in Web of Science</v>
      </c>
    </row>
    <row r="41" spans="1:72" x14ac:dyDescent="0.15">
      <c r="A41" t="s">
        <v>72</v>
      </c>
      <c r="B41" t="s">
        <v>882</v>
      </c>
      <c r="C41" t="s">
        <v>74</v>
      </c>
      <c r="D41" t="s">
        <v>74</v>
      </c>
      <c r="E41" t="s">
        <v>74</v>
      </c>
      <c r="F41" t="s">
        <v>883</v>
      </c>
      <c r="G41" t="s">
        <v>74</v>
      </c>
      <c r="H41" t="s">
        <v>74</v>
      </c>
      <c r="I41" t="s">
        <v>884</v>
      </c>
      <c r="J41" t="s">
        <v>885</v>
      </c>
      <c r="K41" t="s">
        <v>74</v>
      </c>
      <c r="L41" t="s">
        <v>74</v>
      </c>
      <c r="M41" t="s">
        <v>886</v>
      </c>
      <c r="N41" t="s">
        <v>887</v>
      </c>
      <c r="O41" t="s">
        <v>74</v>
      </c>
      <c r="P41" t="s">
        <v>74</v>
      </c>
      <c r="Q41" t="s">
        <v>74</v>
      </c>
      <c r="R41" t="s">
        <v>74</v>
      </c>
      <c r="S41" t="s">
        <v>74</v>
      </c>
      <c r="T41" t="s">
        <v>74</v>
      </c>
      <c r="U41" t="s">
        <v>74</v>
      </c>
      <c r="V41" t="s">
        <v>74</v>
      </c>
      <c r="W41" t="s">
        <v>74</v>
      </c>
      <c r="X41" t="s">
        <v>74</v>
      </c>
      <c r="Y41" t="s">
        <v>74</v>
      </c>
      <c r="Z41" t="s">
        <v>74</v>
      </c>
      <c r="AA41" t="s">
        <v>74</v>
      </c>
      <c r="AB41" t="s">
        <v>74</v>
      </c>
      <c r="AC41" t="s">
        <v>74</v>
      </c>
      <c r="AD41" t="s">
        <v>74</v>
      </c>
      <c r="AE41" t="s">
        <v>74</v>
      </c>
      <c r="AF41" t="s">
        <v>74</v>
      </c>
      <c r="AG41">
        <v>1</v>
      </c>
      <c r="AH41">
        <v>0</v>
      </c>
      <c r="AI41">
        <v>0</v>
      </c>
      <c r="AJ41">
        <v>0</v>
      </c>
      <c r="AK41">
        <v>23</v>
      </c>
      <c r="AL41" t="s">
        <v>888</v>
      </c>
      <c r="AM41" t="s">
        <v>889</v>
      </c>
      <c r="AN41" t="s">
        <v>890</v>
      </c>
      <c r="AO41" t="s">
        <v>891</v>
      </c>
      <c r="AP41" t="s">
        <v>74</v>
      </c>
      <c r="AQ41" t="s">
        <v>74</v>
      </c>
      <c r="AR41" t="s">
        <v>885</v>
      </c>
      <c r="AS41" t="s">
        <v>892</v>
      </c>
      <c r="AT41" t="s">
        <v>559</v>
      </c>
      <c r="AU41">
        <v>2012</v>
      </c>
      <c r="AV41" t="s">
        <v>74</v>
      </c>
      <c r="AW41">
        <v>332</v>
      </c>
      <c r="AX41" t="s">
        <v>74</v>
      </c>
      <c r="AY41" t="s">
        <v>74</v>
      </c>
      <c r="AZ41" t="s">
        <v>74</v>
      </c>
      <c r="BA41" t="s">
        <v>74</v>
      </c>
      <c r="BB41">
        <v>20</v>
      </c>
      <c r="BC41">
        <v>20</v>
      </c>
      <c r="BD41" t="s">
        <v>74</v>
      </c>
      <c r="BE41" t="s">
        <v>74</v>
      </c>
      <c r="BF41" t="s">
        <v>74</v>
      </c>
      <c r="BG41" t="s">
        <v>74</v>
      </c>
      <c r="BH41" t="s">
        <v>74</v>
      </c>
      <c r="BI41">
        <v>1</v>
      </c>
      <c r="BJ41" t="s">
        <v>893</v>
      </c>
      <c r="BK41" t="s">
        <v>99</v>
      </c>
      <c r="BL41" t="s">
        <v>893</v>
      </c>
      <c r="BM41" t="s">
        <v>894</v>
      </c>
      <c r="BN41" t="s">
        <v>74</v>
      </c>
      <c r="BO41" t="s">
        <v>74</v>
      </c>
      <c r="BP41" t="s">
        <v>74</v>
      </c>
      <c r="BQ41" t="s">
        <v>74</v>
      </c>
      <c r="BR41" t="s">
        <v>101</v>
      </c>
      <c r="BS41" t="s">
        <v>895</v>
      </c>
      <c r="BT41" t="str">
        <f>HYPERLINK("https%3A%2F%2Fwww.webofscience.com%2Fwos%2Fwoscc%2Ffull-record%2FWOS:000304639600038","View Full Record in Web of Science")</f>
        <v>View Full Record in Web of Science</v>
      </c>
    </row>
    <row r="42" spans="1:72" x14ac:dyDescent="0.15">
      <c r="A42" t="s">
        <v>72</v>
      </c>
      <c r="B42" t="s">
        <v>896</v>
      </c>
      <c r="C42" t="s">
        <v>74</v>
      </c>
      <c r="D42" t="s">
        <v>74</v>
      </c>
      <c r="E42" t="s">
        <v>74</v>
      </c>
      <c r="F42" t="s">
        <v>897</v>
      </c>
      <c r="G42" t="s">
        <v>74</v>
      </c>
      <c r="H42" t="s">
        <v>74</v>
      </c>
      <c r="I42" t="s">
        <v>898</v>
      </c>
      <c r="J42" t="s">
        <v>899</v>
      </c>
      <c r="K42" t="s">
        <v>74</v>
      </c>
      <c r="L42" t="s">
        <v>74</v>
      </c>
      <c r="M42" t="s">
        <v>78</v>
      </c>
      <c r="N42" t="s">
        <v>79</v>
      </c>
      <c r="O42" t="s">
        <v>74</v>
      </c>
      <c r="P42" t="s">
        <v>74</v>
      </c>
      <c r="Q42" t="s">
        <v>74</v>
      </c>
      <c r="R42" t="s">
        <v>74</v>
      </c>
      <c r="S42" t="s">
        <v>74</v>
      </c>
      <c r="T42" t="s">
        <v>900</v>
      </c>
      <c r="U42" t="s">
        <v>901</v>
      </c>
      <c r="V42" t="s">
        <v>902</v>
      </c>
      <c r="W42" t="s">
        <v>903</v>
      </c>
      <c r="X42" t="s">
        <v>904</v>
      </c>
      <c r="Y42" t="s">
        <v>905</v>
      </c>
      <c r="Z42" t="s">
        <v>906</v>
      </c>
      <c r="AA42" t="s">
        <v>74</v>
      </c>
      <c r="AB42" t="s">
        <v>907</v>
      </c>
      <c r="AC42" t="s">
        <v>908</v>
      </c>
      <c r="AD42" t="s">
        <v>909</v>
      </c>
      <c r="AE42" t="s">
        <v>910</v>
      </c>
      <c r="AF42" t="s">
        <v>74</v>
      </c>
      <c r="AG42">
        <v>62</v>
      </c>
      <c r="AH42">
        <v>17</v>
      </c>
      <c r="AI42">
        <v>19</v>
      </c>
      <c r="AJ42">
        <v>1</v>
      </c>
      <c r="AK42">
        <v>48</v>
      </c>
      <c r="AL42" t="s">
        <v>911</v>
      </c>
      <c r="AM42" t="s">
        <v>912</v>
      </c>
      <c r="AN42" t="s">
        <v>913</v>
      </c>
      <c r="AO42" t="s">
        <v>914</v>
      </c>
      <c r="AP42" t="s">
        <v>74</v>
      </c>
      <c r="AQ42" t="s">
        <v>74</v>
      </c>
      <c r="AR42" t="s">
        <v>899</v>
      </c>
      <c r="AS42" t="s">
        <v>915</v>
      </c>
      <c r="AT42" t="s">
        <v>559</v>
      </c>
      <c r="AU42">
        <v>2012</v>
      </c>
      <c r="AV42">
        <v>114</v>
      </c>
      <c r="AW42">
        <v>2</v>
      </c>
      <c r="AX42" t="s">
        <v>74</v>
      </c>
      <c r="AY42" t="s">
        <v>74</v>
      </c>
      <c r="AZ42" t="s">
        <v>74</v>
      </c>
      <c r="BA42" t="s">
        <v>74</v>
      </c>
      <c r="BB42">
        <v>365</v>
      </c>
      <c r="BC42">
        <v>376</v>
      </c>
      <c r="BD42" t="s">
        <v>74</v>
      </c>
      <c r="BE42" t="s">
        <v>916</v>
      </c>
      <c r="BF42" t="str">
        <f>HYPERLINK("http://dx.doi.org/10.1525/cond.2012.110030","http://dx.doi.org/10.1525/cond.2012.110030")</f>
        <v>http://dx.doi.org/10.1525/cond.2012.110030</v>
      </c>
      <c r="BG42" t="s">
        <v>74</v>
      </c>
      <c r="BH42" t="s">
        <v>74</v>
      </c>
      <c r="BI42">
        <v>12</v>
      </c>
      <c r="BJ42" t="s">
        <v>917</v>
      </c>
      <c r="BK42" t="s">
        <v>99</v>
      </c>
      <c r="BL42" t="s">
        <v>98</v>
      </c>
      <c r="BM42" t="s">
        <v>918</v>
      </c>
      <c r="BN42" t="s">
        <v>74</v>
      </c>
      <c r="BO42" t="s">
        <v>74</v>
      </c>
      <c r="BP42" t="s">
        <v>74</v>
      </c>
      <c r="BQ42" t="s">
        <v>74</v>
      </c>
      <c r="BR42" t="s">
        <v>101</v>
      </c>
      <c r="BS42" t="s">
        <v>919</v>
      </c>
      <c r="BT42" t="str">
        <f>HYPERLINK("https%3A%2F%2Fwww.webofscience.com%2Fwos%2Fwoscc%2Ffull-record%2FWOS:000305043000014","View Full Record in Web of Science")</f>
        <v>View Full Record in Web of Science</v>
      </c>
    </row>
    <row r="43" spans="1:72" x14ac:dyDescent="0.15">
      <c r="A43" t="s">
        <v>72</v>
      </c>
      <c r="B43" t="s">
        <v>920</v>
      </c>
      <c r="C43" t="s">
        <v>74</v>
      </c>
      <c r="D43" t="s">
        <v>74</v>
      </c>
      <c r="E43" t="s">
        <v>74</v>
      </c>
      <c r="F43" t="s">
        <v>921</v>
      </c>
      <c r="G43" t="s">
        <v>74</v>
      </c>
      <c r="H43" t="s">
        <v>74</v>
      </c>
      <c r="I43" t="s">
        <v>922</v>
      </c>
      <c r="J43" t="s">
        <v>923</v>
      </c>
      <c r="K43" t="s">
        <v>74</v>
      </c>
      <c r="L43" t="s">
        <v>74</v>
      </c>
      <c r="M43" t="s">
        <v>78</v>
      </c>
      <c r="N43" t="s">
        <v>79</v>
      </c>
      <c r="O43" t="s">
        <v>74</v>
      </c>
      <c r="P43" t="s">
        <v>74</v>
      </c>
      <c r="Q43" t="s">
        <v>74</v>
      </c>
      <c r="R43" t="s">
        <v>74</v>
      </c>
      <c r="S43" t="s">
        <v>74</v>
      </c>
      <c r="T43" t="s">
        <v>924</v>
      </c>
      <c r="U43" t="s">
        <v>925</v>
      </c>
      <c r="V43" t="s">
        <v>926</v>
      </c>
      <c r="W43" t="s">
        <v>927</v>
      </c>
      <c r="X43" t="s">
        <v>928</v>
      </c>
      <c r="Y43" t="s">
        <v>929</v>
      </c>
      <c r="Z43" t="s">
        <v>930</v>
      </c>
      <c r="AA43" t="s">
        <v>74</v>
      </c>
      <c r="AB43" t="s">
        <v>931</v>
      </c>
      <c r="AC43" t="s">
        <v>932</v>
      </c>
      <c r="AD43" t="s">
        <v>933</v>
      </c>
      <c r="AE43" t="s">
        <v>934</v>
      </c>
      <c r="AF43" t="s">
        <v>74</v>
      </c>
      <c r="AG43">
        <v>66</v>
      </c>
      <c r="AH43">
        <v>29</v>
      </c>
      <c r="AI43">
        <v>34</v>
      </c>
      <c r="AJ43">
        <v>0</v>
      </c>
      <c r="AK43">
        <v>23</v>
      </c>
      <c r="AL43" t="s">
        <v>935</v>
      </c>
      <c r="AM43" t="s">
        <v>369</v>
      </c>
      <c r="AN43" t="s">
        <v>936</v>
      </c>
      <c r="AO43" t="s">
        <v>937</v>
      </c>
      <c r="AP43" t="s">
        <v>938</v>
      </c>
      <c r="AQ43" t="s">
        <v>74</v>
      </c>
      <c r="AR43" t="s">
        <v>939</v>
      </c>
      <c r="AS43" t="s">
        <v>940</v>
      </c>
      <c r="AT43" t="s">
        <v>559</v>
      </c>
      <c r="AU43">
        <v>2012</v>
      </c>
      <c r="AV43" t="s">
        <v>941</v>
      </c>
      <c r="AW43" t="s">
        <v>74</v>
      </c>
      <c r="AX43" t="s">
        <v>74</v>
      </c>
      <c r="AY43" t="s">
        <v>74</v>
      </c>
      <c r="AZ43" t="s">
        <v>74</v>
      </c>
      <c r="BA43" t="s">
        <v>74</v>
      </c>
      <c r="BB43">
        <v>45</v>
      </c>
      <c r="BC43">
        <v>52</v>
      </c>
      <c r="BD43" t="s">
        <v>74</v>
      </c>
      <c r="BE43" t="s">
        <v>942</v>
      </c>
      <c r="BF43" t="str">
        <f>HYPERLINK("http://dx.doi.org/10.1016/j.gloplacha.2012.03.003","http://dx.doi.org/10.1016/j.gloplacha.2012.03.003")</f>
        <v>http://dx.doi.org/10.1016/j.gloplacha.2012.03.003</v>
      </c>
      <c r="BG43" t="s">
        <v>74</v>
      </c>
      <c r="BH43" t="s">
        <v>74</v>
      </c>
      <c r="BI43">
        <v>8</v>
      </c>
      <c r="BJ43" t="s">
        <v>943</v>
      </c>
      <c r="BK43" t="s">
        <v>99</v>
      </c>
      <c r="BL43" t="s">
        <v>944</v>
      </c>
      <c r="BM43" t="s">
        <v>945</v>
      </c>
      <c r="BN43" t="s">
        <v>74</v>
      </c>
      <c r="BO43" t="s">
        <v>74</v>
      </c>
      <c r="BP43" t="s">
        <v>74</v>
      </c>
      <c r="BQ43" t="s">
        <v>74</v>
      </c>
      <c r="BR43" t="s">
        <v>101</v>
      </c>
      <c r="BS43" t="s">
        <v>946</v>
      </c>
      <c r="BT43" t="str">
        <f>HYPERLINK("https%3A%2F%2Fwww.webofscience.com%2Fwos%2Fwoscc%2Ffull-record%2FWOS:000304848800005","View Full Record in Web of Science")</f>
        <v>View Full Record in Web of Science</v>
      </c>
    </row>
    <row r="44" spans="1:72" x14ac:dyDescent="0.15">
      <c r="A44" t="s">
        <v>72</v>
      </c>
      <c r="B44" t="s">
        <v>947</v>
      </c>
      <c r="C44" t="s">
        <v>74</v>
      </c>
      <c r="D44" t="s">
        <v>74</v>
      </c>
      <c r="E44" t="s">
        <v>74</v>
      </c>
      <c r="F44" t="s">
        <v>948</v>
      </c>
      <c r="G44" t="s">
        <v>74</v>
      </c>
      <c r="H44" t="s">
        <v>74</v>
      </c>
      <c r="I44" t="s">
        <v>949</v>
      </c>
      <c r="J44" t="s">
        <v>950</v>
      </c>
      <c r="K44" t="s">
        <v>74</v>
      </c>
      <c r="L44" t="s">
        <v>74</v>
      </c>
      <c r="M44" t="s">
        <v>78</v>
      </c>
      <c r="N44" t="s">
        <v>79</v>
      </c>
      <c r="O44" t="s">
        <v>74</v>
      </c>
      <c r="P44" t="s">
        <v>74</v>
      </c>
      <c r="Q44" t="s">
        <v>74</v>
      </c>
      <c r="R44" t="s">
        <v>74</v>
      </c>
      <c r="S44" t="s">
        <v>74</v>
      </c>
      <c r="T44" t="s">
        <v>951</v>
      </c>
      <c r="U44" t="s">
        <v>952</v>
      </c>
      <c r="V44" t="s">
        <v>953</v>
      </c>
      <c r="W44" t="s">
        <v>954</v>
      </c>
      <c r="X44" t="s">
        <v>955</v>
      </c>
      <c r="Y44" t="s">
        <v>956</v>
      </c>
      <c r="Z44" t="s">
        <v>957</v>
      </c>
      <c r="AA44" t="s">
        <v>958</v>
      </c>
      <c r="AB44" t="s">
        <v>959</v>
      </c>
      <c r="AC44" t="s">
        <v>960</v>
      </c>
      <c r="AD44" t="s">
        <v>960</v>
      </c>
      <c r="AE44" t="s">
        <v>961</v>
      </c>
      <c r="AF44" t="s">
        <v>74</v>
      </c>
      <c r="AG44">
        <v>33</v>
      </c>
      <c r="AH44">
        <v>1</v>
      </c>
      <c r="AI44">
        <v>1</v>
      </c>
      <c r="AJ44">
        <v>1</v>
      </c>
      <c r="AK44">
        <v>7</v>
      </c>
      <c r="AL44" t="s">
        <v>277</v>
      </c>
      <c r="AM44" t="s">
        <v>278</v>
      </c>
      <c r="AN44" t="s">
        <v>279</v>
      </c>
      <c r="AO44" t="s">
        <v>962</v>
      </c>
      <c r="AP44" t="s">
        <v>963</v>
      </c>
      <c r="AQ44" t="s">
        <v>74</v>
      </c>
      <c r="AR44" t="s">
        <v>964</v>
      </c>
      <c r="AS44" t="s">
        <v>965</v>
      </c>
      <c r="AT44" t="s">
        <v>559</v>
      </c>
      <c r="AU44">
        <v>2012</v>
      </c>
      <c r="AV44">
        <v>80</v>
      </c>
      <c r="AW44" t="s">
        <v>74</v>
      </c>
      <c r="AX44" t="s">
        <v>74</v>
      </c>
      <c r="AY44" t="s">
        <v>74</v>
      </c>
      <c r="AZ44" t="s">
        <v>74</v>
      </c>
      <c r="BA44" t="s">
        <v>74</v>
      </c>
      <c r="BB44">
        <v>21</v>
      </c>
      <c r="BC44">
        <v>27</v>
      </c>
      <c r="BD44" t="s">
        <v>74</v>
      </c>
      <c r="BE44" t="s">
        <v>966</v>
      </c>
      <c r="BF44" t="str">
        <f>HYPERLINK("http://dx.doi.org/10.1016/j.jastp.2012.02.023","http://dx.doi.org/10.1016/j.jastp.2012.02.023")</f>
        <v>http://dx.doi.org/10.1016/j.jastp.2012.02.023</v>
      </c>
      <c r="BG44" t="s">
        <v>74</v>
      </c>
      <c r="BH44" t="s">
        <v>74</v>
      </c>
      <c r="BI44">
        <v>7</v>
      </c>
      <c r="BJ44" t="s">
        <v>967</v>
      </c>
      <c r="BK44" t="s">
        <v>99</v>
      </c>
      <c r="BL44" t="s">
        <v>967</v>
      </c>
      <c r="BM44" t="s">
        <v>968</v>
      </c>
      <c r="BN44" t="s">
        <v>74</v>
      </c>
      <c r="BO44" t="s">
        <v>74</v>
      </c>
      <c r="BP44" t="s">
        <v>74</v>
      </c>
      <c r="BQ44" t="s">
        <v>74</v>
      </c>
      <c r="BR44" t="s">
        <v>101</v>
      </c>
      <c r="BS44" t="s">
        <v>969</v>
      </c>
      <c r="BT44" t="str">
        <f>HYPERLINK("https%3A%2F%2Fwww.webofscience.com%2Fwos%2Fwoscc%2Ffull-record%2FWOS:000304894000003","View Full Record in Web of Science")</f>
        <v>View Full Record in Web of Science</v>
      </c>
    </row>
    <row r="45" spans="1:72" x14ac:dyDescent="0.15">
      <c r="A45" t="s">
        <v>72</v>
      </c>
      <c r="B45" t="s">
        <v>970</v>
      </c>
      <c r="C45" t="s">
        <v>74</v>
      </c>
      <c r="D45" t="s">
        <v>74</v>
      </c>
      <c r="E45" t="s">
        <v>74</v>
      </c>
      <c r="F45" t="s">
        <v>971</v>
      </c>
      <c r="G45" t="s">
        <v>74</v>
      </c>
      <c r="H45" t="s">
        <v>74</v>
      </c>
      <c r="I45" t="s">
        <v>972</v>
      </c>
      <c r="J45" t="s">
        <v>950</v>
      </c>
      <c r="K45" t="s">
        <v>74</v>
      </c>
      <c r="L45" t="s">
        <v>74</v>
      </c>
      <c r="M45" t="s">
        <v>78</v>
      </c>
      <c r="N45" t="s">
        <v>79</v>
      </c>
      <c r="O45" t="s">
        <v>74</v>
      </c>
      <c r="P45" t="s">
        <v>74</v>
      </c>
      <c r="Q45" t="s">
        <v>74</v>
      </c>
      <c r="R45" t="s">
        <v>74</v>
      </c>
      <c r="S45" t="s">
        <v>74</v>
      </c>
      <c r="T45" t="s">
        <v>973</v>
      </c>
      <c r="U45" t="s">
        <v>974</v>
      </c>
      <c r="V45" t="s">
        <v>975</v>
      </c>
      <c r="W45" t="s">
        <v>976</v>
      </c>
      <c r="X45" t="s">
        <v>977</v>
      </c>
      <c r="Y45" t="s">
        <v>978</v>
      </c>
      <c r="Z45" t="s">
        <v>979</v>
      </c>
      <c r="AA45" t="s">
        <v>74</v>
      </c>
      <c r="AB45" t="s">
        <v>74</v>
      </c>
      <c r="AC45" t="s">
        <v>74</v>
      </c>
      <c r="AD45" t="s">
        <v>74</v>
      </c>
      <c r="AE45" t="s">
        <v>74</v>
      </c>
      <c r="AF45" t="s">
        <v>74</v>
      </c>
      <c r="AG45">
        <v>27</v>
      </c>
      <c r="AH45">
        <v>7</v>
      </c>
      <c r="AI45">
        <v>8</v>
      </c>
      <c r="AJ45">
        <v>0</v>
      </c>
      <c r="AK45">
        <v>7</v>
      </c>
      <c r="AL45" t="s">
        <v>277</v>
      </c>
      <c r="AM45" t="s">
        <v>278</v>
      </c>
      <c r="AN45" t="s">
        <v>279</v>
      </c>
      <c r="AO45" t="s">
        <v>962</v>
      </c>
      <c r="AP45" t="s">
        <v>74</v>
      </c>
      <c r="AQ45" t="s">
        <v>74</v>
      </c>
      <c r="AR45" t="s">
        <v>964</v>
      </c>
      <c r="AS45" t="s">
        <v>965</v>
      </c>
      <c r="AT45" t="s">
        <v>559</v>
      </c>
      <c r="AU45">
        <v>2012</v>
      </c>
      <c r="AV45">
        <v>80</v>
      </c>
      <c r="AW45" t="s">
        <v>74</v>
      </c>
      <c r="AX45" t="s">
        <v>74</v>
      </c>
      <c r="AY45" t="s">
        <v>74</v>
      </c>
      <c r="AZ45" t="s">
        <v>74</v>
      </c>
      <c r="BA45" t="s">
        <v>74</v>
      </c>
      <c r="BB45">
        <v>79</v>
      </c>
      <c r="BC45">
        <v>91</v>
      </c>
      <c r="BD45" t="s">
        <v>74</v>
      </c>
      <c r="BE45" t="s">
        <v>980</v>
      </c>
      <c r="BF45" t="str">
        <f>HYPERLINK("http://dx.doi.org/10.1016/j.jastp.2012.03.008","http://dx.doi.org/10.1016/j.jastp.2012.03.008")</f>
        <v>http://dx.doi.org/10.1016/j.jastp.2012.03.008</v>
      </c>
      <c r="BG45" t="s">
        <v>74</v>
      </c>
      <c r="BH45" t="s">
        <v>74</v>
      </c>
      <c r="BI45">
        <v>13</v>
      </c>
      <c r="BJ45" t="s">
        <v>967</v>
      </c>
      <c r="BK45" t="s">
        <v>99</v>
      </c>
      <c r="BL45" t="s">
        <v>967</v>
      </c>
      <c r="BM45" t="s">
        <v>968</v>
      </c>
      <c r="BN45" t="s">
        <v>74</v>
      </c>
      <c r="BO45" t="s">
        <v>74</v>
      </c>
      <c r="BP45" t="s">
        <v>74</v>
      </c>
      <c r="BQ45" t="s">
        <v>74</v>
      </c>
      <c r="BR45" t="s">
        <v>101</v>
      </c>
      <c r="BS45" t="s">
        <v>981</v>
      </c>
      <c r="BT45" t="str">
        <f>HYPERLINK("https%3A%2F%2Fwww.webofscience.com%2Fwos%2Fwoscc%2Ffull-record%2FWOS:000304894000010","View Full Record in Web of Science")</f>
        <v>View Full Record in Web of Science</v>
      </c>
    </row>
    <row r="46" spans="1:72" x14ac:dyDescent="0.15">
      <c r="A46" t="s">
        <v>72</v>
      </c>
      <c r="B46" t="s">
        <v>982</v>
      </c>
      <c r="C46" t="s">
        <v>74</v>
      </c>
      <c r="D46" t="s">
        <v>74</v>
      </c>
      <c r="E46" t="s">
        <v>74</v>
      </c>
      <c r="F46" t="s">
        <v>983</v>
      </c>
      <c r="G46" t="s">
        <v>74</v>
      </c>
      <c r="H46" t="s">
        <v>74</v>
      </c>
      <c r="I46" t="s">
        <v>984</v>
      </c>
      <c r="J46" t="s">
        <v>985</v>
      </c>
      <c r="K46" t="s">
        <v>74</v>
      </c>
      <c r="L46" t="s">
        <v>74</v>
      </c>
      <c r="M46" t="s">
        <v>78</v>
      </c>
      <c r="N46" t="s">
        <v>79</v>
      </c>
      <c r="O46" t="s">
        <v>74</v>
      </c>
      <c r="P46" t="s">
        <v>74</v>
      </c>
      <c r="Q46" t="s">
        <v>74</v>
      </c>
      <c r="R46" t="s">
        <v>74</v>
      </c>
      <c r="S46" t="s">
        <v>74</v>
      </c>
      <c r="T46" t="s">
        <v>74</v>
      </c>
      <c r="U46" t="s">
        <v>986</v>
      </c>
      <c r="V46" t="s">
        <v>987</v>
      </c>
      <c r="W46" t="s">
        <v>988</v>
      </c>
      <c r="X46" t="s">
        <v>989</v>
      </c>
      <c r="Y46" t="s">
        <v>990</v>
      </c>
      <c r="Z46" t="s">
        <v>991</v>
      </c>
      <c r="AA46" t="s">
        <v>992</v>
      </c>
      <c r="AB46" t="s">
        <v>993</v>
      </c>
      <c r="AC46" t="s">
        <v>994</v>
      </c>
      <c r="AD46" t="s">
        <v>995</v>
      </c>
      <c r="AE46" t="s">
        <v>996</v>
      </c>
      <c r="AF46" t="s">
        <v>74</v>
      </c>
      <c r="AG46">
        <v>12</v>
      </c>
      <c r="AH46">
        <v>12</v>
      </c>
      <c r="AI46">
        <v>18</v>
      </c>
      <c r="AJ46">
        <v>0</v>
      </c>
      <c r="AK46">
        <v>7</v>
      </c>
      <c r="AL46" t="s">
        <v>997</v>
      </c>
      <c r="AM46" t="s">
        <v>998</v>
      </c>
      <c r="AN46" t="s">
        <v>999</v>
      </c>
      <c r="AO46" t="s">
        <v>1000</v>
      </c>
      <c r="AP46" t="s">
        <v>74</v>
      </c>
      <c r="AQ46" t="s">
        <v>74</v>
      </c>
      <c r="AR46" t="s">
        <v>1001</v>
      </c>
      <c r="AS46" t="s">
        <v>1002</v>
      </c>
      <c r="AT46" t="s">
        <v>559</v>
      </c>
      <c r="AU46">
        <v>2012</v>
      </c>
      <c r="AV46">
        <v>42</v>
      </c>
      <c r="AW46">
        <v>5</v>
      </c>
      <c r="AX46" t="s">
        <v>74</v>
      </c>
      <c r="AY46" t="s">
        <v>74</v>
      </c>
      <c r="AZ46" t="s">
        <v>74</v>
      </c>
      <c r="BA46" t="s">
        <v>74</v>
      </c>
      <c r="BB46">
        <v>884</v>
      </c>
      <c r="BC46">
        <v>888</v>
      </c>
      <c r="BD46" t="s">
        <v>74</v>
      </c>
      <c r="BE46" t="s">
        <v>1003</v>
      </c>
      <c r="BF46" t="str">
        <f>HYPERLINK("http://dx.doi.org/10.1175/JPO-D-12-031.1","http://dx.doi.org/10.1175/JPO-D-12-031.1")</f>
        <v>http://dx.doi.org/10.1175/JPO-D-12-031.1</v>
      </c>
      <c r="BG46" t="s">
        <v>74</v>
      </c>
      <c r="BH46" t="s">
        <v>74</v>
      </c>
      <c r="BI46">
        <v>5</v>
      </c>
      <c r="BJ46" t="s">
        <v>350</v>
      </c>
      <c r="BK46" t="s">
        <v>99</v>
      </c>
      <c r="BL46" t="s">
        <v>350</v>
      </c>
      <c r="BM46" t="s">
        <v>1004</v>
      </c>
      <c r="BN46" t="s">
        <v>74</v>
      </c>
      <c r="BO46" t="s">
        <v>217</v>
      </c>
      <c r="BP46" t="s">
        <v>74</v>
      </c>
      <c r="BQ46" t="s">
        <v>74</v>
      </c>
      <c r="BR46" t="s">
        <v>101</v>
      </c>
      <c r="BS46" t="s">
        <v>1005</v>
      </c>
      <c r="BT46" t="str">
        <f>HYPERLINK("https%3A%2F%2Fwww.webofscience.com%2Fwos%2Fwoscc%2Ffull-record%2FWOS:000304544000013","View Full Record in Web of Science")</f>
        <v>View Full Record in Web of Science</v>
      </c>
    </row>
    <row r="47" spans="1:72" x14ac:dyDescent="0.15">
      <c r="A47" t="s">
        <v>72</v>
      </c>
      <c r="B47" t="s">
        <v>1006</v>
      </c>
      <c r="C47" t="s">
        <v>74</v>
      </c>
      <c r="D47" t="s">
        <v>74</v>
      </c>
      <c r="E47" t="s">
        <v>74</v>
      </c>
      <c r="F47" t="s">
        <v>1007</v>
      </c>
      <c r="G47" t="s">
        <v>74</v>
      </c>
      <c r="H47" t="s">
        <v>74</v>
      </c>
      <c r="I47" t="s">
        <v>1008</v>
      </c>
      <c r="J47" t="s">
        <v>1009</v>
      </c>
      <c r="K47" t="s">
        <v>74</v>
      </c>
      <c r="L47" t="s">
        <v>74</v>
      </c>
      <c r="M47" t="s">
        <v>78</v>
      </c>
      <c r="N47" t="s">
        <v>79</v>
      </c>
      <c r="O47" t="s">
        <v>74</v>
      </c>
      <c r="P47" t="s">
        <v>74</v>
      </c>
      <c r="Q47" t="s">
        <v>74</v>
      </c>
      <c r="R47" t="s">
        <v>74</v>
      </c>
      <c r="S47" t="s">
        <v>74</v>
      </c>
      <c r="T47" t="s">
        <v>1010</v>
      </c>
      <c r="U47" t="s">
        <v>1011</v>
      </c>
      <c r="V47" t="s">
        <v>1012</v>
      </c>
      <c r="W47" t="s">
        <v>1013</v>
      </c>
      <c r="X47" t="s">
        <v>1014</v>
      </c>
      <c r="Y47" t="s">
        <v>1015</v>
      </c>
      <c r="Z47" t="s">
        <v>1016</v>
      </c>
      <c r="AA47" t="s">
        <v>1017</v>
      </c>
      <c r="AB47" t="s">
        <v>1018</v>
      </c>
      <c r="AC47" t="s">
        <v>1019</v>
      </c>
      <c r="AD47" t="s">
        <v>1020</v>
      </c>
      <c r="AE47" t="s">
        <v>1021</v>
      </c>
      <c r="AF47" t="s">
        <v>74</v>
      </c>
      <c r="AG47">
        <v>48</v>
      </c>
      <c r="AH47">
        <v>21</v>
      </c>
      <c r="AI47">
        <v>23</v>
      </c>
      <c r="AJ47">
        <v>0</v>
      </c>
      <c r="AK47">
        <v>8</v>
      </c>
      <c r="AL47" t="s">
        <v>1022</v>
      </c>
      <c r="AM47" t="s">
        <v>1023</v>
      </c>
      <c r="AN47" t="s">
        <v>1024</v>
      </c>
      <c r="AO47" t="s">
        <v>1025</v>
      </c>
      <c r="AP47" t="s">
        <v>1026</v>
      </c>
      <c r="AQ47" t="s">
        <v>74</v>
      </c>
      <c r="AR47" t="s">
        <v>1009</v>
      </c>
      <c r="AS47" t="s">
        <v>1027</v>
      </c>
      <c r="AT47" t="s">
        <v>559</v>
      </c>
      <c r="AU47">
        <v>2012</v>
      </c>
      <c r="AV47">
        <v>94</v>
      </c>
      <c r="AW47" t="s">
        <v>374</v>
      </c>
      <c r="AX47" t="s">
        <v>74</v>
      </c>
      <c r="AY47" t="s">
        <v>74</v>
      </c>
      <c r="AZ47" t="s">
        <v>74</v>
      </c>
      <c r="BA47" t="s">
        <v>74</v>
      </c>
      <c r="BB47">
        <v>287</v>
      </c>
      <c r="BC47">
        <v>306</v>
      </c>
      <c r="BD47" t="s">
        <v>74</v>
      </c>
      <c r="BE47" t="s">
        <v>1028</v>
      </c>
      <c r="BF47" t="str">
        <f>HYPERLINK("http://dx.doi.org/10.1127/0029-5035/2012/0017","http://dx.doi.org/10.1127/0029-5035/2012/0017")</f>
        <v>http://dx.doi.org/10.1127/0029-5035/2012/0017</v>
      </c>
      <c r="BG47" t="s">
        <v>74</v>
      </c>
      <c r="BH47" t="s">
        <v>74</v>
      </c>
      <c r="BI47">
        <v>20</v>
      </c>
      <c r="BJ47" t="s">
        <v>396</v>
      </c>
      <c r="BK47" t="s">
        <v>99</v>
      </c>
      <c r="BL47" t="s">
        <v>396</v>
      </c>
      <c r="BM47" t="s">
        <v>1029</v>
      </c>
      <c r="BN47" t="s">
        <v>74</v>
      </c>
      <c r="BO47" t="s">
        <v>74</v>
      </c>
      <c r="BP47" t="s">
        <v>74</v>
      </c>
      <c r="BQ47" t="s">
        <v>74</v>
      </c>
      <c r="BR47" t="s">
        <v>101</v>
      </c>
      <c r="BS47" t="s">
        <v>1030</v>
      </c>
      <c r="BT47" t="str">
        <f>HYPERLINK("https%3A%2F%2Fwww.webofscience.com%2Fwos%2Fwoscc%2Ffull-record%2FWOS:000304431800002","View Full Record in Web of Science")</f>
        <v>View Full Record in Web of Science</v>
      </c>
    </row>
    <row r="48" spans="1:72" x14ac:dyDescent="0.15">
      <c r="A48" t="s">
        <v>72</v>
      </c>
      <c r="B48" t="s">
        <v>1031</v>
      </c>
      <c r="C48" t="s">
        <v>74</v>
      </c>
      <c r="D48" t="s">
        <v>74</v>
      </c>
      <c r="E48" t="s">
        <v>74</v>
      </c>
      <c r="F48" t="s">
        <v>1032</v>
      </c>
      <c r="G48" t="s">
        <v>74</v>
      </c>
      <c r="H48" t="s">
        <v>74</v>
      </c>
      <c r="I48" t="s">
        <v>1033</v>
      </c>
      <c r="J48" t="s">
        <v>1009</v>
      </c>
      <c r="K48" t="s">
        <v>74</v>
      </c>
      <c r="L48" t="s">
        <v>74</v>
      </c>
      <c r="M48" t="s">
        <v>78</v>
      </c>
      <c r="N48" t="s">
        <v>79</v>
      </c>
      <c r="O48" t="s">
        <v>74</v>
      </c>
      <c r="P48" t="s">
        <v>74</v>
      </c>
      <c r="Q48" t="s">
        <v>74</v>
      </c>
      <c r="R48" t="s">
        <v>74</v>
      </c>
      <c r="S48" t="s">
        <v>74</v>
      </c>
      <c r="T48" t="s">
        <v>1034</v>
      </c>
      <c r="U48" t="s">
        <v>1035</v>
      </c>
      <c r="V48" t="s">
        <v>1036</v>
      </c>
      <c r="W48" t="s">
        <v>1037</v>
      </c>
      <c r="X48" t="s">
        <v>1038</v>
      </c>
      <c r="Y48" t="s">
        <v>1039</v>
      </c>
      <c r="Z48" t="s">
        <v>1040</v>
      </c>
      <c r="AA48" t="s">
        <v>1041</v>
      </c>
      <c r="AB48" t="s">
        <v>1042</v>
      </c>
      <c r="AC48" t="s">
        <v>1043</v>
      </c>
      <c r="AD48" t="s">
        <v>1044</v>
      </c>
      <c r="AE48" t="s">
        <v>1045</v>
      </c>
      <c r="AF48" t="s">
        <v>74</v>
      </c>
      <c r="AG48">
        <v>45</v>
      </c>
      <c r="AH48">
        <v>20</v>
      </c>
      <c r="AI48">
        <v>20</v>
      </c>
      <c r="AJ48">
        <v>0</v>
      </c>
      <c r="AK48">
        <v>4</v>
      </c>
      <c r="AL48" t="s">
        <v>1022</v>
      </c>
      <c r="AM48" t="s">
        <v>1023</v>
      </c>
      <c r="AN48" t="s">
        <v>1024</v>
      </c>
      <c r="AO48" t="s">
        <v>1025</v>
      </c>
      <c r="AP48" t="s">
        <v>1026</v>
      </c>
      <c r="AQ48" t="s">
        <v>74</v>
      </c>
      <c r="AR48" t="s">
        <v>1009</v>
      </c>
      <c r="AS48" t="s">
        <v>1027</v>
      </c>
      <c r="AT48" t="s">
        <v>559</v>
      </c>
      <c r="AU48">
        <v>2012</v>
      </c>
      <c r="AV48">
        <v>94</v>
      </c>
      <c r="AW48" t="s">
        <v>374</v>
      </c>
      <c r="AX48" t="s">
        <v>74</v>
      </c>
      <c r="AY48" t="s">
        <v>74</v>
      </c>
      <c r="AZ48" t="s">
        <v>74</v>
      </c>
      <c r="BA48" t="s">
        <v>74</v>
      </c>
      <c r="BB48">
        <v>373</v>
      </c>
      <c r="BC48">
        <v>384</v>
      </c>
      <c r="BD48" t="s">
        <v>74</v>
      </c>
      <c r="BE48" t="s">
        <v>1046</v>
      </c>
      <c r="BF48" t="str">
        <f>HYPERLINK("http://dx.doi.org/10.1127/0029-5035/2012/0020","http://dx.doi.org/10.1127/0029-5035/2012/0020")</f>
        <v>http://dx.doi.org/10.1127/0029-5035/2012/0020</v>
      </c>
      <c r="BG48" t="s">
        <v>74</v>
      </c>
      <c r="BH48" t="s">
        <v>74</v>
      </c>
      <c r="BI48">
        <v>12</v>
      </c>
      <c r="BJ48" t="s">
        <v>396</v>
      </c>
      <c r="BK48" t="s">
        <v>99</v>
      </c>
      <c r="BL48" t="s">
        <v>396</v>
      </c>
      <c r="BM48" t="s">
        <v>1029</v>
      </c>
      <c r="BN48" t="s">
        <v>74</v>
      </c>
      <c r="BO48" t="s">
        <v>74</v>
      </c>
      <c r="BP48" t="s">
        <v>74</v>
      </c>
      <c r="BQ48" t="s">
        <v>74</v>
      </c>
      <c r="BR48" t="s">
        <v>101</v>
      </c>
      <c r="BS48" t="s">
        <v>1047</v>
      </c>
      <c r="BT48" t="str">
        <f>HYPERLINK("https%3A%2F%2Fwww.webofscience.com%2Fwos%2Fwoscc%2Ffull-record%2FWOS:000304431800008","View Full Record in Web of Science")</f>
        <v>View Full Record in Web of Science</v>
      </c>
    </row>
    <row r="49" spans="1:72" x14ac:dyDescent="0.15">
      <c r="A49" t="s">
        <v>72</v>
      </c>
      <c r="B49" t="s">
        <v>1048</v>
      </c>
      <c r="C49" t="s">
        <v>74</v>
      </c>
      <c r="D49" t="s">
        <v>74</v>
      </c>
      <c r="E49" t="s">
        <v>74</v>
      </c>
      <c r="F49" t="s">
        <v>1049</v>
      </c>
      <c r="G49" t="s">
        <v>74</v>
      </c>
      <c r="H49" t="s">
        <v>74</v>
      </c>
      <c r="I49" t="s">
        <v>1050</v>
      </c>
      <c r="J49" t="s">
        <v>1051</v>
      </c>
      <c r="K49" t="s">
        <v>74</v>
      </c>
      <c r="L49" t="s">
        <v>74</v>
      </c>
      <c r="M49" t="s">
        <v>78</v>
      </c>
      <c r="N49" t="s">
        <v>79</v>
      </c>
      <c r="O49" t="s">
        <v>74</v>
      </c>
      <c r="P49" t="s">
        <v>74</v>
      </c>
      <c r="Q49" t="s">
        <v>74</v>
      </c>
      <c r="R49" t="s">
        <v>74</v>
      </c>
      <c r="S49" t="s">
        <v>74</v>
      </c>
      <c r="T49" t="s">
        <v>1052</v>
      </c>
      <c r="U49" t="s">
        <v>1053</v>
      </c>
      <c r="V49" t="s">
        <v>1054</v>
      </c>
      <c r="W49" t="s">
        <v>1055</v>
      </c>
      <c r="X49" t="s">
        <v>1056</v>
      </c>
      <c r="Y49" t="s">
        <v>1057</v>
      </c>
      <c r="Z49" t="s">
        <v>1058</v>
      </c>
      <c r="AA49" t="s">
        <v>1059</v>
      </c>
      <c r="AB49" t="s">
        <v>1060</v>
      </c>
      <c r="AC49" t="s">
        <v>74</v>
      </c>
      <c r="AD49" t="s">
        <v>74</v>
      </c>
      <c r="AE49" t="s">
        <v>74</v>
      </c>
      <c r="AF49" t="s">
        <v>74</v>
      </c>
      <c r="AG49">
        <v>35</v>
      </c>
      <c r="AH49">
        <v>5</v>
      </c>
      <c r="AI49">
        <v>5</v>
      </c>
      <c r="AJ49">
        <v>0</v>
      </c>
      <c r="AK49">
        <v>5</v>
      </c>
      <c r="AL49" t="s">
        <v>368</v>
      </c>
      <c r="AM49" t="s">
        <v>369</v>
      </c>
      <c r="AN49" t="s">
        <v>370</v>
      </c>
      <c r="AO49" t="s">
        <v>1061</v>
      </c>
      <c r="AP49" t="s">
        <v>74</v>
      </c>
      <c r="AQ49" t="s">
        <v>74</v>
      </c>
      <c r="AR49" t="s">
        <v>1062</v>
      </c>
      <c r="AS49" t="s">
        <v>1063</v>
      </c>
      <c r="AT49" t="s">
        <v>1064</v>
      </c>
      <c r="AU49">
        <v>2012</v>
      </c>
      <c r="AV49">
        <v>175</v>
      </c>
      <c r="AW49" t="s">
        <v>74</v>
      </c>
      <c r="AX49" t="s">
        <v>74</v>
      </c>
      <c r="AY49" t="s">
        <v>74</v>
      </c>
      <c r="AZ49" t="s">
        <v>74</v>
      </c>
      <c r="BA49" t="s">
        <v>74</v>
      </c>
      <c r="BB49">
        <v>47</v>
      </c>
      <c r="BC49">
        <v>54</v>
      </c>
      <c r="BD49" t="s">
        <v>74</v>
      </c>
      <c r="BE49" t="s">
        <v>1065</v>
      </c>
      <c r="BF49" t="str">
        <f>HYPERLINK("http://dx.doi.org/10.1016/j.revpalbo.2012.03.002","http://dx.doi.org/10.1016/j.revpalbo.2012.03.002")</f>
        <v>http://dx.doi.org/10.1016/j.revpalbo.2012.03.002</v>
      </c>
      <c r="BG49" t="s">
        <v>74</v>
      </c>
      <c r="BH49" t="s">
        <v>74</v>
      </c>
      <c r="BI49">
        <v>8</v>
      </c>
      <c r="BJ49" t="s">
        <v>1066</v>
      </c>
      <c r="BK49" t="s">
        <v>99</v>
      </c>
      <c r="BL49" t="s">
        <v>1066</v>
      </c>
      <c r="BM49" t="s">
        <v>1067</v>
      </c>
      <c r="BN49" t="s">
        <v>74</v>
      </c>
      <c r="BO49" t="s">
        <v>328</v>
      </c>
      <c r="BP49" t="s">
        <v>74</v>
      </c>
      <c r="BQ49" t="s">
        <v>74</v>
      </c>
      <c r="BR49" t="s">
        <v>101</v>
      </c>
      <c r="BS49" t="s">
        <v>1068</v>
      </c>
      <c r="BT49" t="str">
        <f>HYPERLINK("https%3A%2F%2Fwww.webofscience.com%2Fwos%2Fwoscc%2Ffull-record%2FWOS:000304689900005","View Full Record in Web of Science")</f>
        <v>View Full Record in Web of Science</v>
      </c>
    </row>
    <row r="50" spans="1:72" x14ac:dyDescent="0.15">
      <c r="A50" t="s">
        <v>72</v>
      </c>
      <c r="B50" t="s">
        <v>1069</v>
      </c>
      <c r="C50" t="s">
        <v>74</v>
      </c>
      <c r="D50" t="s">
        <v>74</v>
      </c>
      <c r="E50" t="s">
        <v>74</v>
      </c>
      <c r="F50" t="s">
        <v>1070</v>
      </c>
      <c r="G50" t="s">
        <v>74</v>
      </c>
      <c r="H50" t="s">
        <v>74</v>
      </c>
      <c r="I50" t="s">
        <v>1071</v>
      </c>
      <c r="J50" t="s">
        <v>1072</v>
      </c>
      <c r="K50" t="s">
        <v>74</v>
      </c>
      <c r="L50" t="s">
        <v>74</v>
      </c>
      <c r="M50" t="s">
        <v>78</v>
      </c>
      <c r="N50" t="s">
        <v>1073</v>
      </c>
      <c r="O50" t="s">
        <v>74</v>
      </c>
      <c r="P50" t="s">
        <v>74</v>
      </c>
      <c r="Q50" t="s">
        <v>74</v>
      </c>
      <c r="R50" t="s">
        <v>74</v>
      </c>
      <c r="S50" t="s">
        <v>74</v>
      </c>
      <c r="T50" t="s">
        <v>1074</v>
      </c>
      <c r="U50" t="s">
        <v>1075</v>
      </c>
      <c r="V50" t="s">
        <v>1076</v>
      </c>
      <c r="W50" t="s">
        <v>1077</v>
      </c>
      <c r="X50" t="s">
        <v>1078</v>
      </c>
      <c r="Y50" t="s">
        <v>1079</v>
      </c>
      <c r="Z50" t="s">
        <v>1080</v>
      </c>
      <c r="AA50" t="s">
        <v>1081</v>
      </c>
      <c r="AB50" t="s">
        <v>1082</v>
      </c>
      <c r="AC50" t="s">
        <v>74</v>
      </c>
      <c r="AD50" t="s">
        <v>74</v>
      </c>
      <c r="AE50" t="s">
        <v>74</v>
      </c>
      <c r="AF50" t="s">
        <v>74</v>
      </c>
      <c r="AG50">
        <v>41</v>
      </c>
      <c r="AH50">
        <v>12</v>
      </c>
      <c r="AI50">
        <v>19</v>
      </c>
      <c r="AJ50">
        <v>5</v>
      </c>
      <c r="AK50">
        <v>74</v>
      </c>
      <c r="AL50" t="s">
        <v>1083</v>
      </c>
      <c r="AM50" t="s">
        <v>1084</v>
      </c>
      <c r="AN50" t="s">
        <v>1085</v>
      </c>
      <c r="AO50" t="s">
        <v>1086</v>
      </c>
      <c r="AP50" t="s">
        <v>1087</v>
      </c>
      <c r="AQ50" t="s">
        <v>74</v>
      </c>
      <c r="AR50" t="s">
        <v>1088</v>
      </c>
      <c r="AS50" t="s">
        <v>1089</v>
      </c>
      <c r="AT50" t="s">
        <v>559</v>
      </c>
      <c r="AU50">
        <v>2012</v>
      </c>
      <c r="AV50">
        <v>55</v>
      </c>
      <c r="AW50">
        <v>5</v>
      </c>
      <c r="AX50" t="s">
        <v>74</v>
      </c>
      <c r="AY50" t="s">
        <v>74</v>
      </c>
      <c r="AZ50" t="s">
        <v>74</v>
      </c>
      <c r="BA50" t="s">
        <v>74</v>
      </c>
      <c r="BB50">
        <v>415</v>
      </c>
      <c r="BC50">
        <v>421</v>
      </c>
      <c r="BD50" t="s">
        <v>74</v>
      </c>
      <c r="BE50" t="s">
        <v>1090</v>
      </c>
      <c r="BF50" t="str">
        <f>HYPERLINK("http://dx.doi.org/10.1007/s11427-012-4320-0","http://dx.doi.org/10.1007/s11427-012-4320-0")</f>
        <v>http://dx.doi.org/10.1007/s11427-012-4320-0</v>
      </c>
      <c r="BG50" t="s">
        <v>74</v>
      </c>
      <c r="BH50" t="s">
        <v>74</v>
      </c>
      <c r="BI50">
        <v>7</v>
      </c>
      <c r="BJ50" t="s">
        <v>1091</v>
      </c>
      <c r="BK50" t="s">
        <v>99</v>
      </c>
      <c r="BL50" t="s">
        <v>1092</v>
      </c>
      <c r="BM50" t="s">
        <v>1093</v>
      </c>
      <c r="BN50">
        <v>22645085</v>
      </c>
      <c r="BO50" t="s">
        <v>1094</v>
      </c>
      <c r="BP50" t="s">
        <v>74</v>
      </c>
      <c r="BQ50" t="s">
        <v>74</v>
      </c>
      <c r="BR50" t="s">
        <v>101</v>
      </c>
      <c r="BS50" t="s">
        <v>1095</v>
      </c>
      <c r="BT50" t="str">
        <f>HYPERLINK("https%3A%2F%2Fwww.webofscience.com%2Fwos%2Fwoscc%2Ffull-record%2FWOS:000304649200005","View Full Record in Web of Science")</f>
        <v>View Full Record in Web of Science</v>
      </c>
    </row>
    <row r="51" spans="1:72" x14ac:dyDescent="0.15">
      <c r="A51" t="s">
        <v>72</v>
      </c>
      <c r="B51" t="s">
        <v>1096</v>
      </c>
      <c r="C51" t="s">
        <v>74</v>
      </c>
      <c r="D51" t="s">
        <v>74</v>
      </c>
      <c r="E51" t="s">
        <v>74</v>
      </c>
      <c r="F51" t="s">
        <v>1097</v>
      </c>
      <c r="G51" t="s">
        <v>74</v>
      </c>
      <c r="H51" t="s">
        <v>74</v>
      </c>
      <c r="I51" t="s">
        <v>1098</v>
      </c>
      <c r="J51" t="s">
        <v>1099</v>
      </c>
      <c r="K51" t="s">
        <v>74</v>
      </c>
      <c r="L51" t="s">
        <v>74</v>
      </c>
      <c r="M51" t="s">
        <v>78</v>
      </c>
      <c r="N51" t="s">
        <v>79</v>
      </c>
      <c r="O51" t="s">
        <v>74</v>
      </c>
      <c r="P51" t="s">
        <v>74</v>
      </c>
      <c r="Q51" t="s">
        <v>74</v>
      </c>
      <c r="R51" t="s">
        <v>74</v>
      </c>
      <c r="S51" t="s">
        <v>74</v>
      </c>
      <c r="T51" t="s">
        <v>1100</v>
      </c>
      <c r="U51" t="s">
        <v>1101</v>
      </c>
      <c r="V51" t="s">
        <v>1102</v>
      </c>
      <c r="W51" t="s">
        <v>1103</v>
      </c>
      <c r="X51" t="s">
        <v>1104</v>
      </c>
      <c r="Y51" t="s">
        <v>1105</v>
      </c>
      <c r="Z51" t="s">
        <v>1106</v>
      </c>
      <c r="AA51" t="s">
        <v>1107</v>
      </c>
      <c r="AB51" t="s">
        <v>1108</v>
      </c>
      <c r="AC51" t="s">
        <v>1109</v>
      </c>
      <c r="AD51" t="s">
        <v>1109</v>
      </c>
      <c r="AE51" t="s">
        <v>1110</v>
      </c>
      <c r="AF51" t="s">
        <v>74</v>
      </c>
      <c r="AG51">
        <v>68</v>
      </c>
      <c r="AH51">
        <v>19</v>
      </c>
      <c r="AI51">
        <v>19</v>
      </c>
      <c r="AJ51">
        <v>1</v>
      </c>
      <c r="AK51">
        <v>27</v>
      </c>
      <c r="AL51" t="s">
        <v>1111</v>
      </c>
      <c r="AM51" t="s">
        <v>1112</v>
      </c>
      <c r="AN51" t="s">
        <v>1113</v>
      </c>
      <c r="AO51" t="s">
        <v>1114</v>
      </c>
      <c r="AP51" t="s">
        <v>1115</v>
      </c>
      <c r="AQ51" t="s">
        <v>74</v>
      </c>
      <c r="AR51" t="s">
        <v>1116</v>
      </c>
      <c r="AS51" t="s">
        <v>1117</v>
      </c>
      <c r="AT51" t="s">
        <v>559</v>
      </c>
      <c r="AU51">
        <v>2012</v>
      </c>
      <c r="AV51">
        <v>107</v>
      </c>
      <c r="AW51">
        <v>9</v>
      </c>
      <c r="AX51" t="s">
        <v>74</v>
      </c>
      <c r="AY51" t="s">
        <v>74</v>
      </c>
      <c r="AZ51" t="s">
        <v>74</v>
      </c>
      <c r="BA51" t="s">
        <v>74</v>
      </c>
      <c r="BB51">
        <v>1339</v>
      </c>
      <c r="BC51">
        <v>1349</v>
      </c>
      <c r="BD51" t="s">
        <v>74</v>
      </c>
      <c r="BE51" t="s">
        <v>1118</v>
      </c>
      <c r="BF51" t="str">
        <f>HYPERLINK("http://dx.doi.org/10.1017/S0007114511004508","http://dx.doi.org/10.1017/S0007114511004508")</f>
        <v>http://dx.doi.org/10.1017/S0007114511004508</v>
      </c>
      <c r="BG51" t="s">
        <v>74</v>
      </c>
      <c r="BH51" t="s">
        <v>74</v>
      </c>
      <c r="BI51">
        <v>11</v>
      </c>
      <c r="BJ51" t="s">
        <v>1119</v>
      </c>
      <c r="BK51" t="s">
        <v>99</v>
      </c>
      <c r="BL51" t="s">
        <v>1119</v>
      </c>
      <c r="BM51" t="s">
        <v>1120</v>
      </c>
      <c r="BN51">
        <v>21917191</v>
      </c>
      <c r="BO51" t="s">
        <v>777</v>
      </c>
      <c r="BP51" t="s">
        <v>74</v>
      </c>
      <c r="BQ51" t="s">
        <v>74</v>
      </c>
      <c r="BR51" t="s">
        <v>101</v>
      </c>
      <c r="BS51" t="s">
        <v>1121</v>
      </c>
      <c r="BT51" t="str">
        <f>HYPERLINK("https%3A%2F%2Fwww.webofscience.com%2Fwos%2Fwoscc%2Ffull-record%2FWOS:000304243000011","View Full Record in Web of Science")</f>
        <v>View Full Record in Web of Science</v>
      </c>
    </row>
    <row r="52" spans="1:72" x14ac:dyDescent="0.15">
      <c r="A52" t="s">
        <v>72</v>
      </c>
      <c r="B52" t="s">
        <v>1122</v>
      </c>
      <c r="C52" t="s">
        <v>74</v>
      </c>
      <c r="D52" t="s">
        <v>74</v>
      </c>
      <c r="E52" t="s">
        <v>74</v>
      </c>
      <c r="F52" t="s">
        <v>1123</v>
      </c>
      <c r="G52" t="s">
        <v>74</v>
      </c>
      <c r="H52" t="s">
        <v>74</v>
      </c>
      <c r="I52" t="s">
        <v>1124</v>
      </c>
      <c r="J52" t="s">
        <v>1125</v>
      </c>
      <c r="K52" t="s">
        <v>74</v>
      </c>
      <c r="L52" t="s">
        <v>74</v>
      </c>
      <c r="M52" t="s">
        <v>78</v>
      </c>
      <c r="N52" t="s">
        <v>79</v>
      </c>
      <c r="O52" t="s">
        <v>74</v>
      </c>
      <c r="P52" t="s">
        <v>74</v>
      </c>
      <c r="Q52" t="s">
        <v>74</v>
      </c>
      <c r="R52" t="s">
        <v>74</v>
      </c>
      <c r="S52" t="s">
        <v>74</v>
      </c>
      <c r="T52" t="s">
        <v>74</v>
      </c>
      <c r="U52" t="s">
        <v>74</v>
      </c>
      <c r="V52" t="s">
        <v>1126</v>
      </c>
      <c r="W52" t="s">
        <v>1127</v>
      </c>
      <c r="X52" t="s">
        <v>977</v>
      </c>
      <c r="Y52" t="s">
        <v>1128</v>
      </c>
      <c r="Z52" t="s">
        <v>1129</v>
      </c>
      <c r="AA52" t="s">
        <v>74</v>
      </c>
      <c r="AB52" t="s">
        <v>74</v>
      </c>
      <c r="AC52" t="s">
        <v>74</v>
      </c>
      <c r="AD52" t="s">
        <v>74</v>
      </c>
      <c r="AE52" t="s">
        <v>74</v>
      </c>
      <c r="AF52" t="s">
        <v>74</v>
      </c>
      <c r="AG52">
        <v>5</v>
      </c>
      <c r="AH52">
        <v>0</v>
      </c>
      <c r="AI52">
        <v>1</v>
      </c>
      <c r="AJ52">
        <v>0</v>
      </c>
      <c r="AK52">
        <v>0</v>
      </c>
      <c r="AL52" t="s">
        <v>681</v>
      </c>
      <c r="AM52" t="s">
        <v>656</v>
      </c>
      <c r="AN52" t="s">
        <v>682</v>
      </c>
      <c r="AO52" t="s">
        <v>1130</v>
      </c>
      <c r="AP52" t="s">
        <v>74</v>
      </c>
      <c r="AQ52" t="s">
        <v>74</v>
      </c>
      <c r="AR52" t="s">
        <v>1131</v>
      </c>
      <c r="AS52" t="s">
        <v>1132</v>
      </c>
      <c r="AT52" t="s">
        <v>559</v>
      </c>
      <c r="AU52">
        <v>2012</v>
      </c>
      <c r="AV52">
        <v>52</v>
      </c>
      <c r="AW52">
        <v>3</v>
      </c>
      <c r="AX52" t="s">
        <v>74</v>
      </c>
      <c r="AY52" t="s">
        <v>74</v>
      </c>
      <c r="AZ52" t="s">
        <v>74</v>
      </c>
      <c r="BA52" t="s">
        <v>74</v>
      </c>
      <c r="BB52">
        <v>344</v>
      </c>
      <c r="BC52">
        <v>349</v>
      </c>
      <c r="BD52" t="s">
        <v>74</v>
      </c>
      <c r="BE52" t="s">
        <v>1133</v>
      </c>
      <c r="BF52" t="str">
        <f>HYPERLINK("http://dx.doi.org/10.1134/S0016793212020156","http://dx.doi.org/10.1134/S0016793212020156")</f>
        <v>http://dx.doi.org/10.1134/S0016793212020156</v>
      </c>
      <c r="BG52" t="s">
        <v>74</v>
      </c>
      <c r="BH52" t="s">
        <v>74</v>
      </c>
      <c r="BI52">
        <v>6</v>
      </c>
      <c r="BJ52" t="s">
        <v>1134</v>
      </c>
      <c r="BK52" t="s">
        <v>99</v>
      </c>
      <c r="BL52" t="s">
        <v>1134</v>
      </c>
      <c r="BM52" t="s">
        <v>1135</v>
      </c>
      <c r="BN52" t="s">
        <v>74</v>
      </c>
      <c r="BO52" t="s">
        <v>74</v>
      </c>
      <c r="BP52" t="s">
        <v>74</v>
      </c>
      <c r="BQ52" t="s">
        <v>74</v>
      </c>
      <c r="BR52" t="s">
        <v>101</v>
      </c>
      <c r="BS52" t="s">
        <v>1136</v>
      </c>
      <c r="BT52" t="str">
        <f>HYPERLINK("https%3A%2F%2Fwww.webofscience.com%2Fwos%2Fwoscc%2Ffull-record%2FWOS:000304359700007","View Full Record in Web of Science")</f>
        <v>View Full Record in Web of Science</v>
      </c>
    </row>
    <row r="53" spans="1:72" x14ac:dyDescent="0.15">
      <c r="A53" t="s">
        <v>72</v>
      </c>
      <c r="B53" t="s">
        <v>1137</v>
      </c>
      <c r="C53" t="s">
        <v>74</v>
      </c>
      <c r="D53" t="s">
        <v>74</v>
      </c>
      <c r="E53" t="s">
        <v>74</v>
      </c>
      <c r="F53" t="s">
        <v>1137</v>
      </c>
      <c r="G53" t="s">
        <v>74</v>
      </c>
      <c r="H53" t="s">
        <v>74</v>
      </c>
      <c r="I53" t="s">
        <v>1138</v>
      </c>
      <c r="J53" t="s">
        <v>1139</v>
      </c>
      <c r="K53" t="s">
        <v>74</v>
      </c>
      <c r="L53" t="s">
        <v>74</v>
      </c>
      <c r="M53" t="s">
        <v>78</v>
      </c>
      <c r="N53" t="s">
        <v>887</v>
      </c>
      <c r="O53" t="s">
        <v>74</v>
      </c>
      <c r="P53" t="s">
        <v>74</v>
      </c>
      <c r="Q53" t="s">
        <v>74</v>
      </c>
      <c r="R53" t="s">
        <v>74</v>
      </c>
      <c r="S53" t="s">
        <v>74</v>
      </c>
      <c r="T53" t="s">
        <v>74</v>
      </c>
      <c r="U53" t="s">
        <v>74</v>
      </c>
      <c r="V53" t="s">
        <v>74</v>
      </c>
      <c r="W53" t="s">
        <v>74</v>
      </c>
      <c r="X53" t="s">
        <v>74</v>
      </c>
      <c r="Y53" t="s">
        <v>74</v>
      </c>
      <c r="Z53" t="s">
        <v>74</v>
      </c>
      <c r="AA53" t="s">
        <v>74</v>
      </c>
      <c r="AB53" t="s">
        <v>74</v>
      </c>
      <c r="AC53" t="s">
        <v>74</v>
      </c>
      <c r="AD53" t="s">
        <v>74</v>
      </c>
      <c r="AE53" t="s">
        <v>74</v>
      </c>
      <c r="AF53" t="s">
        <v>74</v>
      </c>
      <c r="AG53">
        <v>0</v>
      </c>
      <c r="AH53">
        <v>0</v>
      </c>
      <c r="AI53">
        <v>0</v>
      </c>
      <c r="AJ53">
        <v>0</v>
      </c>
      <c r="AK53">
        <v>18</v>
      </c>
      <c r="AL53" t="s">
        <v>277</v>
      </c>
      <c r="AM53" t="s">
        <v>278</v>
      </c>
      <c r="AN53" t="s">
        <v>279</v>
      </c>
      <c r="AO53" t="s">
        <v>1140</v>
      </c>
      <c r="AP53" t="s">
        <v>1141</v>
      </c>
      <c r="AQ53" t="s">
        <v>74</v>
      </c>
      <c r="AR53" t="s">
        <v>1142</v>
      </c>
      <c r="AS53" t="s">
        <v>1143</v>
      </c>
      <c r="AT53" t="s">
        <v>559</v>
      </c>
      <c r="AU53">
        <v>2012</v>
      </c>
      <c r="AV53">
        <v>64</v>
      </c>
      <c r="AW53">
        <v>5</v>
      </c>
      <c r="AX53" t="s">
        <v>74</v>
      </c>
      <c r="AY53" t="s">
        <v>74</v>
      </c>
      <c r="AZ53" t="s">
        <v>74</v>
      </c>
      <c r="BA53" t="s">
        <v>74</v>
      </c>
      <c r="BB53">
        <v>895</v>
      </c>
      <c r="BC53">
        <v>896</v>
      </c>
      <c r="BD53" t="s">
        <v>74</v>
      </c>
      <c r="BE53" t="s">
        <v>74</v>
      </c>
      <c r="BF53" t="s">
        <v>74</v>
      </c>
      <c r="BG53" t="s">
        <v>74</v>
      </c>
      <c r="BH53" t="s">
        <v>74</v>
      </c>
      <c r="BI53">
        <v>2</v>
      </c>
      <c r="BJ53" t="s">
        <v>1144</v>
      </c>
      <c r="BK53" t="s">
        <v>99</v>
      </c>
      <c r="BL53" t="s">
        <v>1145</v>
      </c>
      <c r="BM53" t="s">
        <v>1146</v>
      </c>
      <c r="BN53" t="s">
        <v>74</v>
      </c>
      <c r="BO53" t="s">
        <v>74</v>
      </c>
      <c r="BP53" t="s">
        <v>74</v>
      </c>
      <c r="BQ53" t="s">
        <v>74</v>
      </c>
      <c r="BR53" t="s">
        <v>101</v>
      </c>
      <c r="BS53" t="s">
        <v>1147</v>
      </c>
      <c r="BT53" t="str">
        <f>HYPERLINK("https%3A%2F%2Fwww.webofscience.com%2Fwos%2Fwoscc%2Ffull-record%2FWOS:000304338200012","View Full Record in Web of Science")</f>
        <v>View Full Record in Web of Science</v>
      </c>
    </row>
    <row r="54" spans="1:72" x14ac:dyDescent="0.15">
      <c r="A54" t="s">
        <v>72</v>
      </c>
      <c r="B54" t="s">
        <v>1148</v>
      </c>
      <c r="C54" t="s">
        <v>74</v>
      </c>
      <c r="D54" t="s">
        <v>74</v>
      </c>
      <c r="E54" t="s">
        <v>74</v>
      </c>
      <c r="F54" t="s">
        <v>1149</v>
      </c>
      <c r="G54" t="s">
        <v>74</v>
      </c>
      <c r="H54" t="s">
        <v>74</v>
      </c>
      <c r="I54" t="s">
        <v>1150</v>
      </c>
      <c r="J54" t="s">
        <v>1151</v>
      </c>
      <c r="K54" t="s">
        <v>74</v>
      </c>
      <c r="L54" t="s">
        <v>74</v>
      </c>
      <c r="M54" t="s">
        <v>78</v>
      </c>
      <c r="N54" t="s">
        <v>79</v>
      </c>
      <c r="O54" t="s">
        <v>74</v>
      </c>
      <c r="P54" t="s">
        <v>74</v>
      </c>
      <c r="Q54" t="s">
        <v>74</v>
      </c>
      <c r="R54" t="s">
        <v>74</v>
      </c>
      <c r="S54" t="s">
        <v>74</v>
      </c>
      <c r="T54" t="s">
        <v>74</v>
      </c>
      <c r="U54" t="s">
        <v>1152</v>
      </c>
      <c r="V54" t="s">
        <v>1153</v>
      </c>
      <c r="W54" t="s">
        <v>1154</v>
      </c>
      <c r="X54" t="s">
        <v>1155</v>
      </c>
      <c r="Y54" t="s">
        <v>1156</v>
      </c>
      <c r="Z54" t="s">
        <v>1157</v>
      </c>
      <c r="AA54" t="s">
        <v>1158</v>
      </c>
      <c r="AB54" t="s">
        <v>1159</v>
      </c>
      <c r="AC54" t="s">
        <v>1160</v>
      </c>
      <c r="AD54" t="s">
        <v>1161</v>
      </c>
      <c r="AE54" t="s">
        <v>1162</v>
      </c>
      <c r="AF54" t="s">
        <v>74</v>
      </c>
      <c r="AG54">
        <v>42</v>
      </c>
      <c r="AH54">
        <v>13</v>
      </c>
      <c r="AI54">
        <v>14</v>
      </c>
      <c r="AJ54">
        <v>0</v>
      </c>
      <c r="AK54">
        <v>27</v>
      </c>
      <c r="AL54" t="s">
        <v>997</v>
      </c>
      <c r="AM54" t="s">
        <v>998</v>
      </c>
      <c r="AN54" t="s">
        <v>999</v>
      </c>
      <c r="AO54" t="s">
        <v>1163</v>
      </c>
      <c r="AP54" t="s">
        <v>1164</v>
      </c>
      <c r="AQ54" t="s">
        <v>74</v>
      </c>
      <c r="AR54" t="s">
        <v>1165</v>
      </c>
      <c r="AS54" t="s">
        <v>1166</v>
      </c>
      <c r="AT54" t="s">
        <v>559</v>
      </c>
      <c r="AU54">
        <v>2012</v>
      </c>
      <c r="AV54">
        <v>25</v>
      </c>
      <c r="AW54">
        <v>10</v>
      </c>
      <c r="AX54" t="s">
        <v>74</v>
      </c>
      <c r="AY54" t="s">
        <v>74</v>
      </c>
      <c r="AZ54" t="s">
        <v>74</v>
      </c>
      <c r="BA54" t="s">
        <v>74</v>
      </c>
      <c r="BB54">
        <v>3629</v>
      </c>
      <c r="BC54">
        <v>3636</v>
      </c>
      <c r="BD54" t="s">
        <v>74</v>
      </c>
      <c r="BE54" t="s">
        <v>1167</v>
      </c>
      <c r="BF54" t="str">
        <f>HYPERLINK("http://dx.doi.org/10.1175/JCLI-D-11-00496.1","http://dx.doi.org/10.1175/JCLI-D-11-00496.1")</f>
        <v>http://dx.doi.org/10.1175/JCLI-D-11-00496.1</v>
      </c>
      <c r="BG54" t="s">
        <v>74</v>
      </c>
      <c r="BH54" t="s">
        <v>74</v>
      </c>
      <c r="BI54">
        <v>8</v>
      </c>
      <c r="BJ54" t="s">
        <v>128</v>
      </c>
      <c r="BK54" t="s">
        <v>99</v>
      </c>
      <c r="BL54" t="s">
        <v>128</v>
      </c>
      <c r="BM54" t="s">
        <v>1168</v>
      </c>
      <c r="BN54" t="s">
        <v>74</v>
      </c>
      <c r="BO54" t="s">
        <v>1169</v>
      </c>
      <c r="BP54" t="s">
        <v>74</v>
      </c>
      <c r="BQ54" t="s">
        <v>74</v>
      </c>
      <c r="BR54" t="s">
        <v>101</v>
      </c>
      <c r="BS54" t="s">
        <v>1170</v>
      </c>
      <c r="BT54" t="str">
        <f>HYPERLINK("https%3A%2F%2Fwww.webofscience.com%2Fwos%2Fwoscc%2Ffull-record%2FWOS:000304037400012","View Full Record in Web of Science")</f>
        <v>View Full Record in Web of Science</v>
      </c>
    </row>
    <row r="55" spans="1:72" x14ac:dyDescent="0.15">
      <c r="A55" t="s">
        <v>72</v>
      </c>
      <c r="B55" t="s">
        <v>1171</v>
      </c>
      <c r="C55" t="s">
        <v>74</v>
      </c>
      <c r="D55" t="s">
        <v>74</v>
      </c>
      <c r="E55" t="s">
        <v>74</v>
      </c>
      <c r="F55" t="s">
        <v>1172</v>
      </c>
      <c r="G55" t="s">
        <v>74</v>
      </c>
      <c r="H55" t="s">
        <v>74</v>
      </c>
      <c r="I55" t="s">
        <v>1173</v>
      </c>
      <c r="J55" t="s">
        <v>1174</v>
      </c>
      <c r="K55" t="s">
        <v>74</v>
      </c>
      <c r="L55" t="s">
        <v>74</v>
      </c>
      <c r="M55" t="s">
        <v>78</v>
      </c>
      <c r="N55" t="s">
        <v>79</v>
      </c>
      <c r="O55" t="s">
        <v>74</v>
      </c>
      <c r="P55" t="s">
        <v>74</v>
      </c>
      <c r="Q55" t="s">
        <v>74</v>
      </c>
      <c r="R55" t="s">
        <v>74</v>
      </c>
      <c r="S55" t="s">
        <v>74</v>
      </c>
      <c r="T55" t="s">
        <v>1175</v>
      </c>
      <c r="U55" t="s">
        <v>1176</v>
      </c>
      <c r="V55" t="s">
        <v>1177</v>
      </c>
      <c r="W55" t="s">
        <v>1178</v>
      </c>
      <c r="X55" t="s">
        <v>1179</v>
      </c>
      <c r="Y55" t="s">
        <v>1180</v>
      </c>
      <c r="Z55" t="s">
        <v>1181</v>
      </c>
      <c r="AA55" t="s">
        <v>1182</v>
      </c>
      <c r="AB55" t="s">
        <v>1183</v>
      </c>
      <c r="AC55" t="s">
        <v>1184</v>
      </c>
      <c r="AD55" t="s">
        <v>1185</v>
      </c>
      <c r="AE55" t="s">
        <v>1186</v>
      </c>
      <c r="AF55" t="s">
        <v>74</v>
      </c>
      <c r="AG55">
        <v>93</v>
      </c>
      <c r="AH55">
        <v>24</v>
      </c>
      <c r="AI55">
        <v>25</v>
      </c>
      <c r="AJ55">
        <v>0</v>
      </c>
      <c r="AK55">
        <v>31</v>
      </c>
      <c r="AL55" t="s">
        <v>655</v>
      </c>
      <c r="AM55" t="s">
        <v>656</v>
      </c>
      <c r="AN55" t="s">
        <v>657</v>
      </c>
      <c r="AO55" t="s">
        <v>1187</v>
      </c>
      <c r="AP55" t="s">
        <v>1188</v>
      </c>
      <c r="AQ55" t="s">
        <v>74</v>
      </c>
      <c r="AR55" t="s">
        <v>1174</v>
      </c>
      <c r="AS55" t="s">
        <v>1189</v>
      </c>
      <c r="AT55" t="s">
        <v>559</v>
      </c>
      <c r="AU55">
        <v>2012</v>
      </c>
      <c r="AV55">
        <v>99</v>
      </c>
      <c r="AW55">
        <v>5</v>
      </c>
      <c r="AX55" t="s">
        <v>74</v>
      </c>
      <c r="AY55" t="s">
        <v>74</v>
      </c>
      <c r="AZ55" t="s">
        <v>74</v>
      </c>
      <c r="BA55" t="s">
        <v>74</v>
      </c>
      <c r="BB55">
        <v>353</v>
      </c>
      <c r="BC55">
        <v>368</v>
      </c>
      <c r="BD55" t="s">
        <v>74</v>
      </c>
      <c r="BE55" t="s">
        <v>1190</v>
      </c>
      <c r="BF55" t="str">
        <f>HYPERLINK("http://dx.doi.org/10.1007/s00114-012-0907-3","http://dx.doi.org/10.1007/s00114-012-0907-3")</f>
        <v>http://dx.doi.org/10.1007/s00114-012-0907-3</v>
      </c>
      <c r="BG55" t="s">
        <v>74</v>
      </c>
      <c r="BH55" t="s">
        <v>74</v>
      </c>
      <c r="BI55">
        <v>16</v>
      </c>
      <c r="BJ55" t="s">
        <v>153</v>
      </c>
      <c r="BK55" t="s">
        <v>99</v>
      </c>
      <c r="BL55" t="s">
        <v>154</v>
      </c>
      <c r="BM55" t="s">
        <v>1191</v>
      </c>
      <c r="BN55">
        <v>22430814</v>
      </c>
      <c r="BO55" t="s">
        <v>74</v>
      </c>
      <c r="BP55" t="s">
        <v>74</v>
      </c>
      <c r="BQ55" t="s">
        <v>74</v>
      </c>
      <c r="BR55" t="s">
        <v>101</v>
      </c>
      <c r="BS55" t="s">
        <v>1192</v>
      </c>
      <c r="BT55" t="str">
        <f>HYPERLINK("https%3A%2F%2Fwww.webofscience.com%2Fwos%2Fwoscc%2Ffull-record%2FWOS:000304174400002","View Full Record in Web of Science")</f>
        <v>View Full Record in Web of Science</v>
      </c>
    </row>
    <row r="56" spans="1:72" x14ac:dyDescent="0.15">
      <c r="A56" t="s">
        <v>72</v>
      </c>
      <c r="B56" t="s">
        <v>1193</v>
      </c>
      <c r="C56" t="s">
        <v>74</v>
      </c>
      <c r="D56" t="s">
        <v>74</v>
      </c>
      <c r="E56" t="s">
        <v>74</v>
      </c>
      <c r="F56" t="s">
        <v>1194</v>
      </c>
      <c r="G56" t="s">
        <v>74</v>
      </c>
      <c r="H56" t="s">
        <v>74</v>
      </c>
      <c r="I56" t="s">
        <v>1195</v>
      </c>
      <c r="J56" t="s">
        <v>1196</v>
      </c>
      <c r="K56" t="s">
        <v>74</v>
      </c>
      <c r="L56" t="s">
        <v>74</v>
      </c>
      <c r="M56" t="s">
        <v>78</v>
      </c>
      <c r="N56" t="s">
        <v>79</v>
      </c>
      <c r="O56" t="s">
        <v>74</v>
      </c>
      <c r="P56" t="s">
        <v>74</v>
      </c>
      <c r="Q56" t="s">
        <v>74</v>
      </c>
      <c r="R56" t="s">
        <v>74</v>
      </c>
      <c r="S56" t="s">
        <v>74</v>
      </c>
      <c r="T56" t="s">
        <v>1197</v>
      </c>
      <c r="U56" t="s">
        <v>1198</v>
      </c>
      <c r="V56" t="s">
        <v>1199</v>
      </c>
      <c r="W56" t="s">
        <v>1200</v>
      </c>
      <c r="X56" t="s">
        <v>1201</v>
      </c>
      <c r="Y56" t="s">
        <v>1202</v>
      </c>
      <c r="Z56" t="s">
        <v>1203</v>
      </c>
      <c r="AA56" t="s">
        <v>1204</v>
      </c>
      <c r="AB56" t="s">
        <v>1205</v>
      </c>
      <c r="AC56" t="s">
        <v>1206</v>
      </c>
      <c r="AD56" t="s">
        <v>1207</v>
      </c>
      <c r="AE56" t="s">
        <v>1208</v>
      </c>
      <c r="AF56" t="s">
        <v>74</v>
      </c>
      <c r="AG56">
        <v>56</v>
      </c>
      <c r="AH56">
        <v>14</v>
      </c>
      <c r="AI56">
        <v>14</v>
      </c>
      <c r="AJ56">
        <v>2</v>
      </c>
      <c r="AK56">
        <v>30</v>
      </c>
      <c r="AL56" t="s">
        <v>1111</v>
      </c>
      <c r="AM56" t="s">
        <v>656</v>
      </c>
      <c r="AN56" t="s">
        <v>1209</v>
      </c>
      <c r="AO56" t="s">
        <v>1210</v>
      </c>
      <c r="AP56" t="s">
        <v>1211</v>
      </c>
      <c r="AQ56" t="s">
        <v>74</v>
      </c>
      <c r="AR56" t="s">
        <v>1196</v>
      </c>
      <c r="AS56" t="s">
        <v>1212</v>
      </c>
      <c r="AT56" t="s">
        <v>559</v>
      </c>
      <c r="AU56">
        <v>2012</v>
      </c>
      <c r="AV56">
        <v>139</v>
      </c>
      <c r="AW56">
        <v>6</v>
      </c>
      <c r="AX56" t="s">
        <v>74</v>
      </c>
      <c r="AY56" t="s">
        <v>74</v>
      </c>
      <c r="AZ56" t="s">
        <v>74</v>
      </c>
      <c r="BA56" t="s">
        <v>74</v>
      </c>
      <c r="BB56">
        <v>819</v>
      </c>
      <c r="BC56">
        <v>824</v>
      </c>
      <c r="BD56" t="s">
        <v>74</v>
      </c>
      <c r="BE56" t="s">
        <v>1213</v>
      </c>
      <c r="BF56" t="str">
        <f>HYPERLINK("http://dx.doi.org/10.1017/S0031182011002381","http://dx.doi.org/10.1017/S0031182011002381")</f>
        <v>http://dx.doi.org/10.1017/S0031182011002381</v>
      </c>
      <c r="BG56" t="s">
        <v>74</v>
      </c>
      <c r="BH56" t="s">
        <v>74</v>
      </c>
      <c r="BI56">
        <v>6</v>
      </c>
      <c r="BJ56" t="s">
        <v>1212</v>
      </c>
      <c r="BK56" t="s">
        <v>99</v>
      </c>
      <c r="BL56" t="s">
        <v>1212</v>
      </c>
      <c r="BM56" t="s">
        <v>1214</v>
      </c>
      <c r="BN56">
        <v>22310304</v>
      </c>
      <c r="BO56" t="s">
        <v>74</v>
      </c>
      <c r="BP56" t="s">
        <v>74</v>
      </c>
      <c r="BQ56" t="s">
        <v>74</v>
      </c>
      <c r="BR56" t="s">
        <v>101</v>
      </c>
      <c r="BS56" t="s">
        <v>1215</v>
      </c>
      <c r="BT56" t="str">
        <f>HYPERLINK("https%3A%2F%2Fwww.webofscience.com%2Fwos%2Fwoscc%2Ffull-record%2FWOS:000304008100016","View Full Record in Web of Science")</f>
        <v>View Full Record in Web of Science</v>
      </c>
    </row>
    <row r="57" spans="1:72" x14ac:dyDescent="0.15">
      <c r="A57" t="s">
        <v>72</v>
      </c>
      <c r="B57" t="s">
        <v>1216</v>
      </c>
      <c r="C57" t="s">
        <v>74</v>
      </c>
      <c r="D57" t="s">
        <v>74</v>
      </c>
      <c r="E57" t="s">
        <v>74</v>
      </c>
      <c r="F57" t="s">
        <v>1217</v>
      </c>
      <c r="G57" t="s">
        <v>74</v>
      </c>
      <c r="H57" t="s">
        <v>74</v>
      </c>
      <c r="I57" t="s">
        <v>1218</v>
      </c>
      <c r="J57" t="s">
        <v>1219</v>
      </c>
      <c r="K57" t="s">
        <v>74</v>
      </c>
      <c r="L57" t="s">
        <v>74</v>
      </c>
      <c r="M57" t="s">
        <v>78</v>
      </c>
      <c r="N57" t="s">
        <v>79</v>
      </c>
      <c r="O57" t="s">
        <v>74</v>
      </c>
      <c r="P57" t="s">
        <v>74</v>
      </c>
      <c r="Q57" t="s">
        <v>74</v>
      </c>
      <c r="R57" t="s">
        <v>74</v>
      </c>
      <c r="S57" t="s">
        <v>74</v>
      </c>
      <c r="T57" t="s">
        <v>1220</v>
      </c>
      <c r="U57" t="s">
        <v>1221</v>
      </c>
      <c r="V57" t="s">
        <v>1222</v>
      </c>
      <c r="W57" t="s">
        <v>1223</v>
      </c>
      <c r="X57" t="s">
        <v>1224</v>
      </c>
      <c r="Y57" t="s">
        <v>1225</v>
      </c>
      <c r="Z57" t="s">
        <v>1226</v>
      </c>
      <c r="AA57" t="s">
        <v>74</v>
      </c>
      <c r="AB57" t="s">
        <v>74</v>
      </c>
      <c r="AC57" t="s">
        <v>1227</v>
      </c>
      <c r="AD57" t="s">
        <v>1228</v>
      </c>
      <c r="AE57" t="s">
        <v>1229</v>
      </c>
      <c r="AF57" t="s">
        <v>74</v>
      </c>
      <c r="AG57">
        <v>40</v>
      </c>
      <c r="AH57">
        <v>21</v>
      </c>
      <c r="AI57">
        <v>22</v>
      </c>
      <c r="AJ57">
        <v>0</v>
      </c>
      <c r="AK57">
        <v>32</v>
      </c>
      <c r="AL57" t="s">
        <v>1083</v>
      </c>
      <c r="AM57" t="s">
        <v>1084</v>
      </c>
      <c r="AN57" t="s">
        <v>1085</v>
      </c>
      <c r="AO57" t="s">
        <v>1230</v>
      </c>
      <c r="AP57" t="s">
        <v>1231</v>
      </c>
      <c r="AQ57" t="s">
        <v>74</v>
      </c>
      <c r="AR57" t="s">
        <v>1232</v>
      </c>
      <c r="AS57" t="s">
        <v>1233</v>
      </c>
      <c r="AT57" t="s">
        <v>559</v>
      </c>
      <c r="AU57">
        <v>2012</v>
      </c>
      <c r="AV57">
        <v>55</v>
      </c>
      <c r="AW57">
        <v>5</v>
      </c>
      <c r="AX57" t="s">
        <v>74</v>
      </c>
      <c r="AY57" t="s">
        <v>74</v>
      </c>
      <c r="AZ57" t="s">
        <v>74</v>
      </c>
      <c r="BA57" t="s">
        <v>74</v>
      </c>
      <c r="BB57">
        <v>787</v>
      </c>
      <c r="BC57">
        <v>795</v>
      </c>
      <c r="BD57" t="s">
        <v>74</v>
      </c>
      <c r="BE57" t="s">
        <v>1234</v>
      </c>
      <c r="BF57" t="str">
        <f>HYPERLINK("http://dx.doi.org/10.1007/s11430-012-4382-7","http://dx.doi.org/10.1007/s11430-012-4382-7")</f>
        <v>http://dx.doi.org/10.1007/s11430-012-4382-7</v>
      </c>
      <c r="BG57" t="s">
        <v>74</v>
      </c>
      <c r="BH57" t="s">
        <v>74</v>
      </c>
      <c r="BI57">
        <v>9</v>
      </c>
      <c r="BJ57" t="s">
        <v>194</v>
      </c>
      <c r="BK57" t="s">
        <v>99</v>
      </c>
      <c r="BL57" t="s">
        <v>195</v>
      </c>
      <c r="BM57" t="s">
        <v>1235</v>
      </c>
      <c r="BN57" t="s">
        <v>74</v>
      </c>
      <c r="BO57" t="s">
        <v>74</v>
      </c>
      <c r="BP57" t="s">
        <v>74</v>
      </c>
      <c r="BQ57" t="s">
        <v>74</v>
      </c>
      <c r="BR57" t="s">
        <v>101</v>
      </c>
      <c r="BS57" t="s">
        <v>1236</v>
      </c>
      <c r="BT57" t="str">
        <f>HYPERLINK("https%3A%2F%2Fwww.webofscience.com%2Fwos%2Fwoscc%2Ffull-record%2FWOS:000303862500010","View Full Record in Web of Science")</f>
        <v>View Full Record in Web of Science</v>
      </c>
    </row>
    <row r="58" spans="1:72" x14ac:dyDescent="0.15">
      <c r="A58" t="s">
        <v>72</v>
      </c>
      <c r="B58" t="s">
        <v>1237</v>
      </c>
      <c r="C58" t="s">
        <v>74</v>
      </c>
      <c r="D58" t="s">
        <v>74</v>
      </c>
      <c r="E58" t="s">
        <v>74</v>
      </c>
      <c r="F58" t="s">
        <v>1238</v>
      </c>
      <c r="G58" t="s">
        <v>74</v>
      </c>
      <c r="H58" t="s">
        <v>74</v>
      </c>
      <c r="I58" t="s">
        <v>1239</v>
      </c>
      <c r="J58" t="s">
        <v>1240</v>
      </c>
      <c r="K58" t="s">
        <v>74</v>
      </c>
      <c r="L58" t="s">
        <v>74</v>
      </c>
      <c r="M58" t="s">
        <v>78</v>
      </c>
      <c r="N58" t="s">
        <v>79</v>
      </c>
      <c r="O58" t="s">
        <v>74</v>
      </c>
      <c r="P58" t="s">
        <v>74</v>
      </c>
      <c r="Q58" t="s">
        <v>74</v>
      </c>
      <c r="R58" t="s">
        <v>74</v>
      </c>
      <c r="S58" t="s">
        <v>74</v>
      </c>
      <c r="T58" t="s">
        <v>1241</v>
      </c>
      <c r="U58" t="s">
        <v>1242</v>
      </c>
      <c r="V58" t="s">
        <v>1243</v>
      </c>
      <c r="W58" t="s">
        <v>1244</v>
      </c>
      <c r="X58" t="s">
        <v>1245</v>
      </c>
      <c r="Y58" t="s">
        <v>1246</v>
      </c>
      <c r="Z58" t="s">
        <v>1247</v>
      </c>
      <c r="AA58" t="s">
        <v>1248</v>
      </c>
      <c r="AB58" t="s">
        <v>1249</v>
      </c>
      <c r="AC58" t="s">
        <v>1250</v>
      </c>
      <c r="AD58" t="s">
        <v>1251</v>
      </c>
      <c r="AE58" t="s">
        <v>1252</v>
      </c>
      <c r="AF58" t="s">
        <v>74</v>
      </c>
      <c r="AG58">
        <v>58</v>
      </c>
      <c r="AH58">
        <v>49</v>
      </c>
      <c r="AI58">
        <v>51</v>
      </c>
      <c r="AJ58">
        <v>1</v>
      </c>
      <c r="AK58">
        <v>56</v>
      </c>
      <c r="AL58" t="s">
        <v>368</v>
      </c>
      <c r="AM58" t="s">
        <v>369</v>
      </c>
      <c r="AN58" t="s">
        <v>370</v>
      </c>
      <c r="AO58" t="s">
        <v>1253</v>
      </c>
      <c r="AP58" t="s">
        <v>1254</v>
      </c>
      <c r="AQ58" t="s">
        <v>74</v>
      </c>
      <c r="AR58" t="s">
        <v>1255</v>
      </c>
      <c r="AS58" t="s">
        <v>1256</v>
      </c>
      <c r="AT58" t="s">
        <v>1064</v>
      </c>
      <c r="AU58">
        <v>2012</v>
      </c>
      <c r="AV58">
        <v>424</v>
      </c>
      <c r="AW58" t="s">
        <v>74</v>
      </c>
      <c r="AX58" t="s">
        <v>74</v>
      </c>
      <c r="AY58" t="s">
        <v>74</v>
      </c>
      <c r="AZ58" t="s">
        <v>74</v>
      </c>
      <c r="BA58" t="s">
        <v>74</v>
      </c>
      <c r="BB58">
        <v>153</v>
      </c>
      <c r="BC58">
        <v>161</v>
      </c>
      <c r="BD58" t="s">
        <v>74</v>
      </c>
      <c r="BE58" t="s">
        <v>1257</v>
      </c>
      <c r="BF58" t="str">
        <f>HYPERLINK("http://dx.doi.org/10.1016/j.scitotenv.2012.02.011","http://dx.doi.org/10.1016/j.scitotenv.2012.02.011")</f>
        <v>http://dx.doi.org/10.1016/j.scitotenv.2012.02.011</v>
      </c>
      <c r="BG58" t="s">
        <v>74</v>
      </c>
      <c r="BH58" t="s">
        <v>74</v>
      </c>
      <c r="BI58">
        <v>9</v>
      </c>
      <c r="BJ58" t="s">
        <v>1258</v>
      </c>
      <c r="BK58" t="s">
        <v>99</v>
      </c>
      <c r="BL58" t="s">
        <v>1259</v>
      </c>
      <c r="BM58" t="s">
        <v>1260</v>
      </c>
      <c r="BN58">
        <v>22444061</v>
      </c>
      <c r="BO58" t="s">
        <v>74</v>
      </c>
      <c r="BP58" t="s">
        <v>74</v>
      </c>
      <c r="BQ58" t="s">
        <v>74</v>
      </c>
      <c r="BR58" t="s">
        <v>101</v>
      </c>
      <c r="BS58" t="s">
        <v>1261</v>
      </c>
      <c r="BT58" t="str">
        <f>HYPERLINK("https%3A%2F%2Fwww.webofscience.com%2Fwos%2Fwoscc%2Ffull-record%2FWOS:000303956900017","View Full Record in Web of Science")</f>
        <v>View Full Record in Web of Science</v>
      </c>
    </row>
    <row r="59" spans="1:72" x14ac:dyDescent="0.15">
      <c r="A59" t="s">
        <v>72</v>
      </c>
      <c r="B59" t="s">
        <v>1262</v>
      </c>
      <c r="C59" t="s">
        <v>74</v>
      </c>
      <c r="D59" t="s">
        <v>74</v>
      </c>
      <c r="E59" t="s">
        <v>74</v>
      </c>
      <c r="F59" t="s">
        <v>1263</v>
      </c>
      <c r="G59" t="s">
        <v>74</v>
      </c>
      <c r="H59" t="s">
        <v>74</v>
      </c>
      <c r="I59" t="s">
        <v>1264</v>
      </c>
      <c r="J59" t="s">
        <v>1265</v>
      </c>
      <c r="K59" t="s">
        <v>74</v>
      </c>
      <c r="L59" t="s">
        <v>74</v>
      </c>
      <c r="M59" t="s">
        <v>78</v>
      </c>
      <c r="N59" t="s">
        <v>79</v>
      </c>
      <c r="O59" t="s">
        <v>74</v>
      </c>
      <c r="P59" t="s">
        <v>74</v>
      </c>
      <c r="Q59" t="s">
        <v>74</v>
      </c>
      <c r="R59" t="s">
        <v>74</v>
      </c>
      <c r="S59" t="s">
        <v>74</v>
      </c>
      <c r="T59" t="s">
        <v>1266</v>
      </c>
      <c r="U59" t="s">
        <v>1267</v>
      </c>
      <c r="V59" t="s">
        <v>1268</v>
      </c>
      <c r="W59" t="s">
        <v>1269</v>
      </c>
      <c r="X59" t="s">
        <v>1270</v>
      </c>
      <c r="Y59" t="s">
        <v>1271</v>
      </c>
      <c r="Z59" t="s">
        <v>1272</v>
      </c>
      <c r="AA59" t="s">
        <v>1273</v>
      </c>
      <c r="AB59" t="s">
        <v>1274</v>
      </c>
      <c r="AC59" t="s">
        <v>1275</v>
      </c>
      <c r="AD59" t="s">
        <v>1276</v>
      </c>
      <c r="AE59" t="s">
        <v>1277</v>
      </c>
      <c r="AF59" t="s">
        <v>74</v>
      </c>
      <c r="AG59">
        <v>50</v>
      </c>
      <c r="AH59">
        <v>11</v>
      </c>
      <c r="AI59">
        <v>13</v>
      </c>
      <c r="AJ59">
        <v>0</v>
      </c>
      <c r="AK59">
        <v>37</v>
      </c>
      <c r="AL59" t="s">
        <v>277</v>
      </c>
      <c r="AM59" t="s">
        <v>278</v>
      </c>
      <c r="AN59" t="s">
        <v>279</v>
      </c>
      <c r="AO59" t="s">
        <v>1278</v>
      </c>
      <c r="AP59" t="s">
        <v>1279</v>
      </c>
      <c r="AQ59" t="s">
        <v>74</v>
      </c>
      <c r="AR59" t="s">
        <v>1280</v>
      </c>
      <c r="AS59" t="s">
        <v>1281</v>
      </c>
      <c r="AT59" t="s">
        <v>559</v>
      </c>
      <c r="AU59">
        <v>2012</v>
      </c>
      <c r="AV59">
        <v>63</v>
      </c>
      <c r="AW59" t="s">
        <v>74</v>
      </c>
      <c r="AX59" t="s">
        <v>74</v>
      </c>
      <c r="AY59" t="s">
        <v>74</v>
      </c>
      <c r="AZ59" t="s">
        <v>74</v>
      </c>
      <c r="BA59" t="s">
        <v>74</v>
      </c>
      <c r="BB59">
        <v>118</v>
      </c>
      <c r="BC59">
        <v>132</v>
      </c>
      <c r="BD59" t="s">
        <v>74</v>
      </c>
      <c r="BE59" t="s">
        <v>1282</v>
      </c>
      <c r="BF59" t="str">
        <f>HYPERLINK("http://dx.doi.org/10.1016/j.dsr.2012.01.011","http://dx.doi.org/10.1016/j.dsr.2012.01.011")</f>
        <v>http://dx.doi.org/10.1016/j.dsr.2012.01.011</v>
      </c>
      <c r="BG59" t="s">
        <v>74</v>
      </c>
      <c r="BH59" t="s">
        <v>74</v>
      </c>
      <c r="BI59">
        <v>15</v>
      </c>
      <c r="BJ59" t="s">
        <v>350</v>
      </c>
      <c r="BK59" t="s">
        <v>99</v>
      </c>
      <c r="BL59" t="s">
        <v>350</v>
      </c>
      <c r="BM59" t="s">
        <v>1283</v>
      </c>
      <c r="BN59" t="s">
        <v>74</v>
      </c>
      <c r="BO59" t="s">
        <v>74</v>
      </c>
      <c r="BP59" t="s">
        <v>74</v>
      </c>
      <c r="BQ59" t="s">
        <v>74</v>
      </c>
      <c r="BR59" t="s">
        <v>101</v>
      </c>
      <c r="BS59" t="s">
        <v>1284</v>
      </c>
      <c r="BT59" t="str">
        <f>HYPERLINK("https%3A%2F%2Fwww.webofscience.com%2Fwos%2Fwoscc%2Ffull-record%2FWOS:000303619000009","View Full Record in Web of Science")</f>
        <v>View Full Record in Web of Science</v>
      </c>
    </row>
    <row r="60" spans="1:72" x14ac:dyDescent="0.15">
      <c r="A60" t="s">
        <v>72</v>
      </c>
      <c r="B60" t="s">
        <v>1285</v>
      </c>
      <c r="C60" t="s">
        <v>74</v>
      </c>
      <c r="D60" t="s">
        <v>74</v>
      </c>
      <c r="E60" t="s">
        <v>74</v>
      </c>
      <c r="F60" t="s">
        <v>1286</v>
      </c>
      <c r="G60" t="s">
        <v>74</v>
      </c>
      <c r="H60" t="s">
        <v>74</v>
      </c>
      <c r="I60" t="s">
        <v>1287</v>
      </c>
      <c r="J60" t="s">
        <v>1288</v>
      </c>
      <c r="K60" t="s">
        <v>74</v>
      </c>
      <c r="L60" t="s">
        <v>74</v>
      </c>
      <c r="M60" t="s">
        <v>78</v>
      </c>
      <c r="N60" t="s">
        <v>79</v>
      </c>
      <c r="O60" t="s">
        <v>74</v>
      </c>
      <c r="P60" t="s">
        <v>74</v>
      </c>
      <c r="Q60" t="s">
        <v>74</v>
      </c>
      <c r="R60" t="s">
        <v>74</v>
      </c>
      <c r="S60" t="s">
        <v>74</v>
      </c>
      <c r="T60" t="s">
        <v>1289</v>
      </c>
      <c r="U60" t="s">
        <v>1290</v>
      </c>
      <c r="V60" t="s">
        <v>1291</v>
      </c>
      <c r="W60" t="s">
        <v>1292</v>
      </c>
      <c r="X60" t="s">
        <v>1293</v>
      </c>
      <c r="Y60" t="s">
        <v>1294</v>
      </c>
      <c r="Z60" t="s">
        <v>1295</v>
      </c>
      <c r="AA60" t="s">
        <v>1296</v>
      </c>
      <c r="AB60" t="s">
        <v>1297</v>
      </c>
      <c r="AC60" t="s">
        <v>1298</v>
      </c>
      <c r="AD60" t="s">
        <v>1299</v>
      </c>
      <c r="AE60" t="s">
        <v>1300</v>
      </c>
      <c r="AF60" t="s">
        <v>74</v>
      </c>
      <c r="AG60">
        <v>35</v>
      </c>
      <c r="AH60">
        <v>40</v>
      </c>
      <c r="AI60">
        <v>51</v>
      </c>
      <c r="AJ60">
        <v>0</v>
      </c>
      <c r="AK60">
        <v>33</v>
      </c>
      <c r="AL60" t="s">
        <v>1301</v>
      </c>
      <c r="AM60" t="s">
        <v>604</v>
      </c>
      <c r="AN60" t="s">
        <v>1302</v>
      </c>
      <c r="AO60" t="s">
        <v>1303</v>
      </c>
      <c r="AP60" t="s">
        <v>1304</v>
      </c>
      <c r="AQ60" t="s">
        <v>74</v>
      </c>
      <c r="AR60" t="s">
        <v>1288</v>
      </c>
      <c r="AS60" t="s">
        <v>1305</v>
      </c>
      <c r="AT60" t="s">
        <v>559</v>
      </c>
      <c r="AU60">
        <v>2012</v>
      </c>
      <c r="AV60">
        <v>16</v>
      </c>
      <c r="AW60">
        <v>3</v>
      </c>
      <c r="AX60" t="s">
        <v>74</v>
      </c>
      <c r="AY60" t="s">
        <v>74</v>
      </c>
      <c r="AZ60" t="s">
        <v>74</v>
      </c>
      <c r="BA60" t="s">
        <v>74</v>
      </c>
      <c r="BB60">
        <v>419</v>
      </c>
      <c r="BC60">
        <v>425</v>
      </c>
      <c r="BD60" t="s">
        <v>74</v>
      </c>
      <c r="BE60" t="s">
        <v>1306</v>
      </c>
      <c r="BF60" t="str">
        <f>HYPERLINK("http://dx.doi.org/10.1007/s00792-012-0441-4","http://dx.doi.org/10.1007/s00792-012-0441-4")</f>
        <v>http://dx.doi.org/10.1007/s00792-012-0441-4</v>
      </c>
      <c r="BG60" t="s">
        <v>74</v>
      </c>
      <c r="BH60" t="s">
        <v>74</v>
      </c>
      <c r="BI60">
        <v>7</v>
      </c>
      <c r="BJ60" t="s">
        <v>1307</v>
      </c>
      <c r="BK60" t="s">
        <v>99</v>
      </c>
      <c r="BL60" t="s">
        <v>1307</v>
      </c>
      <c r="BM60" t="s">
        <v>1308</v>
      </c>
      <c r="BN60">
        <v>22527038</v>
      </c>
      <c r="BO60" t="s">
        <v>74</v>
      </c>
      <c r="BP60" t="s">
        <v>74</v>
      </c>
      <c r="BQ60" t="s">
        <v>74</v>
      </c>
      <c r="BR60" t="s">
        <v>101</v>
      </c>
      <c r="BS60" t="s">
        <v>1309</v>
      </c>
      <c r="BT60" t="str">
        <f>HYPERLINK("https%3A%2F%2Fwww.webofscience.com%2Fwos%2Fwoscc%2Ffull-record%2FWOS:000303870300007","View Full Record in Web of Science")</f>
        <v>View Full Record in Web of Science</v>
      </c>
    </row>
    <row r="61" spans="1:72" x14ac:dyDescent="0.15">
      <c r="A61" t="s">
        <v>72</v>
      </c>
      <c r="B61" t="s">
        <v>1310</v>
      </c>
      <c r="C61" t="s">
        <v>74</v>
      </c>
      <c r="D61" t="s">
        <v>74</v>
      </c>
      <c r="E61" t="s">
        <v>74</v>
      </c>
      <c r="F61" t="s">
        <v>1311</v>
      </c>
      <c r="G61" t="s">
        <v>74</v>
      </c>
      <c r="H61" t="s">
        <v>74</v>
      </c>
      <c r="I61" t="s">
        <v>1312</v>
      </c>
      <c r="J61" t="s">
        <v>1288</v>
      </c>
      <c r="K61" t="s">
        <v>74</v>
      </c>
      <c r="L61" t="s">
        <v>74</v>
      </c>
      <c r="M61" t="s">
        <v>78</v>
      </c>
      <c r="N61" t="s">
        <v>79</v>
      </c>
      <c r="O61" t="s">
        <v>74</v>
      </c>
      <c r="P61" t="s">
        <v>74</v>
      </c>
      <c r="Q61" t="s">
        <v>74</v>
      </c>
      <c r="R61" t="s">
        <v>74</v>
      </c>
      <c r="S61" t="s">
        <v>74</v>
      </c>
      <c r="T61" t="s">
        <v>1313</v>
      </c>
      <c r="U61" t="s">
        <v>1314</v>
      </c>
      <c r="V61" t="s">
        <v>1315</v>
      </c>
      <c r="W61" t="s">
        <v>1316</v>
      </c>
      <c r="X61" t="s">
        <v>1317</v>
      </c>
      <c r="Y61" t="s">
        <v>1318</v>
      </c>
      <c r="Z61" t="s">
        <v>1319</v>
      </c>
      <c r="AA61" t="s">
        <v>1320</v>
      </c>
      <c r="AB61" t="s">
        <v>1321</v>
      </c>
      <c r="AC61" t="s">
        <v>1322</v>
      </c>
      <c r="AD61" t="s">
        <v>1323</v>
      </c>
      <c r="AE61" t="s">
        <v>1324</v>
      </c>
      <c r="AF61" t="s">
        <v>74</v>
      </c>
      <c r="AG61">
        <v>36</v>
      </c>
      <c r="AH61">
        <v>16</v>
      </c>
      <c r="AI61">
        <v>20</v>
      </c>
      <c r="AJ61">
        <v>1</v>
      </c>
      <c r="AK61">
        <v>42</v>
      </c>
      <c r="AL61" t="s">
        <v>1301</v>
      </c>
      <c r="AM61" t="s">
        <v>604</v>
      </c>
      <c r="AN61" t="s">
        <v>1302</v>
      </c>
      <c r="AO61" t="s">
        <v>1303</v>
      </c>
      <c r="AP61" t="s">
        <v>1304</v>
      </c>
      <c r="AQ61" t="s">
        <v>74</v>
      </c>
      <c r="AR61" t="s">
        <v>1288</v>
      </c>
      <c r="AS61" t="s">
        <v>1305</v>
      </c>
      <c r="AT61" t="s">
        <v>559</v>
      </c>
      <c r="AU61">
        <v>2012</v>
      </c>
      <c r="AV61">
        <v>16</v>
      </c>
      <c r="AW61">
        <v>3</v>
      </c>
      <c r="AX61" t="s">
        <v>74</v>
      </c>
      <c r="AY61" t="s">
        <v>74</v>
      </c>
      <c r="AZ61" t="s">
        <v>74</v>
      </c>
      <c r="BA61" t="s">
        <v>74</v>
      </c>
      <c r="BB61">
        <v>507</v>
      </c>
      <c r="BC61">
        <v>514</v>
      </c>
      <c r="BD61" t="s">
        <v>74</v>
      </c>
      <c r="BE61" t="s">
        <v>1325</v>
      </c>
      <c r="BF61" t="str">
        <f>HYPERLINK("http://dx.doi.org/10.1007/s00792-012-0450-3","http://dx.doi.org/10.1007/s00792-012-0450-3")</f>
        <v>http://dx.doi.org/10.1007/s00792-012-0450-3</v>
      </c>
      <c r="BG61" t="s">
        <v>74</v>
      </c>
      <c r="BH61" t="s">
        <v>74</v>
      </c>
      <c r="BI61">
        <v>8</v>
      </c>
      <c r="BJ61" t="s">
        <v>1307</v>
      </c>
      <c r="BK61" t="s">
        <v>99</v>
      </c>
      <c r="BL61" t="s">
        <v>1307</v>
      </c>
      <c r="BM61" t="s">
        <v>1308</v>
      </c>
      <c r="BN61">
        <v>22527044</v>
      </c>
      <c r="BO61" t="s">
        <v>74</v>
      </c>
      <c r="BP61" t="s">
        <v>74</v>
      </c>
      <c r="BQ61" t="s">
        <v>74</v>
      </c>
      <c r="BR61" t="s">
        <v>101</v>
      </c>
      <c r="BS61" t="s">
        <v>1326</v>
      </c>
      <c r="BT61" t="str">
        <f>HYPERLINK("https%3A%2F%2Fwww.webofscience.com%2Fwos%2Fwoscc%2Ffull-record%2FWOS:000303870300016","View Full Record in Web of Science")</f>
        <v>View Full Record in Web of Science</v>
      </c>
    </row>
    <row r="62" spans="1:72" x14ac:dyDescent="0.15">
      <c r="A62" t="s">
        <v>72</v>
      </c>
      <c r="B62" t="s">
        <v>1327</v>
      </c>
      <c r="C62" t="s">
        <v>74</v>
      </c>
      <c r="D62" t="s">
        <v>74</v>
      </c>
      <c r="E62" t="s">
        <v>74</v>
      </c>
      <c r="F62" t="s">
        <v>1328</v>
      </c>
      <c r="G62" t="s">
        <v>74</v>
      </c>
      <c r="H62" t="s">
        <v>74</v>
      </c>
      <c r="I62" t="s">
        <v>1329</v>
      </c>
      <c r="J62" t="s">
        <v>1288</v>
      </c>
      <c r="K62" t="s">
        <v>74</v>
      </c>
      <c r="L62" t="s">
        <v>74</v>
      </c>
      <c r="M62" t="s">
        <v>78</v>
      </c>
      <c r="N62" t="s">
        <v>79</v>
      </c>
      <c r="O62" t="s">
        <v>74</v>
      </c>
      <c r="P62" t="s">
        <v>74</v>
      </c>
      <c r="Q62" t="s">
        <v>74</v>
      </c>
      <c r="R62" t="s">
        <v>74</v>
      </c>
      <c r="S62" t="s">
        <v>74</v>
      </c>
      <c r="T62" t="s">
        <v>1330</v>
      </c>
      <c r="U62" t="s">
        <v>1331</v>
      </c>
      <c r="V62" t="s">
        <v>1332</v>
      </c>
      <c r="W62" t="s">
        <v>1333</v>
      </c>
      <c r="X62" t="s">
        <v>1334</v>
      </c>
      <c r="Y62" t="s">
        <v>1335</v>
      </c>
      <c r="Z62" t="s">
        <v>1336</v>
      </c>
      <c r="AA62" t="s">
        <v>1337</v>
      </c>
      <c r="AB62" t="s">
        <v>1338</v>
      </c>
      <c r="AC62" t="s">
        <v>1339</v>
      </c>
      <c r="AD62" t="s">
        <v>1340</v>
      </c>
      <c r="AE62" t="s">
        <v>1341</v>
      </c>
      <c r="AF62" t="s">
        <v>74</v>
      </c>
      <c r="AG62">
        <v>50</v>
      </c>
      <c r="AH62">
        <v>14</v>
      </c>
      <c r="AI62">
        <v>14</v>
      </c>
      <c r="AJ62">
        <v>0</v>
      </c>
      <c r="AK62">
        <v>12</v>
      </c>
      <c r="AL62" t="s">
        <v>1301</v>
      </c>
      <c r="AM62" t="s">
        <v>604</v>
      </c>
      <c r="AN62" t="s">
        <v>1342</v>
      </c>
      <c r="AO62" t="s">
        <v>1303</v>
      </c>
      <c r="AP62" t="s">
        <v>1304</v>
      </c>
      <c r="AQ62" t="s">
        <v>74</v>
      </c>
      <c r="AR62" t="s">
        <v>1288</v>
      </c>
      <c r="AS62" t="s">
        <v>1305</v>
      </c>
      <c r="AT62" t="s">
        <v>559</v>
      </c>
      <c r="AU62">
        <v>2012</v>
      </c>
      <c r="AV62">
        <v>16</v>
      </c>
      <c r="AW62">
        <v>3</v>
      </c>
      <c r="AX62" t="s">
        <v>74</v>
      </c>
      <c r="AY62" t="s">
        <v>74</v>
      </c>
      <c r="AZ62" t="s">
        <v>74</v>
      </c>
      <c r="BA62" t="s">
        <v>74</v>
      </c>
      <c r="BB62">
        <v>539</v>
      </c>
      <c r="BC62">
        <v>552</v>
      </c>
      <c r="BD62" t="s">
        <v>74</v>
      </c>
      <c r="BE62" t="s">
        <v>1343</v>
      </c>
      <c r="BF62" t="str">
        <f>HYPERLINK("http://dx.doi.org/10.1007/s00792-012-0453-0","http://dx.doi.org/10.1007/s00792-012-0453-0")</f>
        <v>http://dx.doi.org/10.1007/s00792-012-0453-0</v>
      </c>
      <c r="BG62" t="s">
        <v>74</v>
      </c>
      <c r="BH62" t="s">
        <v>74</v>
      </c>
      <c r="BI62">
        <v>14</v>
      </c>
      <c r="BJ62" t="s">
        <v>1307</v>
      </c>
      <c r="BK62" t="s">
        <v>99</v>
      </c>
      <c r="BL62" t="s">
        <v>1307</v>
      </c>
      <c r="BM62" t="s">
        <v>1308</v>
      </c>
      <c r="BN62">
        <v>22527046</v>
      </c>
      <c r="BO62" t="s">
        <v>74</v>
      </c>
      <c r="BP62" t="s">
        <v>74</v>
      </c>
      <c r="BQ62" t="s">
        <v>74</v>
      </c>
      <c r="BR62" t="s">
        <v>101</v>
      </c>
      <c r="BS62" t="s">
        <v>1344</v>
      </c>
      <c r="BT62" t="str">
        <f>HYPERLINK("https%3A%2F%2Fwww.webofscience.com%2Fwos%2Fwoscc%2Ffull-record%2FWOS:000303870300019","View Full Record in Web of Science")</f>
        <v>View Full Record in Web of Science</v>
      </c>
    </row>
    <row r="63" spans="1:72" x14ac:dyDescent="0.15">
      <c r="A63" t="s">
        <v>72</v>
      </c>
      <c r="B63" t="s">
        <v>1345</v>
      </c>
      <c r="C63" t="s">
        <v>74</v>
      </c>
      <c r="D63" t="s">
        <v>74</v>
      </c>
      <c r="E63" t="s">
        <v>74</v>
      </c>
      <c r="F63" t="s">
        <v>1346</v>
      </c>
      <c r="G63" t="s">
        <v>74</v>
      </c>
      <c r="H63" t="s">
        <v>74</v>
      </c>
      <c r="I63" t="s">
        <v>1347</v>
      </c>
      <c r="J63" t="s">
        <v>1151</v>
      </c>
      <c r="K63" t="s">
        <v>74</v>
      </c>
      <c r="L63" t="s">
        <v>74</v>
      </c>
      <c r="M63" t="s">
        <v>78</v>
      </c>
      <c r="N63" t="s">
        <v>79</v>
      </c>
      <c r="O63" t="s">
        <v>74</v>
      </c>
      <c r="P63" t="s">
        <v>74</v>
      </c>
      <c r="Q63" t="s">
        <v>74</v>
      </c>
      <c r="R63" t="s">
        <v>74</v>
      </c>
      <c r="S63" t="s">
        <v>74</v>
      </c>
      <c r="T63" t="s">
        <v>74</v>
      </c>
      <c r="U63" t="s">
        <v>1348</v>
      </c>
      <c r="V63" t="s">
        <v>1349</v>
      </c>
      <c r="W63" t="s">
        <v>1350</v>
      </c>
      <c r="X63" t="s">
        <v>1351</v>
      </c>
      <c r="Y63" t="s">
        <v>1352</v>
      </c>
      <c r="Z63" t="s">
        <v>1353</v>
      </c>
      <c r="AA63" t="s">
        <v>1354</v>
      </c>
      <c r="AB63" t="s">
        <v>1355</v>
      </c>
      <c r="AC63" t="s">
        <v>1356</v>
      </c>
      <c r="AD63" t="s">
        <v>1357</v>
      </c>
      <c r="AE63" t="s">
        <v>1358</v>
      </c>
      <c r="AF63" t="s">
        <v>74</v>
      </c>
      <c r="AG63">
        <v>34</v>
      </c>
      <c r="AH63">
        <v>21</v>
      </c>
      <c r="AI63">
        <v>24</v>
      </c>
      <c r="AJ63">
        <v>3</v>
      </c>
      <c r="AK63">
        <v>25</v>
      </c>
      <c r="AL63" t="s">
        <v>997</v>
      </c>
      <c r="AM63" t="s">
        <v>998</v>
      </c>
      <c r="AN63" t="s">
        <v>1359</v>
      </c>
      <c r="AO63" t="s">
        <v>1163</v>
      </c>
      <c r="AP63" t="s">
        <v>1164</v>
      </c>
      <c r="AQ63" t="s">
        <v>74</v>
      </c>
      <c r="AR63" t="s">
        <v>1165</v>
      </c>
      <c r="AS63" t="s">
        <v>1166</v>
      </c>
      <c r="AT63" t="s">
        <v>559</v>
      </c>
      <c r="AU63">
        <v>2012</v>
      </c>
      <c r="AV63">
        <v>25</v>
      </c>
      <c r="AW63">
        <v>9</v>
      </c>
      <c r="AX63" t="s">
        <v>74</v>
      </c>
      <c r="AY63" t="s">
        <v>74</v>
      </c>
      <c r="AZ63" t="s">
        <v>74</v>
      </c>
      <c r="BA63" t="s">
        <v>74</v>
      </c>
      <c r="BB63">
        <v>3145</v>
      </c>
      <c r="BC63">
        <v>3154</v>
      </c>
      <c r="BD63" t="s">
        <v>74</v>
      </c>
      <c r="BE63" t="s">
        <v>1360</v>
      </c>
      <c r="BF63" t="str">
        <f>HYPERLINK("http://dx.doi.org/10.1175/JCLI-D-11-00383.1","http://dx.doi.org/10.1175/JCLI-D-11-00383.1")</f>
        <v>http://dx.doi.org/10.1175/JCLI-D-11-00383.1</v>
      </c>
      <c r="BG63" t="s">
        <v>74</v>
      </c>
      <c r="BH63" t="s">
        <v>74</v>
      </c>
      <c r="BI63">
        <v>10</v>
      </c>
      <c r="BJ63" t="s">
        <v>128</v>
      </c>
      <c r="BK63" t="s">
        <v>99</v>
      </c>
      <c r="BL63" t="s">
        <v>128</v>
      </c>
      <c r="BM63" t="s">
        <v>1361</v>
      </c>
      <c r="BN63" t="s">
        <v>74</v>
      </c>
      <c r="BO63" t="s">
        <v>217</v>
      </c>
      <c r="BP63" t="s">
        <v>74</v>
      </c>
      <c r="BQ63" t="s">
        <v>74</v>
      </c>
      <c r="BR63" t="s">
        <v>101</v>
      </c>
      <c r="BS63" t="s">
        <v>1362</v>
      </c>
      <c r="BT63" t="str">
        <f>HYPERLINK("https%3A%2F%2Fwww.webofscience.com%2Fwos%2Fwoscc%2Ffull-record%2FWOS:000303822700005","View Full Record in Web of Science")</f>
        <v>View Full Record in Web of Science</v>
      </c>
    </row>
    <row r="64" spans="1:72" x14ac:dyDescent="0.15">
      <c r="A64" t="s">
        <v>72</v>
      </c>
      <c r="B64" t="s">
        <v>1363</v>
      </c>
      <c r="C64" t="s">
        <v>74</v>
      </c>
      <c r="D64" t="s">
        <v>74</v>
      </c>
      <c r="E64" t="s">
        <v>74</v>
      </c>
      <c r="F64" t="s">
        <v>1364</v>
      </c>
      <c r="G64" t="s">
        <v>74</v>
      </c>
      <c r="H64" t="s">
        <v>74</v>
      </c>
      <c r="I64" t="s">
        <v>1365</v>
      </c>
      <c r="J64" t="s">
        <v>1151</v>
      </c>
      <c r="K64" t="s">
        <v>74</v>
      </c>
      <c r="L64" t="s">
        <v>74</v>
      </c>
      <c r="M64" t="s">
        <v>78</v>
      </c>
      <c r="N64" t="s">
        <v>79</v>
      </c>
      <c r="O64" t="s">
        <v>74</v>
      </c>
      <c r="P64" t="s">
        <v>74</v>
      </c>
      <c r="Q64" t="s">
        <v>74</v>
      </c>
      <c r="R64" t="s">
        <v>74</v>
      </c>
      <c r="S64" t="s">
        <v>74</v>
      </c>
      <c r="T64" t="s">
        <v>74</v>
      </c>
      <c r="U64" t="s">
        <v>1366</v>
      </c>
      <c r="V64" t="s">
        <v>1367</v>
      </c>
      <c r="W64" t="s">
        <v>1368</v>
      </c>
      <c r="X64" t="s">
        <v>1369</v>
      </c>
      <c r="Y64" t="s">
        <v>1370</v>
      </c>
      <c r="Z64" t="s">
        <v>1371</v>
      </c>
      <c r="AA64" t="s">
        <v>1372</v>
      </c>
      <c r="AB64" t="s">
        <v>1373</v>
      </c>
      <c r="AC64" t="s">
        <v>1374</v>
      </c>
      <c r="AD64" t="s">
        <v>1375</v>
      </c>
      <c r="AE64" t="s">
        <v>1376</v>
      </c>
      <c r="AF64" t="s">
        <v>74</v>
      </c>
      <c r="AG64">
        <v>54</v>
      </c>
      <c r="AH64">
        <v>25</v>
      </c>
      <c r="AI64">
        <v>26</v>
      </c>
      <c r="AJ64">
        <v>0</v>
      </c>
      <c r="AK64">
        <v>16</v>
      </c>
      <c r="AL64" t="s">
        <v>997</v>
      </c>
      <c r="AM64" t="s">
        <v>998</v>
      </c>
      <c r="AN64" t="s">
        <v>999</v>
      </c>
      <c r="AO64" t="s">
        <v>1163</v>
      </c>
      <c r="AP64" t="s">
        <v>1164</v>
      </c>
      <c r="AQ64" t="s">
        <v>74</v>
      </c>
      <c r="AR64" t="s">
        <v>1165</v>
      </c>
      <c r="AS64" t="s">
        <v>1166</v>
      </c>
      <c r="AT64" t="s">
        <v>559</v>
      </c>
      <c r="AU64">
        <v>2012</v>
      </c>
      <c r="AV64">
        <v>25</v>
      </c>
      <c r="AW64">
        <v>9</v>
      </c>
      <c r="AX64" t="s">
        <v>74</v>
      </c>
      <c r="AY64" t="s">
        <v>74</v>
      </c>
      <c r="AZ64" t="s">
        <v>74</v>
      </c>
      <c r="BA64" t="s">
        <v>74</v>
      </c>
      <c r="BB64">
        <v>3336</v>
      </c>
      <c r="BC64">
        <v>3354</v>
      </c>
      <c r="BD64" t="s">
        <v>74</v>
      </c>
      <c r="BE64" t="s">
        <v>1377</v>
      </c>
      <c r="BF64" t="str">
        <f>HYPERLINK("http://dx.doi.org/10.1175/JCLI-D-11-00160.1","http://dx.doi.org/10.1175/JCLI-D-11-00160.1")</f>
        <v>http://dx.doi.org/10.1175/JCLI-D-11-00160.1</v>
      </c>
      <c r="BG64" t="s">
        <v>74</v>
      </c>
      <c r="BH64" t="s">
        <v>74</v>
      </c>
      <c r="BI64">
        <v>19</v>
      </c>
      <c r="BJ64" t="s">
        <v>128</v>
      </c>
      <c r="BK64" t="s">
        <v>99</v>
      </c>
      <c r="BL64" t="s">
        <v>128</v>
      </c>
      <c r="BM64" t="s">
        <v>1361</v>
      </c>
      <c r="BN64" t="s">
        <v>74</v>
      </c>
      <c r="BO64" t="s">
        <v>1094</v>
      </c>
      <c r="BP64" t="s">
        <v>74</v>
      </c>
      <c r="BQ64" t="s">
        <v>74</v>
      </c>
      <c r="BR64" t="s">
        <v>101</v>
      </c>
      <c r="BS64" t="s">
        <v>1378</v>
      </c>
      <c r="BT64" t="str">
        <f>HYPERLINK("https%3A%2F%2Fwww.webofscience.com%2Fwos%2Fwoscc%2Ffull-record%2FWOS:000303822700017","View Full Record in Web of Science")</f>
        <v>View Full Record in Web of Science</v>
      </c>
    </row>
    <row r="65" spans="1:72" x14ac:dyDescent="0.15">
      <c r="A65" t="s">
        <v>72</v>
      </c>
      <c r="B65" t="s">
        <v>1379</v>
      </c>
      <c r="C65" t="s">
        <v>74</v>
      </c>
      <c r="D65" t="s">
        <v>74</v>
      </c>
      <c r="E65" t="s">
        <v>74</v>
      </c>
      <c r="F65" t="s">
        <v>1380</v>
      </c>
      <c r="G65" t="s">
        <v>74</v>
      </c>
      <c r="H65" t="s">
        <v>74</v>
      </c>
      <c r="I65" t="s">
        <v>1381</v>
      </c>
      <c r="J65" t="s">
        <v>1382</v>
      </c>
      <c r="K65" t="s">
        <v>74</v>
      </c>
      <c r="L65" t="s">
        <v>74</v>
      </c>
      <c r="M65" t="s">
        <v>78</v>
      </c>
      <c r="N65" t="s">
        <v>79</v>
      </c>
      <c r="O65" t="s">
        <v>74</v>
      </c>
      <c r="P65" t="s">
        <v>74</v>
      </c>
      <c r="Q65" t="s">
        <v>74</v>
      </c>
      <c r="R65" t="s">
        <v>74</v>
      </c>
      <c r="S65" t="s">
        <v>74</v>
      </c>
      <c r="T65" t="s">
        <v>74</v>
      </c>
      <c r="U65" t="s">
        <v>1383</v>
      </c>
      <c r="V65" t="s">
        <v>1384</v>
      </c>
      <c r="W65" t="s">
        <v>1385</v>
      </c>
      <c r="X65" t="s">
        <v>1386</v>
      </c>
      <c r="Y65" t="s">
        <v>1387</v>
      </c>
      <c r="Z65" t="s">
        <v>1388</v>
      </c>
      <c r="AA65" t="s">
        <v>1389</v>
      </c>
      <c r="AB65" t="s">
        <v>1390</v>
      </c>
      <c r="AC65" t="s">
        <v>1391</v>
      </c>
      <c r="AD65" t="s">
        <v>1392</v>
      </c>
      <c r="AE65" t="s">
        <v>1393</v>
      </c>
      <c r="AF65" t="s">
        <v>74</v>
      </c>
      <c r="AG65">
        <v>79</v>
      </c>
      <c r="AH65">
        <v>39</v>
      </c>
      <c r="AI65">
        <v>44</v>
      </c>
      <c r="AJ65">
        <v>0</v>
      </c>
      <c r="AK65">
        <v>73</v>
      </c>
      <c r="AL65" t="s">
        <v>1394</v>
      </c>
      <c r="AM65" t="s">
        <v>119</v>
      </c>
      <c r="AN65" t="s">
        <v>1395</v>
      </c>
      <c r="AO65" t="s">
        <v>1396</v>
      </c>
      <c r="AP65" t="s">
        <v>1397</v>
      </c>
      <c r="AQ65" t="s">
        <v>74</v>
      </c>
      <c r="AR65" t="s">
        <v>1398</v>
      </c>
      <c r="AS65" t="s">
        <v>1399</v>
      </c>
      <c r="AT65" t="s">
        <v>1064</v>
      </c>
      <c r="AU65">
        <v>2012</v>
      </c>
      <c r="AV65">
        <v>46</v>
      </c>
      <c r="AW65">
        <v>9</v>
      </c>
      <c r="AX65" t="s">
        <v>74</v>
      </c>
      <c r="AY65" t="s">
        <v>74</v>
      </c>
      <c r="AZ65" t="s">
        <v>74</v>
      </c>
      <c r="BA65" t="s">
        <v>74</v>
      </c>
      <c r="BB65">
        <v>4958</v>
      </c>
      <c r="BC65">
        <v>4965</v>
      </c>
      <c r="BD65" t="s">
        <v>74</v>
      </c>
      <c r="BE65" t="s">
        <v>1400</v>
      </c>
      <c r="BF65" t="str">
        <f>HYPERLINK("http://dx.doi.org/10.1021/es2040703","http://dx.doi.org/10.1021/es2040703")</f>
        <v>http://dx.doi.org/10.1021/es2040703</v>
      </c>
      <c r="BG65" t="s">
        <v>74</v>
      </c>
      <c r="BH65" t="s">
        <v>74</v>
      </c>
      <c r="BI65">
        <v>8</v>
      </c>
      <c r="BJ65" t="s">
        <v>1401</v>
      </c>
      <c r="BK65" t="s">
        <v>99</v>
      </c>
      <c r="BL65" t="s">
        <v>1402</v>
      </c>
      <c r="BM65" t="s">
        <v>1403</v>
      </c>
      <c r="BN65">
        <v>22480265</v>
      </c>
      <c r="BO65" t="s">
        <v>74</v>
      </c>
      <c r="BP65" t="s">
        <v>74</v>
      </c>
      <c r="BQ65" t="s">
        <v>74</v>
      </c>
      <c r="BR65" t="s">
        <v>101</v>
      </c>
      <c r="BS65" t="s">
        <v>1404</v>
      </c>
      <c r="BT65" t="str">
        <f>HYPERLINK("https%3A%2F%2Fwww.webofscience.com%2Fwos%2Fwoscc%2Ffull-record%2FWOS:000303348800040","View Full Record in Web of Science")</f>
        <v>View Full Record in Web of Science</v>
      </c>
    </row>
    <row r="66" spans="1:72" x14ac:dyDescent="0.15">
      <c r="A66" t="s">
        <v>72</v>
      </c>
      <c r="B66" t="s">
        <v>1405</v>
      </c>
      <c r="C66" t="s">
        <v>74</v>
      </c>
      <c r="D66" t="s">
        <v>74</v>
      </c>
      <c r="E66" t="s">
        <v>74</v>
      </c>
      <c r="F66" t="s">
        <v>1406</v>
      </c>
      <c r="G66" t="s">
        <v>74</v>
      </c>
      <c r="H66" t="s">
        <v>74</v>
      </c>
      <c r="I66" t="s">
        <v>1407</v>
      </c>
      <c r="J66" t="s">
        <v>1408</v>
      </c>
      <c r="K66" t="s">
        <v>74</v>
      </c>
      <c r="L66" t="s">
        <v>74</v>
      </c>
      <c r="M66" t="s">
        <v>78</v>
      </c>
      <c r="N66" t="s">
        <v>79</v>
      </c>
      <c r="O66" t="s">
        <v>74</v>
      </c>
      <c r="P66" t="s">
        <v>74</v>
      </c>
      <c r="Q66" t="s">
        <v>74</v>
      </c>
      <c r="R66" t="s">
        <v>74</v>
      </c>
      <c r="S66" t="s">
        <v>74</v>
      </c>
      <c r="T66" t="s">
        <v>74</v>
      </c>
      <c r="U66" t="s">
        <v>1409</v>
      </c>
      <c r="V66" t="s">
        <v>1410</v>
      </c>
      <c r="W66" t="s">
        <v>1411</v>
      </c>
      <c r="X66" t="s">
        <v>1412</v>
      </c>
      <c r="Y66" t="s">
        <v>1413</v>
      </c>
      <c r="Z66" t="s">
        <v>74</v>
      </c>
      <c r="AA66" t="s">
        <v>1414</v>
      </c>
      <c r="AB66" t="s">
        <v>1415</v>
      </c>
      <c r="AC66" t="s">
        <v>1416</v>
      </c>
      <c r="AD66" t="s">
        <v>1417</v>
      </c>
      <c r="AE66" t="s">
        <v>1418</v>
      </c>
      <c r="AF66" t="s">
        <v>74</v>
      </c>
      <c r="AG66">
        <v>33</v>
      </c>
      <c r="AH66">
        <v>186</v>
      </c>
      <c r="AI66">
        <v>209</v>
      </c>
      <c r="AJ66">
        <v>3</v>
      </c>
      <c r="AK66">
        <v>95</v>
      </c>
      <c r="AL66" t="s">
        <v>1419</v>
      </c>
      <c r="AM66" t="s">
        <v>737</v>
      </c>
      <c r="AN66" t="s">
        <v>1420</v>
      </c>
      <c r="AO66" t="s">
        <v>1421</v>
      </c>
      <c r="AP66" t="s">
        <v>1422</v>
      </c>
      <c r="AQ66" t="s">
        <v>74</v>
      </c>
      <c r="AR66" t="s">
        <v>1408</v>
      </c>
      <c r="AS66" t="s">
        <v>195</v>
      </c>
      <c r="AT66" t="s">
        <v>559</v>
      </c>
      <c r="AU66">
        <v>2012</v>
      </c>
      <c r="AV66">
        <v>40</v>
      </c>
      <c r="AW66">
        <v>5</v>
      </c>
      <c r="AX66" t="s">
        <v>74</v>
      </c>
      <c r="AY66" t="s">
        <v>74</v>
      </c>
      <c r="AZ66" t="s">
        <v>74</v>
      </c>
      <c r="BA66" t="s">
        <v>74</v>
      </c>
      <c r="BB66">
        <v>407</v>
      </c>
      <c r="BC66">
        <v>410</v>
      </c>
      <c r="BD66" t="s">
        <v>74</v>
      </c>
      <c r="BE66" t="s">
        <v>1423</v>
      </c>
      <c r="BF66" t="str">
        <f>HYPERLINK("http://dx.doi.org/10.1130/G32869.1","http://dx.doi.org/10.1130/G32869.1")</f>
        <v>http://dx.doi.org/10.1130/G32869.1</v>
      </c>
      <c r="BG66" t="s">
        <v>74</v>
      </c>
      <c r="BH66" t="s">
        <v>74</v>
      </c>
      <c r="BI66">
        <v>4</v>
      </c>
      <c r="BJ66" t="s">
        <v>195</v>
      </c>
      <c r="BK66" t="s">
        <v>99</v>
      </c>
      <c r="BL66" t="s">
        <v>195</v>
      </c>
      <c r="BM66" t="s">
        <v>1424</v>
      </c>
      <c r="BN66" t="s">
        <v>74</v>
      </c>
      <c r="BO66" t="s">
        <v>74</v>
      </c>
      <c r="BP66" t="s">
        <v>74</v>
      </c>
      <c r="BQ66" t="s">
        <v>74</v>
      </c>
      <c r="BR66" t="s">
        <v>101</v>
      </c>
      <c r="BS66" t="s">
        <v>1425</v>
      </c>
      <c r="BT66" t="str">
        <f>HYPERLINK("https%3A%2F%2Fwww.webofscience.com%2Fwos%2Fwoscc%2Ffull-record%2FWOS:000303404700009","View Full Record in Web of Science")</f>
        <v>View Full Record in Web of Science</v>
      </c>
    </row>
    <row r="67" spans="1:72" x14ac:dyDescent="0.15">
      <c r="A67" t="s">
        <v>72</v>
      </c>
      <c r="B67" t="s">
        <v>1426</v>
      </c>
      <c r="C67" t="s">
        <v>74</v>
      </c>
      <c r="D67" t="s">
        <v>74</v>
      </c>
      <c r="E67" t="s">
        <v>74</v>
      </c>
      <c r="F67" t="s">
        <v>1427</v>
      </c>
      <c r="G67" t="s">
        <v>74</v>
      </c>
      <c r="H67" t="s">
        <v>74</v>
      </c>
      <c r="I67" t="s">
        <v>1428</v>
      </c>
      <c r="J67" t="s">
        <v>1429</v>
      </c>
      <c r="K67" t="s">
        <v>74</v>
      </c>
      <c r="L67" t="s">
        <v>74</v>
      </c>
      <c r="M67" t="s">
        <v>78</v>
      </c>
      <c r="N67" t="s">
        <v>79</v>
      </c>
      <c r="O67" t="s">
        <v>74</v>
      </c>
      <c r="P67" t="s">
        <v>74</v>
      </c>
      <c r="Q67" t="s">
        <v>74</v>
      </c>
      <c r="R67" t="s">
        <v>74</v>
      </c>
      <c r="S67" t="s">
        <v>74</v>
      </c>
      <c r="T67" t="s">
        <v>1430</v>
      </c>
      <c r="U67" t="s">
        <v>1431</v>
      </c>
      <c r="V67" t="s">
        <v>1432</v>
      </c>
      <c r="W67" t="s">
        <v>1433</v>
      </c>
      <c r="X67" t="s">
        <v>1434</v>
      </c>
      <c r="Y67" t="s">
        <v>1435</v>
      </c>
      <c r="Z67" t="s">
        <v>1436</v>
      </c>
      <c r="AA67" t="s">
        <v>1437</v>
      </c>
      <c r="AB67" t="s">
        <v>1438</v>
      </c>
      <c r="AC67" t="s">
        <v>1439</v>
      </c>
      <c r="AD67" t="s">
        <v>1440</v>
      </c>
      <c r="AE67" t="s">
        <v>1441</v>
      </c>
      <c r="AF67" t="s">
        <v>74</v>
      </c>
      <c r="AG67">
        <v>56</v>
      </c>
      <c r="AH67">
        <v>45</v>
      </c>
      <c r="AI67">
        <v>47</v>
      </c>
      <c r="AJ67">
        <v>2</v>
      </c>
      <c r="AK67">
        <v>32</v>
      </c>
      <c r="AL67" t="s">
        <v>655</v>
      </c>
      <c r="AM67" t="s">
        <v>1442</v>
      </c>
      <c r="AN67" t="s">
        <v>1443</v>
      </c>
      <c r="AO67" t="s">
        <v>1444</v>
      </c>
      <c r="AP67" t="s">
        <v>1445</v>
      </c>
      <c r="AQ67" t="s">
        <v>74</v>
      </c>
      <c r="AR67" t="s">
        <v>1446</v>
      </c>
      <c r="AS67" t="s">
        <v>1447</v>
      </c>
      <c r="AT67" t="s">
        <v>559</v>
      </c>
      <c r="AU67">
        <v>2012</v>
      </c>
      <c r="AV67">
        <v>28</v>
      </c>
      <c r="AW67">
        <v>5</v>
      </c>
      <c r="AX67" t="s">
        <v>74</v>
      </c>
      <c r="AY67" t="s">
        <v>74</v>
      </c>
      <c r="AZ67" t="s">
        <v>74</v>
      </c>
      <c r="BA67" t="s">
        <v>74</v>
      </c>
      <c r="BB67">
        <v>2125</v>
      </c>
      <c r="BC67">
        <v>2137</v>
      </c>
      <c r="BD67" t="s">
        <v>74</v>
      </c>
      <c r="BE67" t="s">
        <v>1448</v>
      </c>
      <c r="BF67" t="str">
        <f>HYPERLINK("http://dx.doi.org/10.1007/s11274-012-1018-1","http://dx.doi.org/10.1007/s11274-012-1018-1")</f>
        <v>http://dx.doi.org/10.1007/s11274-012-1018-1</v>
      </c>
      <c r="BG67" t="s">
        <v>74</v>
      </c>
      <c r="BH67" t="s">
        <v>74</v>
      </c>
      <c r="BI67">
        <v>13</v>
      </c>
      <c r="BJ67" t="s">
        <v>893</v>
      </c>
      <c r="BK67" t="s">
        <v>99</v>
      </c>
      <c r="BL67" t="s">
        <v>893</v>
      </c>
      <c r="BM67" t="s">
        <v>1449</v>
      </c>
      <c r="BN67">
        <v>22806035</v>
      </c>
      <c r="BO67" t="s">
        <v>74</v>
      </c>
      <c r="BP67" t="s">
        <v>74</v>
      </c>
      <c r="BQ67" t="s">
        <v>74</v>
      </c>
      <c r="BR67" t="s">
        <v>101</v>
      </c>
      <c r="BS67" t="s">
        <v>1450</v>
      </c>
      <c r="BT67" t="str">
        <f>HYPERLINK("https%3A%2F%2Fwww.webofscience.com%2Fwos%2Fwoscc%2Ffull-record%2FWOS:000303385900029","View Full Record in Web of Science")</f>
        <v>View Full Record in Web of Science</v>
      </c>
    </row>
    <row r="68" spans="1:72" x14ac:dyDescent="0.15">
      <c r="A68" t="s">
        <v>72</v>
      </c>
      <c r="B68" t="s">
        <v>1451</v>
      </c>
      <c r="C68" t="s">
        <v>74</v>
      </c>
      <c r="D68" t="s">
        <v>74</v>
      </c>
      <c r="E68" t="s">
        <v>74</v>
      </c>
      <c r="F68" t="s">
        <v>1452</v>
      </c>
      <c r="G68" t="s">
        <v>74</v>
      </c>
      <c r="H68" t="s">
        <v>74</v>
      </c>
      <c r="I68" t="s">
        <v>1453</v>
      </c>
      <c r="J68" t="s">
        <v>1454</v>
      </c>
      <c r="K68" t="s">
        <v>74</v>
      </c>
      <c r="L68" t="s">
        <v>74</v>
      </c>
      <c r="M68" t="s">
        <v>78</v>
      </c>
      <c r="N68" t="s">
        <v>79</v>
      </c>
      <c r="O68" t="s">
        <v>74</v>
      </c>
      <c r="P68" t="s">
        <v>74</v>
      </c>
      <c r="Q68" t="s">
        <v>74</v>
      </c>
      <c r="R68" t="s">
        <v>74</v>
      </c>
      <c r="S68" t="s">
        <v>74</v>
      </c>
      <c r="T68" t="s">
        <v>1455</v>
      </c>
      <c r="U68" t="s">
        <v>1456</v>
      </c>
      <c r="V68" t="s">
        <v>1457</v>
      </c>
      <c r="W68" t="s">
        <v>1458</v>
      </c>
      <c r="X68" t="s">
        <v>1459</v>
      </c>
      <c r="Y68" t="s">
        <v>1460</v>
      </c>
      <c r="Z68" t="s">
        <v>1461</v>
      </c>
      <c r="AA68" t="s">
        <v>74</v>
      </c>
      <c r="AB68" t="s">
        <v>74</v>
      </c>
      <c r="AC68" t="s">
        <v>1462</v>
      </c>
      <c r="AD68" t="s">
        <v>1463</v>
      </c>
      <c r="AE68" t="s">
        <v>1464</v>
      </c>
      <c r="AF68" t="s">
        <v>74</v>
      </c>
      <c r="AG68">
        <v>21</v>
      </c>
      <c r="AH68">
        <v>8</v>
      </c>
      <c r="AI68">
        <v>10</v>
      </c>
      <c r="AJ68">
        <v>0</v>
      </c>
      <c r="AK68">
        <v>7</v>
      </c>
      <c r="AL68" t="s">
        <v>1083</v>
      </c>
      <c r="AM68" t="s">
        <v>1084</v>
      </c>
      <c r="AN68" t="s">
        <v>1085</v>
      </c>
      <c r="AO68" t="s">
        <v>1465</v>
      </c>
      <c r="AP68" t="s">
        <v>1466</v>
      </c>
      <c r="AQ68" t="s">
        <v>74</v>
      </c>
      <c r="AR68" t="s">
        <v>1467</v>
      </c>
      <c r="AS68" t="s">
        <v>1468</v>
      </c>
      <c r="AT68" t="s">
        <v>559</v>
      </c>
      <c r="AU68">
        <v>2012</v>
      </c>
      <c r="AV68">
        <v>29</v>
      </c>
      <c r="AW68">
        <v>3</v>
      </c>
      <c r="AX68" t="s">
        <v>74</v>
      </c>
      <c r="AY68" t="s">
        <v>74</v>
      </c>
      <c r="AZ68" t="s">
        <v>74</v>
      </c>
      <c r="BA68" t="s">
        <v>74</v>
      </c>
      <c r="BB68">
        <v>464</v>
      </c>
      <c r="BC68">
        <v>470</v>
      </c>
      <c r="BD68" t="s">
        <v>74</v>
      </c>
      <c r="BE68" t="s">
        <v>1469</v>
      </c>
      <c r="BF68" t="str">
        <f>HYPERLINK("http://dx.doi.org/10.1007/s00376-011-1143-z","http://dx.doi.org/10.1007/s00376-011-1143-z")</f>
        <v>http://dx.doi.org/10.1007/s00376-011-1143-z</v>
      </c>
      <c r="BG68" t="s">
        <v>74</v>
      </c>
      <c r="BH68" t="s">
        <v>74</v>
      </c>
      <c r="BI68">
        <v>7</v>
      </c>
      <c r="BJ68" t="s">
        <v>128</v>
      </c>
      <c r="BK68" t="s">
        <v>99</v>
      </c>
      <c r="BL68" t="s">
        <v>128</v>
      </c>
      <c r="BM68" t="s">
        <v>1470</v>
      </c>
      <c r="BN68" t="s">
        <v>74</v>
      </c>
      <c r="BO68" t="s">
        <v>74</v>
      </c>
      <c r="BP68" t="s">
        <v>74</v>
      </c>
      <c r="BQ68" t="s">
        <v>74</v>
      </c>
      <c r="BR68" t="s">
        <v>101</v>
      </c>
      <c r="BS68" t="s">
        <v>1471</v>
      </c>
      <c r="BT68" t="str">
        <f>HYPERLINK("https%3A%2F%2Fwww.webofscience.com%2Fwos%2Fwoscc%2Ffull-record%2FWOS:000303058800004","View Full Record in Web of Science")</f>
        <v>View Full Record in Web of Science</v>
      </c>
    </row>
    <row r="69" spans="1:72" x14ac:dyDescent="0.15">
      <c r="A69" t="s">
        <v>72</v>
      </c>
      <c r="B69" t="s">
        <v>1472</v>
      </c>
      <c r="C69" t="s">
        <v>74</v>
      </c>
      <c r="D69" t="s">
        <v>74</v>
      </c>
      <c r="E69" t="s">
        <v>74</v>
      </c>
      <c r="F69" t="s">
        <v>1473</v>
      </c>
      <c r="G69" t="s">
        <v>74</v>
      </c>
      <c r="H69" t="s">
        <v>74</v>
      </c>
      <c r="I69" t="s">
        <v>1474</v>
      </c>
      <c r="J69" t="s">
        <v>1454</v>
      </c>
      <c r="K69" t="s">
        <v>74</v>
      </c>
      <c r="L69" t="s">
        <v>74</v>
      </c>
      <c r="M69" t="s">
        <v>78</v>
      </c>
      <c r="N69" t="s">
        <v>79</v>
      </c>
      <c r="O69" t="s">
        <v>74</v>
      </c>
      <c r="P69" t="s">
        <v>74</v>
      </c>
      <c r="Q69" t="s">
        <v>74</v>
      </c>
      <c r="R69" t="s">
        <v>74</v>
      </c>
      <c r="S69" t="s">
        <v>74</v>
      </c>
      <c r="T69" t="s">
        <v>1475</v>
      </c>
      <c r="U69" t="s">
        <v>1476</v>
      </c>
      <c r="V69" t="s">
        <v>1477</v>
      </c>
      <c r="W69" t="s">
        <v>1478</v>
      </c>
      <c r="X69" t="s">
        <v>1479</v>
      </c>
      <c r="Y69" t="s">
        <v>1480</v>
      </c>
      <c r="Z69" t="s">
        <v>1481</v>
      </c>
      <c r="AA69" t="s">
        <v>74</v>
      </c>
      <c r="AB69" t="s">
        <v>74</v>
      </c>
      <c r="AC69" t="s">
        <v>1482</v>
      </c>
      <c r="AD69" t="s">
        <v>1483</v>
      </c>
      <c r="AE69" t="s">
        <v>1484</v>
      </c>
      <c r="AF69" t="s">
        <v>74</v>
      </c>
      <c r="AG69">
        <v>48</v>
      </c>
      <c r="AH69">
        <v>3</v>
      </c>
      <c r="AI69">
        <v>4</v>
      </c>
      <c r="AJ69">
        <v>2</v>
      </c>
      <c r="AK69">
        <v>19</v>
      </c>
      <c r="AL69" t="s">
        <v>1083</v>
      </c>
      <c r="AM69" t="s">
        <v>1084</v>
      </c>
      <c r="AN69" t="s">
        <v>1085</v>
      </c>
      <c r="AO69" t="s">
        <v>1465</v>
      </c>
      <c r="AP69" t="s">
        <v>74</v>
      </c>
      <c r="AQ69" t="s">
        <v>74</v>
      </c>
      <c r="AR69" t="s">
        <v>1467</v>
      </c>
      <c r="AS69" t="s">
        <v>1468</v>
      </c>
      <c r="AT69" t="s">
        <v>559</v>
      </c>
      <c r="AU69">
        <v>2012</v>
      </c>
      <c r="AV69">
        <v>29</v>
      </c>
      <c r="AW69">
        <v>3</v>
      </c>
      <c r="AX69" t="s">
        <v>74</v>
      </c>
      <c r="AY69" t="s">
        <v>74</v>
      </c>
      <c r="AZ69" t="s">
        <v>74</v>
      </c>
      <c r="BA69" t="s">
        <v>74</v>
      </c>
      <c r="BB69">
        <v>544</v>
      </c>
      <c r="BC69">
        <v>560</v>
      </c>
      <c r="BD69" t="s">
        <v>74</v>
      </c>
      <c r="BE69" t="s">
        <v>1485</v>
      </c>
      <c r="BF69" t="str">
        <f>HYPERLINK("http://dx.doi.org/10.1007/s00376-011-1096-2","http://dx.doi.org/10.1007/s00376-011-1096-2")</f>
        <v>http://dx.doi.org/10.1007/s00376-011-1096-2</v>
      </c>
      <c r="BG69" t="s">
        <v>74</v>
      </c>
      <c r="BH69" t="s">
        <v>74</v>
      </c>
      <c r="BI69">
        <v>17</v>
      </c>
      <c r="BJ69" t="s">
        <v>128</v>
      </c>
      <c r="BK69" t="s">
        <v>99</v>
      </c>
      <c r="BL69" t="s">
        <v>128</v>
      </c>
      <c r="BM69" t="s">
        <v>1470</v>
      </c>
      <c r="BN69" t="s">
        <v>74</v>
      </c>
      <c r="BO69" t="s">
        <v>74</v>
      </c>
      <c r="BP69" t="s">
        <v>74</v>
      </c>
      <c r="BQ69" t="s">
        <v>74</v>
      </c>
      <c r="BR69" t="s">
        <v>101</v>
      </c>
      <c r="BS69" t="s">
        <v>1486</v>
      </c>
      <c r="BT69" t="str">
        <f>HYPERLINK("https%3A%2F%2Fwww.webofscience.com%2Fwos%2Fwoscc%2Ffull-record%2FWOS:000303058800012","View Full Record in Web of Science")</f>
        <v>View Full Record in Web of Science</v>
      </c>
    </row>
    <row r="70" spans="1:72" x14ac:dyDescent="0.15">
      <c r="A70" t="s">
        <v>72</v>
      </c>
      <c r="B70" t="s">
        <v>1487</v>
      </c>
      <c r="C70" t="s">
        <v>74</v>
      </c>
      <c r="D70" t="s">
        <v>74</v>
      </c>
      <c r="E70" t="s">
        <v>74</v>
      </c>
      <c r="F70" t="s">
        <v>1488</v>
      </c>
      <c r="G70" t="s">
        <v>74</v>
      </c>
      <c r="H70" t="s">
        <v>74</v>
      </c>
      <c r="I70" t="s">
        <v>1489</v>
      </c>
      <c r="J70" t="s">
        <v>1490</v>
      </c>
      <c r="K70" t="s">
        <v>74</v>
      </c>
      <c r="L70" t="s">
        <v>74</v>
      </c>
      <c r="M70" t="s">
        <v>78</v>
      </c>
      <c r="N70" t="s">
        <v>79</v>
      </c>
      <c r="O70" t="s">
        <v>74</v>
      </c>
      <c r="P70" t="s">
        <v>74</v>
      </c>
      <c r="Q70" t="s">
        <v>74</v>
      </c>
      <c r="R70" t="s">
        <v>74</v>
      </c>
      <c r="S70" t="s">
        <v>74</v>
      </c>
      <c r="T70" t="s">
        <v>1491</v>
      </c>
      <c r="U70" t="s">
        <v>1492</v>
      </c>
      <c r="V70" t="s">
        <v>1493</v>
      </c>
      <c r="W70" t="s">
        <v>1494</v>
      </c>
      <c r="X70" t="s">
        <v>1495</v>
      </c>
      <c r="Y70" t="s">
        <v>1496</v>
      </c>
      <c r="Z70" t="s">
        <v>1497</v>
      </c>
      <c r="AA70" t="s">
        <v>1498</v>
      </c>
      <c r="AB70" t="s">
        <v>1499</v>
      </c>
      <c r="AC70" t="s">
        <v>1500</v>
      </c>
      <c r="AD70" t="s">
        <v>1501</v>
      </c>
      <c r="AE70" t="s">
        <v>1502</v>
      </c>
      <c r="AF70" t="s">
        <v>74</v>
      </c>
      <c r="AG70">
        <v>25</v>
      </c>
      <c r="AH70">
        <v>18</v>
      </c>
      <c r="AI70">
        <v>25</v>
      </c>
      <c r="AJ70">
        <v>9</v>
      </c>
      <c r="AK70">
        <v>71</v>
      </c>
      <c r="AL70" t="s">
        <v>1083</v>
      </c>
      <c r="AM70" t="s">
        <v>1084</v>
      </c>
      <c r="AN70" t="s">
        <v>1085</v>
      </c>
      <c r="AO70" t="s">
        <v>1503</v>
      </c>
      <c r="AP70" t="s">
        <v>1504</v>
      </c>
      <c r="AQ70" t="s">
        <v>74</v>
      </c>
      <c r="AR70" t="s">
        <v>1505</v>
      </c>
      <c r="AS70" t="s">
        <v>1506</v>
      </c>
      <c r="AT70" t="s">
        <v>559</v>
      </c>
      <c r="AU70">
        <v>2012</v>
      </c>
      <c r="AV70">
        <v>57</v>
      </c>
      <c r="AW70">
        <v>13</v>
      </c>
      <c r="AX70" t="s">
        <v>74</v>
      </c>
      <c r="AY70" t="s">
        <v>74</v>
      </c>
      <c r="AZ70" t="s">
        <v>74</v>
      </c>
      <c r="BA70" t="s">
        <v>74</v>
      </c>
      <c r="BB70">
        <v>1499</v>
      </c>
      <c r="BC70">
        <v>1503</v>
      </c>
      <c r="BD70" t="s">
        <v>74</v>
      </c>
      <c r="BE70" t="s">
        <v>1507</v>
      </c>
      <c r="BF70" t="str">
        <f>HYPERLINK("http://dx.doi.org/10.1007/s11434-012-5048-8","http://dx.doi.org/10.1007/s11434-012-5048-8")</f>
        <v>http://dx.doi.org/10.1007/s11434-012-5048-8</v>
      </c>
      <c r="BG70" t="s">
        <v>74</v>
      </c>
      <c r="BH70" t="s">
        <v>74</v>
      </c>
      <c r="BI70">
        <v>5</v>
      </c>
      <c r="BJ70" t="s">
        <v>153</v>
      </c>
      <c r="BK70" t="s">
        <v>99</v>
      </c>
      <c r="BL70" t="s">
        <v>154</v>
      </c>
      <c r="BM70" t="s">
        <v>1508</v>
      </c>
      <c r="BN70" t="s">
        <v>74</v>
      </c>
      <c r="BO70" t="s">
        <v>217</v>
      </c>
      <c r="BP70" t="s">
        <v>74</v>
      </c>
      <c r="BQ70" t="s">
        <v>74</v>
      </c>
      <c r="BR70" t="s">
        <v>101</v>
      </c>
      <c r="BS70" t="s">
        <v>1509</v>
      </c>
      <c r="BT70" t="str">
        <f>HYPERLINK("https%3A%2F%2Fwww.webofscience.com%2Fwos%2Fwoscc%2Ffull-record%2FWOS:000303388200006","View Full Record in Web of Science")</f>
        <v>View Full Record in Web of Science</v>
      </c>
    </row>
    <row r="71" spans="1:72" x14ac:dyDescent="0.15">
      <c r="A71" t="s">
        <v>72</v>
      </c>
      <c r="B71" t="s">
        <v>1510</v>
      </c>
      <c r="C71" t="s">
        <v>74</v>
      </c>
      <c r="D71" t="s">
        <v>74</v>
      </c>
      <c r="E71" t="s">
        <v>74</v>
      </c>
      <c r="F71" t="s">
        <v>1511</v>
      </c>
      <c r="G71" t="s">
        <v>74</v>
      </c>
      <c r="H71" t="s">
        <v>74</v>
      </c>
      <c r="I71" t="s">
        <v>1512</v>
      </c>
      <c r="J71" t="s">
        <v>1513</v>
      </c>
      <c r="K71" t="s">
        <v>74</v>
      </c>
      <c r="L71" t="s">
        <v>74</v>
      </c>
      <c r="M71" t="s">
        <v>78</v>
      </c>
      <c r="N71" t="s">
        <v>79</v>
      </c>
      <c r="O71" t="s">
        <v>74</v>
      </c>
      <c r="P71" t="s">
        <v>74</v>
      </c>
      <c r="Q71" t="s">
        <v>74</v>
      </c>
      <c r="R71" t="s">
        <v>74</v>
      </c>
      <c r="S71" t="s">
        <v>74</v>
      </c>
      <c r="T71" t="s">
        <v>1514</v>
      </c>
      <c r="U71" t="s">
        <v>1515</v>
      </c>
      <c r="V71" t="s">
        <v>1516</v>
      </c>
      <c r="W71" t="s">
        <v>1517</v>
      </c>
      <c r="X71" t="s">
        <v>1518</v>
      </c>
      <c r="Y71" t="s">
        <v>1519</v>
      </c>
      <c r="Z71" t="s">
        <v>1520</v>
      </c>
      <c r="AA71" t="s">
        <v>1521</v>
      </c>
      <c r="AB71" t="s">
        <v>1522</v>
      </c>
      <c r="AC71" t="s">
        <v>1523</v>
      </c>
      <c r="AD71" t="s">
        <v>1524</v>
      </c>
      <c r="AE71" t="s">
        <v>1525</v>
      </c>
      <c r="AF71" t="s">
        <v>74</v>
      </c>
      <c r="AG71">
        <v>130</v>
      </c>
      <c r="AH71">
        <v>15</v>
      </c>
      <c r="AI71">
        <v>17</v>
      </c>
      <c r="AJ71">
        <v>1</v>
      </c>
      <c r="AK71">
        <v>18</v>
      </c>
      <c r="AL71" t="s">
        <v>368</v>
      </c>
      <c r="AM71" t="s">
        <v>369</v>
      </c>
      <c r="AN71" t="s">
        <v>370</v>
      </c>
      <c r="AO71" t="s">
        <v>1526</v>
      </c>
      <c r="AP71" t="s">
        <v>1527</v>
      </c>
      <c r="AQ71" t="s">
        <v>74</v>
      </c>
      <c r="AR71" t="s">
        <v>1513</v>
      </c>
      <c r="AS71" t="s">
        <v>1528</v>
      </c>
      <c r="AT71" t="s">
        <v>559</v>
      </c>
      <c r="AU71">
        <v>2012</v>
      </c>
      <c r="AV71">
        <v>140</v>
      </c>
      <c r="AW71" t="s">
        <v>74</v>
      </c>
      <c r="AX71" t="s">
        <v>74</v>
      </c>
      <c r="AY71" t="s">
        <v>74</v>
      </c>
      <c r="AZ71" t="s">
        <v>74</v>
      </c>
      <c r="BA71" t="s">
        <v>74</v>
      </c>
      <c r="BB71">
        <v>200</v>
      </c>
      <c r="BC71">
        <v>223</v>
      </c>
      <c r="BD71" t="s">
        <v>74</v>
      </c>
      <c r="BE71" t="s">
        <v>1529</v>
      </c>
      <c r="BF71" t="str">
        <f>HYPERLINK("http://dx.doi.org/10.1016/j.lithos.2012.02.001","http://dx.doi.org/10.1016/j.lithos.2012.02.001")</f>
        <v>http://dx.doi.org/10.1016/j.lithos.2012.02.001</v>
      </c>
      <c r="BG71" t="s">
        <v>74</v>
      </c>
      <c r="BH71" t="s">
        <v>74</v>
      </c>
      <c r="BI71">
        <v>24</v>
      </c>
      <c r="BJ71" t="s">
        <v>1530</v>
      </c>
      <c r="BK71" t="s">
        <v>99</v>
      </c>
      <c r="BL71" t="s">
        <v>1530</v>
      </c>
      <c r="BM71" t="s">
        <v>1531</v>
      </c>
      <c r="BN71" t="s">
        <v>74</v>
      </c>
      <c r="BO71" t="s">
        <v>74</v>
      </c>
      <c r="BP71" t="s">
        <v>74</v>
      </c>
      <c r="BQ71" t="s">
        <v>74</v>
      </c>
      <c r="BR71" t="s">
        <v>101</v>
      </c>
      <c r="BS71" t="s">
        <v>1532</v>
      </c>
      <c r="BT71" t="str">
        <f>HYPERLINK("https%3A%2F%2Fwww.webofscience.com%2Fwos%2Fwoscc%2Ffull-record%2FWOS:000303095400014","View Full Record in Web of Science")</f>
        <v>View Full Record in Web of Science</v>
      </c>
    </row>
    <row r="72" spans="1:72" x14ac:dyDescent="0.15">
      <c r="A72" t="s">
        <v>72</v>
      </c>
      <c r="B72" t="s">
        <v>1533</v>
      </c>
      <c r="C72" t="s">
        <v>74</v>
      </c>
      <c r="D72" t="s">
        <v>74</v>
      </c>
      <c r="E72" t="s">
        <v>74</v>
      </c>
      <c r="F72" t="s">
        <v>1534</v>
      </c>
      <c r="G72" t="s">
        <v>74</v>
      </c>
      <c r="H72" t="s">
        <v>74</v>
      </c>
      <c r="I72" t="s">
        <v>1535</v>
      </c>
      <c r="J72" t="s">
        <v>1536</v>
      </c>
      <c r="K72" t="s">
        <v>74</v>
      </c>
      <c r="L72" t="s">
        <v>74</v>
      </c>
      <c r="M72" t="s">
        <v>78</v>
      </c>
      <c r="N72" t="s">
        <v>79</v>
      </c>
      <c r="O72" t="s">
        <v>74</v>
      </c>
      <c r="P72" t="s">
        <v>74</v>
      </c>
      <c r="Q72" t="s">
        <v>74</v>
      </c>
      <c r="R72" t="s">
        <v>74</v>
      </c>
      <c r="S72" t="s">
        <v>74</v>
      </c>
      <c r="T72" t="s">
        <v>1537</v>
      </c>
      <c r="U72" t="s">
        <v>1538</v>
      </c>
      <c r="V72" t="s">
        <v>1539</v>
      </c>
      <c r="W72" t="s">
        <v>1540</v>
      </c>
      <c r="X72" t="s">
        <v>1541</v>
      </c>
      <c r="Y72" t="s">
        <v>1542</v>
      </c>
      <c r="Z72" t="s">
        <v>1543</v>
      </c>
      <c r="AA72" t="s">
        <v>1544</v>
      </c>
      <c r="AB72" t="s">
        <v>1545</v>
      </c>
      <c r="AC72" t="s">
        <v>1546</v>
      </c>
      <c r="AD72" t="s">
        <v>1546</v>
      </c>
      <c r="AE72" t="s">
        <v>1547</v>
      </c>
      <c r="AF72" t="s">
        <v>74</v>
      </c>
      <c r="AG72">
        <v>50</v>
      </c>
      <c r="AH72">
        <v>33</v>
      </c>
      <c r="AI72">
        <v>34</v>
      </c>
      <c r="AJ72">
        <v>0</v>
      </c>
      <c r="AK72">
        <v>17</v>
      </c>
      <c r="AL72" t="s">
        <v>1548</v>
      </c>
      <c r="AM72" t="s">
        <v>656</v>
      </c>
      <c r="AN72" t="s">
        <v>1549</v>
      </c>
      <c r="AO72" t="s">
        <v>1550</v>
      </c>
      <c r="AP72" t="s">
        <v>1551</v>
      </c>
      <c r="AQ72" t="s">
        <v>74</v>
      </c>
      <c r="AR72" t="s">
        <v>1552</v>
      </c>
      <c r="AS72" t="s">
        <v>1553</v>
      </c>
      <c r="AT72" t="s">
        <v>559</v>
      </c>
      <c r="AU72">
        <v>2012</v>
      </c>
      <c r="AV72">
        <v>155</v>
      </c>
      <c r="AW72">
        <v>4</v>
      </c>
      <c r="AX72" t="s">
        <v>74</v>
      </c>
      <c r="AY72" t="s">
        <v>74</v>
      </c>
      <c r="AZ72" t="s">
        <v>74</v>
      </c>
      <c r="BA72" t="s">
        <v>74</v>
      </c>
      <c r="BB72">
        <v>580</v>
      </c>
      <c r="BC72">
        <v>586</v>
      </c>
      <c r="BD72" t="s">
        <v>74</v>
      </c>
      <c r="BE72" t="s">
        <v>1554</v>
      </c>
      <c r="BF72" t="str">
        <f>HYPERLINK("http://dx.doi.org/10.1016/j.cbpc.2012.01.008","http://dx.doi.org/10.1016/j.cbpc.2012.01.008")</f>
        <v>http://dx.doi.org/10.1016/j.cbpc.2012.01.008</v>
      </c>
      <c r="BG72" t="s">
        <v>74</v>
      </c>
      <c r="BH72" t="s">
        <v>74</v>
      </c>
      <c r="BI72">
        <v>7</v>
      </c>
      <c r="BJ72" t="s">
        <v>1555</v>
      </c>
      <c r="BK72" t="s">
        <v>99</v>
      </c>
      <c r="BL72" t="s">
        <v>1555</v>
      </c>
      <c r="BM72" t="s">
        <v>1556</v>
      </c>
      <c r="BN72">
        <v>22309987</v>
      </c>
      <c r="BO72" t="s">
        <v>74</v>
      </c>
      <c r="BP72" t="s">
        <v>74</v>
      </c>
      <c r="BQ72" t="s">
        <v>74</v>
      </c>
      <c r="BR72" t="s">
        <v>101</v>
      </c>
      <c r="BS72" t="s">
        <v>1557</v>
      </c>
      <c r="BT72" t="str">
        <f>HYPERLINK("https%3A%2F%2Fwww.webofscience.com%2Fwos%2Fwoscc%2Ffull-record%2FWOS:000302845300006","View Full Record in Web of Science")</f>
        <v>View Full Record in Web of Science</v>
      </c>
    </row>
    <row r="73" spans="1:72" x14ac:dyDescent="0.15">
      <c r="A73" t="s">
        <v>72</v>
      </c>
      <c r="B73" t="s">
        <v>1558</v>
      </c>
      <c r="C73" t="s">
        <v>74</v>
      </c>
      <c r="D73" t="s">
        <v>74</v>
      </c>
      <c r="E73" t="s">
        <v>74</v>
      </c>
      <c r="F73" t="s">
        <v>1559</v>
      </c>
      <c r="G73" t="s">
        <v>74</v>
      </c>
      <c r="H73" t="s">
        <v>74</v>
      </c>
      <c r="I73" t="s">
        <v>1560</v>
      </c>
      <c r="J73" t="s">
        <v>1561</v>
      </c>
      <c r="K73" t="s">
        <v>74</v>
      </c>
      <c r="L73" t="s">
        <v>74</v>
      </c>
      <c r="M73" t="s">
        <v>78</v>
      </c>
      <c r="N73" t="s">
        <v>1073</v>
      </c>
      <c r="O73" t="s">
        <v>74</v>
      </c>
      <c r="P73" t="s">
        <v>74</v>
      </c>
      <c r="Q73" t="s">
        <v>74</v>
      </c>
      <c r="R73" t="s">
        <v>74</v>
      </c>
      <c r="S73" t="s">
        <v>74</v>
      </c>
      <c r="T73" t="s">
        <v>1562</v>
      </c>
      <c r="U73" t="s">
        <v>1563</v>
      </c>
      <c r="V73" t="s">
        <v>1564</v>
      </c>
      <c r="W73" t="s">
        <v>1565</v>
      </c>
      <c r="X73" t="s">
        <v>1566</v>
      </c>
      <c r="Y73" t="s">
        <v>1567</v>
      </c>
      <c r="Z73" t="s">
        <v>1568</v>
      </c>
      <c r="AA73" t="s">
        <v>1569</v>
      </c>
      <c r="AB73" t="s">
        <v>74</v>
      </c>
      <c r="AC73" t="s">
        <v>1570</v>
      </c>
      <c r="AD73" t="s">
        <v>1571</v>
      </c>
      <c r="AE73" t="s">
        <v>1572</v>
      </c>
      <c r="AF73" t="s">
        <v>74</v>
      </c>
      <c r="AG73">
        <v>123</v>
      </c>
      <c r="AH73">
        <v>24</v>
      </c>
      <c r="AI73">
        <v>33</v>
      </c>
      <c r="AJ73">
        <v>3</v>
      </c>
      <c r="AK73">
        <v>76</v>
      </c>
      <c r="AL73" t="s">
        <v>627</v>
      </c>
      <c r="AM73" t="s">
        <v>628</v>
      </c>
      <c r="AN73" t="s">
        <v>629</v>
      </c>
      <c r="AO73" t="s">
        <v>1573</v>
      </c>
      <c r="AP73" t="s">
        <v>1574</v>
      </c>
      <c r="AQ73" t="s">
        <v>74</v>
      </c>
      <c r="AR73" t="s">
        <v>1575</v>
      </c>
      <c r="AS73" t="s">
        <v>1576</v>
      </c>
      <c r="AT73" t="s">
        <v>559</v>
      </c>
      <c r="AU73">
        <v>2012</v>
      </c>
      <c r="AV73">
        <v>194</v>
      </c>
      <c r="AW73">
        <v>3</v>
      </c>
      <c r="AX73" t="s">
        <v>74</v>
      </c>
      <c r="AY73" t="s">
        <v>74</v>
      </c>
      <c r="AZ73" t="s">
        <v>74</v>
      </c>
      <c r="BA73" t="s">
        <v>74</v>
      </c>
      <c r="BB73">
        <v>741</v>
      </c>
      <c r="BC73">
        <v>750</v>
      </c>
      <c r="BD73" t="s">
        <v>74</v>
      </c>
      <c r="BE73" t="s">
        <v>1577</v>
      </c>
      <c r="BF73" t="str">
        <f>HYPERLINK("http://dx.doi.org/10.1111/j.1469-8137.2012.04106.x","http://dx.doi.org/10.1111/j.1469-8137.2012.04106.x")</f>
        <v>http://dx.doi.org/10.1111/j.1469-8137.2012.04106.x</v>
      </c>
      <c r="BG73" t="s">
        <v>74</v>
      </c>
      <c r="BH73" t="s">
        <v>74</v>
      </c>
      <c r="BI73">
        <v>10</v>
      </c>
      <c r="BJ73" t="s">
        <v>396</v>
      </c>
      <c r="BK73" t="s">
        <v>99</v>
      </c>
      <c r="BL73" t="s">
        <v>396</v>
      </c>
      <c r="BM73" t="s">
        <v>1578</v>
      </c>
      <c r="BN73">
        <v>22420692</v>
      </c>
      <c r="BO73" t="s">
        <v>217</v>
      </c>
      <c r="BP73" t="s">
        <v>74</v>
      </c>
      <c r="BQ73" t="s">
        <v>74</v>
      </c>
      <c r="BR73" t="s">
        <v>101</v>
      </c>
      <c r="BS73" t="s">
        <v>1579</v>
      </c>
      <c r="BT73" t="str">
        <f>HYPERLINK("https%3A%2F%2Fwww.webofscience.com%2Fwos%2Fwoscc%2Ffull-record%2FWOS:000302618800016","View Full Record in Web of Science")</f>
        <v>View Full Record in Web of Science</v>
      </c>
    </row>
    <row r="74" spans="1:72" x14ac:dyDescent="0.15">
      <c r="A74" t="s">
        <v>72</v>
      </c>
      <c r="B74" t="s">
        <v>1580</v>
      </c>
      <c r="C74" t="s">
        <v>74</v>
      </c>
      <c r="D74" t="s">
        <v>74</v>
      </c>
      <c r="E74" t="s">
        <v>74</v>
      </c>
      <c r="F74" t="s">
        <v>1581</v>
      </c>
      <c r="G74" t="s">
        <v>74</v>
      </c>
      <c r="H74" t="s">
        <v>74</v>
      </c>
      <c r="I74" t="s">
        <v>1582</v>
      </c>
      <c r="J74" t="s">
        <v>1583</v>
      </c>
      <c r="K74" t="s">
        <v>74</v>
      </c>
      <c r="L74" t="s">
        <v>74</v>
      </c>
      <c r="M74" t="s">
        <v>78</v>
      </c>
      <c r="N74" t="s">
        <v>79</v>
      </c>
      <c r="O74" t="s">
        <v>74</v>
      </c>
      <c r="P74" t="s">
        <v>74</v>
      </c>
      <c r="Q74" t="s">
        <v>74</v>
      </c>
      <c r="R74" t="s">
        <v>74</v>
      </c>
      <c r="S74" t="s">
        <v>74</v>
      </c>
      <c r="T74" t="s">
        <v>1584</v>
      </c>
      <c r="U74" t="s">
        <v>1585</v>
      </c>
      <c r="V74" t="s">
        <v>1586</v>
      </c>
      <c r="W74" t="s">
        <v>1587</v>
      </c>
      <c r="X74" t="s">
        <v>1588</v>
      </c>
      <c r="Y74" t="s">
        <v>1589</v>
      </c>
      <c r="Z74" t="s">
        <v>1590</v>
      </c>
      <c r="AA74" t="s">
        <v>74</v>
      </c>
      <c r="AB74" t="s">
        <v>1591</v>
      </c>
      <c r="AC74" t="s">
        <v>1592</v>
      </c>
      <c r="AD74" t="s">
        <v>1593</v>
      </c>
      <c r="AE74" t="s">
        <v>1594</v>
      </c>
      <c r="AF74" t="s">
        <v>74</v>
      </c>
      <c r="AG74">
        <v>35</v>
      </c>
      <c r="AH74">
        <v>19</v>
      </c>
      <c r="AI74">
        <v>20</v>
      </c>
      <c r="AJ74">
        <v>1</v>
      </c>
      <c r="AK74">
        <v>12</v>
      </c>
      <c r="AL74" t="s">
        <v>1595</v>
      </c>
      <c r="AM74" t="s">
        <v>278</v>
      </c>
      <c r="AN74" t="s">
        <v>1596</v>
      </c>
      <c r="AO74" t="s">
        <v>1597</v>
      </c>
      <c r="AP74" t="s">
        <v>74</v>
      </c>
      <c r="AQ74" t="s">
        <v>74</v>
      </c>
      <c r="AR74" t="s">
        <v>1598</v>
      </c>
      <c r="AS74" t="s">
        <v>1599</v>
      </c>
      <c r="AT74" t="s">
        <v>559</v>
      </c>
      <c r="AU74">
        <v>2012</v>
      </c>
      <c r="AV74">
        <v>48</v>
      </c>
      <c r="AW74" t="s">
        <v>74</v>
      </c>
      <c r="AX74" t="s">
        <v>74</v>
      </c>
      <c r="AY74" t="s">
        <v>74</v>
      </c>
      <c r="AZ74" t="s">
        <v>74</v>
      </c>
      <c r="BA74" t="s">
        <v>74</v>
      </c>
      <c r="BB74">
        <v>45</v>
      </c>
      <c r="BC74">
        <v>54</v>
      </c>
      <c r="BD74" t="s">
        <v>74</v>
      </c>
      <c r="BE74" t="s">
        <v>1600</v>
      </c>
      <c r="BF74" t="str">
        <f>HYPERLINK("http://dx.doi.org/10.1016/j.ocemod.2012.03.002","http://dx.doi.org/10.1016/j.ocemod.2012.03.002")</f>
        <v>http://dx.doi.org/10.1016/j.ocemod.2012.03.002</v>
      </c>
      <c r="BG74" t="s">
        <v>74</v>
      </c>
      <c r="BH74" t="s">
        <v>74</v>
      </c>
      <c r="BI74">
        <v>10</v>
      </c>
      <c r="BJ74" t="s">
        <v>1601</v>
      </c>
      <c r="BK74" t="s">
        <v>99</v>
      </c>
      <c r="BL74" t="s">
        <v>1601</v>
      </c>
      <c r="BM74" t="s">
        <v>1602</v>
      </c>
      <c r="BN74" t="s">
        <v>74</v>
      </c>
      <c r="BO74" t="s">
        <v>74</v>
      </c>
      <c r="BP74" t="s">
        <v>74</v>
      </c>
      <c r="BQ74" t="s">
        <v>74</v>
      </c>
      <c r="BR74" t="s">
        <v>101</v>
      </c>
      <c r="BS74" t="s">
        <v>1603</v>
      </c>
      <c r="BT74" t="str">
        <f>HYPERLINK("https%3A%2F%2Fwww.webofscience.com%2Fwos%2Fwoscc%2Ffull-record%2FWOS:000302932300004","View Full Record in Web of Science")</f>
        <v>View Full Record in Web of Science</v>
      </c>
    </row>
    <row r="75" spans="1:72" x14ac:dyDescent="0.15">
      <c r="A75" t="s">
        <v>72</v>
      </c>
      <c r="B75" t="s">
        <v>1604</v>
      </c>
      <c r="C75" t="s">
        <v>74</v>
      </c>
      <c r="D75" t="s">
        <v>74</v>
      </c>
      <c r="E75" t="s">
        <v>74</v>
      </c>
      <c r="F75" t="s">
        <v>1605</v>
      </c>
      <c r="G75" t="s">
        <v>74</v>
      </c>
      <c r="H75" t="s">
        <v>74</v>
      </c>
      <c r="I75" t="s">
        <v>1606</v>
      </c>
      <c r="J75" t="s">
        <v>1607</v>
      </c>
      <c r="K75" t="s">
        <v>74</v>
      </c>
      <c r="L75" t="s">
        <v>74</v>
      </c>
      <c r="M75" t="s">
        <v>78</v>
      </c>
      <c r="N75" t="s">
        <v>79</v>
      </c>
      <c r="O75" t="s">
        <v>74</v>
      </c>
      <c r="P75" t="s">
        <v>74</v>
      </c>
      <c r="Q75" t="s">
        <v>74</v>
      </c>
      <c r="R75" t="s">
        <v>74</v>
      </c>
      <c r="S75" t="s">
        <v>74</v>
      </c>
      <c r="T75" t="s">
        <v>1608</v>
      </c>
      <c r="U75" t="s">
        <v>1609</v>
      </c>
      <c r="V75" t="s">
        <v>1610</v>
      </c>
      <c r="W75" t="s">
        <v>1611</v>
      </c>
      <c r="X75" t="s">
        <v>1612</v>
      </c>
      <c r="Y75" t="s">
        <v>1613</v>
      </c>
      <c r="Z75" t="s">
        <v>1614</v>
      </c>
      <c r="AA75" t="s">
        <v>1615</v>
      </c>
      <c r="AB75" t="s">
        <v>1616</v>
      </c>
      <c r="AC75" t="s">
        <v>1617</v>
      </c>
      <c r="AD75" t="s">
        <v>1618</v>
      </c>
      <c r="AE75" t="s">
        <v>1619</v>
      </c>
      <c r="AF75" t="s">
        <v>74</v>
      </c>
      <c r="AG75">
        <v>67</v>
      </c>
      <c r="AH75">
        <v>34</v>
      </c>
      <c r="AI75">
        <v>39</v>
      </c>
      <c r="AJ75">
        <v>0</v>
      </c>
      <c r="AK75">
        <v>25</v>
      </c>
      <c r="AL75" t="s">
        <v>1620</v>
      </c>
      <c r="AM75" t="s">
        <v>278</v>
      </c>
      <c r="AN75" t="s">
        <v>1621</v>
      </c>
      <c r="AO75" t="s">
        <v>1622</v>
      </c>
      <c r="AP75" t="s">
        <v>1623</v>
      </c>
      <c r="AQ75" t="s">
        <v>74</v>
      </c>
      <c r="AR75" t="s">
        <v>1624</v>
      </c>
      <c r="AS75" t="s">
        <v>1625</v>
      </c>
      <c r="AT75" t="s">
        <v>559</v>
      </c>
      <c r="AU75">
        <v>2012</v>
      </c>
      <c r="AV75">
        <v>189</v>
      </c>
      <c r="AW75">
        <v>2</v>
      </c>
      <c r="AX75" t="s">
        <v>74</v>
      </c>
      <c r="AY75" t="s">
        <v>74</v>
      </c>
      <c r="AZ75" t="s">
        <v>74</v>
      </c>
      <c r="BA75" t="s">
        <v>74</v>
      </c>
      <c r="BB75">
        <v>863</v>
      </c>
      <c r="BC75">
        <v>876</v>
      </c>
      <c r="BD75" t="s">
        <v>74</v>
      </c>
      <c r="BE75" t="s">
        <v>1626</v>
      </c>
      <c r="BF75" t="str">
        <f>HYPERLINK("http://dx.doi.org/10.1111/j.1365-246X.2012.05401.x","http://dx.doi.org/10.1111/j.1365-246X.2012.05401.x")</f>
        <v>http://dx.doi.org/10.1111/j.1365-246X.2012.05401.x</v>
      </c>
      <c r="BG75" t="s">
        <v>74</v>
      </c>
      <c r="BH75" t="s">
        <v>74</v>
      </c>
      <c r="BI75">
        <v>14</v>
      </c>
      <c r="BJ75" t="s">
        <v>1134</v>
      </c>
      <c r="BK75" t="s">
        <v>99</v>
      </c>
      <c r="BL75" t="s">
        <v>1134</v>
      </c>
      <c r="BM75" t="s">
        <v>1627</v>
      </c>
      <c r="BN75" t="s">
        <v>74</v>
      </c>
      <c r="BO75" t="s">
        <v>156</v>
      </c>
      <c r="BP75" t="s">
        <v>74</v>
      </c>
      <c r="BQ75" t="s">
        <v>74</v>
      </c>
      <c r="BR75" t="s">
        <v>101</v>
      </c>
      <c r="BS75" t="s">
        <v>1628</v>
      </c>
      <c r="BT75" t="str">
        <f>HYPERLINK("https%3A%2F%2Fwww.webofscience.com%2Fwos%2Fwoscc%2Ffull-record%2FWOS:000302623600012","View Full Record in Web of Science")</f>
        <v>View Full Record in Web of Science</v>
      </c>
    </row>
    <row r="76" spans="1:72" x14ac:dyDescent="0.15">
      <c r="A76" t="s">
        <v>72</v>
      </c>
      <c r="B76" t="s">
        <v>1629</v>
      </c>
      <c r="C76" t="s">
        <v>74</v>
      </c>
      <c r="D76" t="s">
        <v>74</v>
      </c>
      <c r="E76" t="s">
        <v>74</v>
      </c>
      <c r="F76" t="s">
        <v>1630</v>
      </c>
      <c r="G76" t="s">
        <v>74</v>
      </c>
      <c r="H76" t="s">
        <v>74</v>
      </c>
      <c r="I76" t="s">
        <v>1631</v>
      </c>
      <c r="J76" t="s">
        <v>1632</v>
      </c>
      <c r="K76" t="s">
        <v>74</v>
      </c>
      <c r="L76" t="s">
        <v>74</v>
      </c>
      <c r="M76" t="s">
        <v>78</v>
      </c>
      <c r="N76" t="s">
        <v>79</v>
      </c>
      <c r="O76" t="s">
        <v>74</v>
      </c>
      <c r="P76" t="s">
        <v>74</v>
      </c>
      <c r="Q76" t="s">
        <v>74</v>
      </c>
      <c r="R76" t="s">
        <v>74</v>
      </c>
      <c r="S76" t="s">
        <v>74</v>
      </c>
      <c r="T76" t="s">
        <v>74</v>
      </c>
      <c r="U76" t="s">
        <v>1633</v>
      </c>
      <c r="V76" t="s">
        <v>1634</v>
      </c>
      <c r="W76" t="s">
        <v>1635</v>
      </c>
      <c r="X76" t="s">
        <v>1636</v>
      </c>
      <c r="Y76" t="s">
        <v>1637</v>
      </c>
      <c r="Z76" t="s">
        <v>1638</v>
      </c>
      <c r="AA76" t="s">
        <v>1639</v>
      </c>
      <c r="AB76" t="s">
        <v>1640</v>
      </c>
      <c r="AC76" t="s">
        <v>1641</v>
      </c>
      <c r="AD76" t="s">
        <v>1642</v>
      </c>
      <c r="AE76" t="s">
        <v>1643</v>
      </c>
      <c r="AF76" t="s">
        <v>74</v>
      </c>
      <c r="AG76">
        <v>68</v>
      </c>
      <c r="AH76">
        <v>11</v>
      </c>
      <c r="AI76">
        <v>13</v>
      </c>
      <c r="AJ76">
        <v>1</v>
      </c>
      <c r="AK76">
        <v>47</v>
      </c>
      <c r="AL76" t="s">
        <v>1644</v>
      </c>
      <c r="AM76" t="s">
        <v>1645</v>
      </c>
      <c r="AN76" t="s">
        <v>1646</v>
      </c>
      <c r="AO76" t="s">
        <v>1647</v>
      </c>
      <c r="AP76" t="s">
        <v>1648</v>
      </c>
      <c r="AQ76" t="s">
        <v>74</v>
      </c>
      <c r="AR76" t="s">
        <v>1649</v>
      </c>
      <c r="AS76" t="s">
        <v>1650</v>
      </c>
      <c r="AT76" t="s">
        <v>1651</v>
      </c>
      <c r="AU76">
        <v>2012</v>
      </c>
      <c r="AV76">
        <v>85</v>
      </c>
      <c r="AW76">
        <v>3</v>
      </c>
      <c r="AX76" t="s">
        <v>74</v>
      </c>
      <c r="AY76" t="s">
        <v>74</v>
      </c>
      <c r="AZ76" t="s">
        <v>74</v>
      </c>
      <c r="BA76" t="s">
        <v>74</v>
      </c>
      <c r="BB76">
        <v>243</v>
      </c>
      <c r="BC76">
        <v>254</v>
      </c>
      <c r="BD76" t="s">
        <v>74</v>
      </c>
      <c r="BE76" t="s">
        <v>1652</v>
      </c>
      <c r="BF76" t="str">
        <f>HYPERLINK("http://dx.doi.org/10.1086/665407","http://dx.doi.org/10.1086/665407")</f>
        <v>http://dx.doi.org/10.1086/665407</v>
      </c>
      <c r="BG76" t="s">
        <v>74</v>
      </c>
      <c r="BH76" t="s">
        <v>74</v>
      </c>
      <c r="BI76">
        <v>12</v>
      </c>
      <c r="BJ76" t="s">
        <v>1653</v>
      </c>
      <c r="BK76" t="s">
        <v>99</v>
      </c>
      <c r="BL76" t="s">
        <v>1653</v>
      </c>
      <c r="BM76" t="s">
        <v>1654</v>
      </c>
      <c r="BN76">
        <v>22494980</v>
      </c>
      <c r="BO76" t="s">
        <v>328</v>
      </c>
      <c r="BP76" t="s">
        <v>74</v>
      </c>
      <c r="BQ76" t="s">
        <v>74</v>
      </c>
      <c r="BR76" t="s">
        <v>101</v>
      </c>
      <c r="BS76" t="s">
        <v>1655</v>
      </c>
      <c r="BT76" t="str">
        <f>HYPERLINK("https%3A%2F%2Fwww.webofscience.com%2Fwos%2Fwoscc%2Ffull-record%2FWOS:000302787600004","View Full Record in Web of Science")</f>
        <v>View Full Record in Web of Science</v>
      </c>
    </row>
    <row r="77" spans="1:72" x14ac:dyDescent="0.15">
      <c r="A77" t="s">
        <v>72</v>
      </c>
      <c r="B77" t="s">
        <v>1656</v>
      </c>
      <c r="C77" t="s">
        <v>74</v>
      </c>
      <c r="D77" t="s">
        <v>74</v>
      </c>
      <c r="E77" t="s">
        <v>74</v>
      </c>
      <c r="F77" t="s">
        <v>1657</v>
      </c>
      <c r="G77" t="s">
        <v>74</v>
      </c>
      <c r="H77" t="s">
        <v>74</v>
      </c>
      <c r="I77" t="s">
        <v>1658</v>
      </c>
      <c r="J77" t="s">
        <v>1632</v>
      </c>
      <c r="K77" t="s">
        <v>74</v>
      </c>
      <c r="L77" t="s">
        <v>74</v>
      </c>
      <c r="M77" t="s">
        <v>78</v>
      </c>
      <c r="N77" t="s">
        <v>79</v>
      </c>
      <c r="O77" t="s">
        <v>74</v>
      </c>
      <c r="P77" t="s">
        <v>74</v>
      </c>
      <c r="Q77" t="s">
        <v>74</v>
      </c>
      <c r="R77" t="s">
        <v>74</v>
      </c>
      <c r="S77" t="s">
        <v>74</v>
      </c>
      <c r="T77" t="s">
        <v>74</v>
      </c>
      <c r="U77" t="s">
        <v>1659</v>
      </c>
      <c r="V77" t="s">
        <v>1660</v>
      </c>
      <c r="W77" t="s">
        <v>1661</v>
      </c>
      <c r="X77" t="s">
        <v>205</v>
      </c>
      <c r="Y77" t="s">
        <v>1662</v>
      </c>
      <c r="Z77" t="s">
        <v>1663</v>
      </c>
      <c r="AA77" t="s">
        <v>1664</v>
      </c>
      <c r="AB77" t="s">
        <v>1665</v>
      </c>
      <c r="AC77" t="s">
        <v>1666</v>
      </c>
      <c r="AD77" t="s">
        <v>1667</v>
      </c>
      <c r="AE77" t="s">
        <v>1668</v>
      </c>
      <c r="AF77" t="s">
        <v>74</v>
      </c>
      <c r="AG77">
        <v>77</v>
      </c>
      <c r="AH77">
        <v>13</v>
      </c>
      <c r="AI77">
        <v>14</v>
      </c>
      <c r="AJ77">
        <v>0</v>
      </c>
      <c r="AK77">
        <v>17</v>
      </c>
      <c r="AL77" t="s">
        <v>1644</v>
      </c>
      <c r="AM77" t="s">
        <v>1645</v>
      </c>
      <c r="AN77" t="s">
        <v>1646</v>
      </c>
      <c r="AO77" t="s">
        <v>1647</v>
      </c>
      <c r="AP77" t="s">
        <v>1648</v>
      </c>
      <c r="AQ77" t="s">
        <v>74</v>
      </c>
      <c r="AR77" t="s">
        <v>1649</v>
      </c>
      <c r="AS77" t="s">
        <v>1650</v>
      </c>
      <c r="AT77" t="s">
        <v>1651</v>
      </c>
      <c r="AU77">
        <v>2012</v>
      </c>
      <c r="AV77">
        <v>85</v>
      </c>
      <c r="AW77">
        <v>3</v>
      </c>
      <c r="AX77" t="s">
        <v>74</v>
      </c>
      <c r="AY77" t="s">
        <v>74</v>
      </c>
      <c r="AZ77" t="s">
        <v>74</v>
      </c>
      <c r="BA77" t="s">
        <v>74</v>
      </c>
      <c r="BB77">
        <v>285</v>
      </c>
      <c r="BC77">
        <v>298</v>
      </c>
      <c r="BD77" t="s">
        <v>74</v>
      </c>
      <c r="BE77" t="s">
        <v>1669</v>
      </c>
      <c r="BF77" t="str">
        <f>HYPERLINK("http://dx.doi.org/10.1086/665328","http://dx.doi.org/10.1086/665328")</f>
        <v>http://dx.doi.org/10.1086/665328</v>
      </c>
      <c r="BG77" t="s">
        <v>74</v>
      </c>
      <c r="BH77" t="s">
        <v>74</v>
      </c>
      <c r="BI77">
        <v>14</v>
      </c>
      <c r="BJ77" t="s">
        <v>1653</v>
      </c>
      <c r="BK77" t="s">
        <v>99</v>
      </c>
      <c r="BL77" t="s">
        <v>1653</v>
      </c>
      <c r="BM77" t="s">
        <v>1654</v>
      </c>
      <c r="BN77">
        <v>22494984</v>
      </c>
      <c r="BO77" t="s">
        <v>74</v>
      </c>
      <c r="BP77" t="s">
        <v>74</v>
      </c>
      <c r="BQ77" t="s">
        <v>74</v>
      </c>
      <c r="BR77" t="s">
        <v>101</v>
      </c>
      <c r="BS77" t="s">
        <v>1670</v>
      </c>
      <c r="BT77" t="str">
        <f>HYPERLINK("https%3A%2F%2Fwww.webofscience.com%2Fwos%2Fwoscc%2Ffull-record%2FWOS:000302787600008","View Full Record in Web of Science")</f>
        <v>View Full Record in Web of Science</v>
      </c>
    </row>
    <row r="78" spans="1:72" x14ac:dyDescent="0.15">
      <c r="A78" t="s">
        <v>72</v>
      </c>
      <c r="B78" t="s">
        <v>1671</v>
      </c>
      <c r="C78" t="s">
        <v>74</v>
      </c>
      <c r="D78" t="s">
        <v>74</v>
      </c>
      <c r="E78" t="s">
        <v>74</v>
      </c>
      <c r="F78" t="s">
        <v>1672</v>
      </c>
      <c r="G78" t="s">
        <v>74</v>
      </c>
      <c r="H78" t="s">
        <v>74</v>
      </c>
      <c r="I78" t="s">
        <v>1673</v>
      </c>
      <c r="J78" t="s">
        <v>1674</v>
      </c>
      <c r="K78" t="s">
        <v>74</v>
      </c>
      <c r="L78" t="s">
        <v>74</v>
      </c>
      <c r="M78" t="s">
        <v>78</v>
      </c>
      <c r="N78" t="s">
        <v>79</v>
      </c>
      <c r="O78" t="s">
        <v>74</v>
      </c>
      <c r="P78" t="s">
        <v>74</v>
      </c>
      <c r="Q78" t="s">
        <v>74</v>
      </c>
      <c r="R78" t="s">
        <v>74</v>
      </c>
      <c r="S78" t="s">
        <v>74</v>
      </c>
      <c r="T78" t="s">
        <v>1675</v>
      </c>
      <c r="U78" t="s">
        <v>1676</v>
      </c>
      <c r="V78" t="s">
        <v>1677</v>
      </c>
      <c r="W78" t="s">
        <v>1678</v>
      </c>
      <c r="X78" t="s">
        <v>1679</v>
      </c>
      <c r="Y78" t="s">
        <v>1680</v>
      </c>
      <c r="Z78" t="s">
        <v>1681</v>
      </c>
      <c r="AA78" t="s">
        <v>1682</v>
      </c>
      <c r="AB78" t="s">
        <v>74</v>
      </c>
      <c r="AC78" t="s">
        <v>1683</v>
      </c>
      <c r="AD78" t="s">
        <v>1684</v>
      </c>
      <c r="AE78" t="s">
        <v>1685</v>
      </c>
      <c r="AF78" t="s">
        <v>74</v>
      </c>
      <c r="AG78">
        <v>34</v>
      </c>
      <c r="AH78">
        <v>13</v>
      </c>
      <c r="AI78">
        <v>15</v>
      </c>
      <c r="AJ78">
        <v>0</v>
      </c>
      <c r="AK78">
        <v>17</v>
      </c>
      <c r="AL78" t="s">
        <v>1686</v>
      </c>
      <c r="AM78" t="s">
        <v>1687</v>
      </c>
      <c r="AN78" t="s">
        <v>1688</v>
      </c>
      <c r="AO78" t="s">
        <v>1689</v>
      </c>
      <c r="AP78" t="s">
        <v>1690</v>
      </c>
      <c r="AQ78" t="s">
        <v>74</v>
      </c>
      <c r="AR78" t="s">
        <v>1691</v>
      </c>
      <c r="AS78" t="s">
        <v>1692</v>
      </c>
      <c r="AT78" t="s">
        <v>1651</v>
      </c>
      <c r="AU78">
        <v>2012</v>
      </c>
      <c r="AV78">
        <v>97</v>
      </c>
      <c r="AW78" t="s">
        <v>1693</v>
      </c>
      <c r="AX78" t="s">
        <v>74</v>
      </c>
      <c r="AY78" t="s">
        <v>74</v>
      </c>
      <c r="AZ78" t="s">
        <v>74</v>
      </c>
      <c r="BA78" t="s">
        <v>74</v>
      </c>
      <c r="BB78">
        <v>807</v>
      </c>
      <c r="BC78">
        <v>815</v>
      </c>
      <c r="BD78" t="s">
        <v>74</v>
      </c>
      <c r="BE78" t="s">
        <v>1694</v>
      </c>
      <c r="BF78" t="str">
        <f>HYPERLINK("http://dx.doi.org/10.2138/am.2012.3946","http://dx.doi.org/10.2138/am.2012.3946")</f>
        <v>http://dx.doi.org/10.2138/am.2012.3946</v>
      </c>
      <c r="BG78" t="s">
        <v>74</v>
      </c>
      <c r="BH78" t="s">
        <v>74</v>
      </c>
      <c r="BI78">
        <v>9</v>
      </c>
      <c r="BJ78" t="s">
        <v>1530</v>
      </c>
      <c r="BK78" t="s">
        <v>99</v>
      </c>
      <c r="BL78" t="s">
        <v>1530</v>
      </c>
      <c r="BM78" t="s">
        <v>1695</v>
      </c>
      <c r="BN78" t="s">
        <v>74</v>
      </c>
      <c r="BO78" t="s">
        <v>74</v>
      </c>
      <c r="BP78" t="s">
        <v>74</v>
      </c>
      <c r="BQ78" t="s">
        <v>74</v>
      </c>
      <c r="BR78" t="s">
        <v>101</v>
      </c>
      <c r="BS78" t="s">
        <v>1696</v>
      </c>
      <c r="BT78" t="str">
        <f>HYPERLINK("https%3A%2F%2Fwww.webofscience.com%2Fwos%2Fwoscc%2Ffull-record%2FWOS:000304212900005","View Full Record in Web of Science")</f>
        <v>View Full Record in Web of Science</v>
      </c>
    </row>
    <row r="79" spans="1:72" x14ac:dyDescent="0.15">
      <c r="A79" t="s">
        <v>72</v>
      </c>
      <c r="B79" t="s">
        <v>1697</v>
      </c>
      <c r="C79" t="s">
        <v>74</v>
      </c>
      <c r="D79" t="s">
        <v>74</v>
      </c>
      <c r="E79" t="s">
        <v>74</v>
      </c>
      <c r="F79" t="s">
        <v>1698</v>
      </c>
      <c r="G79" t="s">
        <v>74</v>
      </c>
      <c r="H79" t="s">
        <v>74</v>
      </c>
      <c r="I79" t="s">
        <v>1699</v>
      </c>
      <c r="J79" t="s">
        <v>726</v>
      </c>
      <c r="K79" t="s">
        <v>74</v>
      </c>
      <c r="L79" t="s">
        <v>74</v>
      </c>
      <c r="M79" t="s">
        <v>78</v>
      </c>
      <c r="N79" t="s">
        <v>79</v>
      </c>
      <c r="O79" t="s">
        <v>74</v>
      </c>
      <c r="P79" t="s">
        <v>74</v>
      </c>
      <c r="Q79" t="s">
        <v>74</v>
      </c>
      <c r="R79" t="s">
        <v>74</v>
      </c>
      <c r="S79" t="s">
        <v>74</v>
      </c>
      <c r="T79" t="s">
        <v>74</v>
      </c>
      <c r="U79" t="s">
        <v>1700</v>
      </c>
      <c r="V79" t="s">
        <v>1701</v>
      </c>
      <c r="W79" t="s">
        <v>1702</v>
      </c>
      <c r="X79" t="s">
        <v>1703</v>
      </c>
      <c r="Y79" t="s">
        <v>1704</v>
      </c>
      <c r="Z79" t="s">
        <v>1705</v>
      </c>
      <c r="AA79" t="s">
        <v>1706</v>
      </c>
      <c r="AB79" t="s">
        <v>74</v>
      </c>
      <c r="AC79" t="s">
        <v>1707</v>
      </c>
      <c r="AD79" t="s">
        <v>1708</v>
      </c>
      <c r="AE79" t="s">
        <v>1709</v>
      </c>
      <c r="AF79" t="s">
        <v>74</v>
      </c>
      <c r="AG79">
        <v>57</v>
      </c>
      <c r="AH79">
        <v>77</v>
      </c>
      <c r="AI79">
        <v>90</v>
      </c>
      <c r="AJ79">
        <v>1</v>
      </c>
      <c r="AK79">
        <v>63</v>
      </c>
      <c r="AL79" t="s">
        <v>761</v>
      </c>
      <c r="AM79" t="s">
        <v>762</v>
      </c>
      <c r="AN79" t="s">
        <v>763</v>
      </c>
      <c r="AO79" t="s">
        <v>739</v>
      </c>
      <c r="AP79" t="s">
        <v>764</v>
      </c>
      <c r="AQ79" t="s">
        <v>74</v>
      </c>
      <c r="AR79" t="s">
        <v>740</v>
      </c>
      <c r="AS79" t="s">
        <v>741</v>
      </c>
      <c r="AT79" t="s">
        <v>559</v>
      </c>
      <c r="AU79">
        <v>2012</v>
      </c>
      <c r="AV79">
        <v>44</v>
      </c>
      <c r="AW79">
        <v>2</v>
      </c>
      <c r="AX79" t="s">
        <v>74</v>
      </c>
      <c r="AY79" t="s">
        <v>74</v>
      </c>
      <c r="AZ79" t="s">
        <v>74</v>
      </c>
      <c r="BA79" t="s">
        <v>74</v>
      </c>
      <c r="BB79">
        <v>222</v>
      </c>
      <c r="BC79">
        <v>231</v>
      </c>
      <c r="BD79" t="s">
        <v>74</v>
      </c>
      <c r="BE79" t="s">
        <v>1710</v>
      </c>
      <c r="BF79" t="str">
        <f>HYPERLINK("http://dx.doi.org/10.1657/1938-4246-44.2.222","http://dx.doi.org/10.1657/1938-4246-44.2.222")</f>
        <v>http://dx.doi.org/10.1657/1938-4246-44.2.222</v>
      </c>
      <c r="BG79" t="s">
        <v>74</v>
      </c>
      <c r="BH79" t="s">
        <v>74</v>
      </c>
      <c r="BI79">
        <v>10</v>
      </c>
      <c r="BJ79" t="s">
        <v>743</v>
      </c>
      <c r="BK79" t="s">
        <v>99</v>
      </c>
      <c r="BL79" t="s">
        <v>744</v>
      </c>
      <c r="BM79" t="s">
        <v>745</v>
      </c>
      <c r="BN79" t="s">
        <v>74</v>
      </c>
      <c r="BO79" t="s">
        <v>197</v>
      </c>
      <c r="BP79" t="s">
        <v>74</v>
      </c>
      <c r="BQ79" t="s">
        <v>74</v>
      </c>
      <c r="BR79" t="s">
        <v>101</v>
      </c>
      <c r="BS79" t="s">
        <v>1711</v>
      </c>
      <c r="BT79" t="str">
        <f>HYPERLINK("https%3A%2F%2Fwww.webofscience.com%2Fwos%2Fwoscc%2Ffull-record%2FWOS:000304723500007","View Full Record in Web of Science")</f>
        <v>View Full Record in Web of Science</v>
      </c>
    </row>
    <row r="80" spans="1:72" x14ac:dyDescent="0.15">
      <c r="A80" t="s">
        <v>72</v>
      </c>
      <c r="B80" t="s">
        <v>1712</v>
      </c>
      <c r="C80" t="s">
        <v>74</v>
      </c>
      <c r="D80" t="s">
        <v>74</v>
      </c>
      <c r="E80" t="s">
        <v>74</v>
      </c>
      <c r="F80" t="s">
        <v>1713</v>
      </c>
      <c r="G80" t="s">
        <v>74</v>
      </c>
      <c r="H80" t="s">
        <v>74</v>
      </c>
      <c r="I80" t="s">
        <v>1714</v>
      </c>
      <c r="J80" t="s">
        <v>1715</v>
      </c>
      <c r="K80" t="s">
        <v>74</v>
      </c>
      <c r="L80" t="s">
        <v>74</v>
      </c>
      <c r="M80" t="s">
        <v>78</v>
      </c>
      <c r="N80" t="s">
        <v>79</v>
      </c>
      <c r="O80" t="s">
        <v>74</v>
      </c>
      <c r="P80" t="s">
        <v>74</v>
      </c>
      <c r="Q80" t="s">
        <v>74</v>
      </c>
      <c r="R80" t="s">
        <v>74</v>
      </c>
      <c r="S80" t="s">
        <v>74</v>
      </c>
      <c r="T80" t="s">
        <v>1716</v>
      </c>
      <c r="U80" t="s">
        <v>1717</v>
      </c>
      <c r="V80" t="s">
        <v>1718</v>
      </c>
      <c r="W80" t="s">
        <v>1719</v>
      </c>
      <c r="X80" t="s">
        <v>1720</v>
      </c>
      <c r="Y80" t="s">
        <v>1721</v>
      </c>
      <c r="Z80" t="s">
        <v>1722</v>
      </c>
      <c r="AA80" t="s">
        <v>1723</v>
      </c>
      <c r="AB80" t="s">
        <v>1724</v>
      </c>
      <c r="AC80" t="s">
        <v>1725</v>
      </c>
      <c r="AD80" t="s">
        <v>1726</v>
      </c>
      <c r="AE80" t="s">
        <v>1727</v>
      </c>
      <c r="AF80" t="s">
        <v>74</v>
      </c>
      <c r="AG80">
        <v>29</v>
      </c>
      <c r="AH80">
        <v>159</v>
      </c>
      <c r="AI80">
        <v>168</v>
      </c>
      <c r="AJ80">
        <v>1</v>
      </c>
      <c r="AK80">
        <v>74</v>
      </c>
      <c r="AL80" t="s">
        <v>1728</v>
      </c>
      <c r="AM80" t="s">
        <v>1729</v>
      </c>
      <c r="AN80" t="s">
        <v>1730</v>
      </c>
      <c r="AO80" t="s">
        <v>1731</v>
      </c>
      <c r="AP80" t="s">
        <v>1732</v>
      </c>
      <c r="AQ80" t="s">
        <v>74</v>
      </c>
      <c r="AR80" t="s">
        <v>1715</v>
      </c>
      <c r="AS80" t="s">
        <v>1733</v>
      </c>
      <c r="AT80" t="s">
        <v>559</v>
      </c>
      <c r="AU80">
        <v>2012</v>
      </c>
      <c r="AV80">
        <v>12</v>
      </c>
      <c r="AW80">
        <v>5</v>
      </c>
      <c r="AX80" t="s">
        <v>74</v>
      </c>
      <c r="AY80" t="s">
        <v>74</v>
      </c>
      <c r="AZ80" t="s">
        <v>74</v>
      </c>
      <c r="BA80" t="s">
        <v>74</v>
      </c>
      <c r="BB80">
        <v>508</v>
      </c>
      <c r="BC80" t="s">
        <v>1734</v>
      </c>
      <c r="BD80" t="s">
        <v>74</v>
      </c>
      <c r="BE80" t="s">
        <v>1735</v>
      </c>
      <c r="BF80" t="str">
        <f>HYPERLINK("http://dx.doi.org/10.1089/ast.2011.0736","http://dx.doi.org/10.1089/ast.2011.0736")</f>
        <v>http://dx.doi.org/10.1089/ast.2011.0736</v>
      </c>
      <c r="BG80" t="s">
        <v>74</v>
      </c>
      <c r="BH80" t="s">
        <v>74</v>
      </c>
      <c r="BI80">
        <v>10</v>
      </c>
      <c r="BJ80" t="s">
        <v>1736</v>
      </c>
      <c r="BK80" t="s">
        <v>99</v>
      </c>
      <c r="BL80" t="s">
        <v>1737</v>
      </c>
      <c r="BM80" t="s">
        <v>1738</v>
      </c>
      <c r="BN80">
        <v>22680696</v>
      </c>
      <c r="BO80" t="s">
        <v>74</v>
      </c>
      <c r="BP80" t="s">
        <v>74</v>
      </c>
      <c r="BQ80" t="s">
        <v>74</v>
      </c>
      <c r="BR80" t="s">
        <v>101</v>
      </c>
      <c r="BS80" t="s">
        <v>1739</v>
      </c>
      <c r="BT80" t="str">
        <f>HYPERLINK("https%3A%2F%2Fwww.webofscience.com%2Fwos%2Fwoscc%2Ffull-record%2FWOS:000305175400014","View Full Record in Web of Science")</f>
        <v>View Full Record in Web of Science</v>
      </c>
    </row>
    <row r="81" spans="1:72" x14ac:dyDescent="0.15">
      <c r="A81" t="s">
        <v>72</v>
      </c>
      <c r="B81" t="s">
        <v>1740</v>
      </c>
      <c r="C81" t="s">
        <v>74</v>
      </c>
      <c r="D81" t="s">
        <v>74</v>
      </c>
      <c r="E81" t="s">
        <v>74</v>
      </c>
      <c r="F81" t="s">
        <v>1741</v>
      </c>
      <c r="G81" t="s">
        <v>74</v>
      </c>
      <c r="H81" t="s">
        <v>74</v>
      </c>
      <c r="I81" t="s">
        <v>1742</v>
      </c>
      <c r="J81" t="s">
        <v>1743</v>
      </c>
      <c r="K81" t="s">
        <v>74</v>
      </c>
      <c r="L81" t="s">
        <v>74</v>
      </c>
      <c r="M81" t="s">
        <v>78</v>
      </c>
      <c r="N81" t="s">
        <v>79</v>
      </c>
      <c r="O81" t="s">
        <v>74</v>
      </c>
      <c r="P81" t="s">
        <v>74</v>
      </c>
      <c r="Q81" t="s">
        <v>74</v>
      </c>
      <c r="R81" t="s">
        <v>74</v>
      </c>
      <c r="S81" t="s">
        <v>74</v>
      </c>
      <c r="T81" t="s">
        <v>1744</v>
      </c>
      <c r="U81" t="s">
        <v>1745</v>
      </c>
      <c r="V81" t="s">
        <v>1746</v>
      </c>
      <c r="W81" t="s">
        <v>1747</v>
      </c>
      <c r="X81" t="s">
        <v>1748</v>
      </c>
      <c r="Y81" t="s">
        <v>1749</v>
      </c>
      <c r="Z81" t="s">
        <v>1497</v>
      </c>
      <c r="AA81" t="s">
        <v>1750</v>
      </c>
      <c r="AB81" t="s">
        <v>1751</v>
      </c>
      <c r="AC81" t="s">
        <v>1500</v>
      </c>
      <c r="AD81" t="s">
        <v>1501</v>
      </c>
      <c r="AE81" t="s">
        <v>1752</v>
      </c>
      <c r="AF81" t="s">
        <v>74</v>
      </c>
      <c r="AG81">
        <v>34</v>
      </c>
      <c r="AH81">
        <v>86</v>
      </c>
      <c r="AI81">
        <v>102</v>
      </c>
      <c r="AJ81">
        <v>13</v>
      </c>
      <c r="AK81">
        <v>149</v>
      </c>
      <c r="AL81" t="s">
        <v>277</v>
      </c>
      <c r="AM81" t="s">
        <v>278</v>
      </c>
      <c r="AN81" t="s">
        <v>279</v>
      </c>
      <c r="AO81" t="s">
        <v>1753</v>
      </c>
      <c r="AP81" t="s">
        <v>1754</v>
      </c>
      <c r="AQ81" t="s">
        <v>74</v>
      </c>
      <c r="AR81" t="s">
        <v>1755</v>
      </c>
      <c r="AS81" t="s">
        <v>1756</v>
      </c>
      <c r="AT81" t="s">
        <v>559</v>
      </c>
      <c r="AU81">
        <v>2012</v>
      </c>
      <c r="AV81">
        <v>51</v>
      </c>
      <c r="AW81" t="s">
        <v>74</v>
      </c>
      <c r="AX81" t="s">
        <v>74</v>
      </c>
      <c r="AY81" t="s">
        <v>74</v>
      </c>
      <c r="AZ81" t="s">
        <v>74</v>
      </c>
      <c r="BA81" t="s">
        <v>74</v>
      </c>
      <c r="BB81">
        <v>140</v>
      </c>
      <c r="BC81">
        <v>145</v>
      </c>
      <c r="BD81" t="s">
        <v>74</v>
      </c>
      <c r="BE81" t="s">
        <v>1757</v>
      </c>
      <c r="BF81" t="str">
        <f>HYPERLINK("http://dx.doi.org/10.1016/j.atmosenv.2012.01.034","http://dx.doi.org/10.1016/j.atmosenv.2012.01.034")</f>
        <v>http://dx.doi.org/10.1016/j.atmosenv.2012.01.034</v>
      </c>
      <c r="BG81" t="s">
        <v>74</v>
      </c>
      <c r="BH81" t="s">
        <v>74</v>
      </c>
      <c r="BI81">
        <v>6</v>
      </c>
      <c r="BJ81" t="s">
        <v>1758</v>
      </c>
      <c r="BK81" t="s">
        <v>99</v>
      </c>
      <c r="BL81" t="s">
        <v>1759</v>
      </c>
      <c r="BM81" t="s">
        <v>1760</v>
      </c>
      <c r="BN81" t="s">
        <v>74</v>
      </c>
      <c r="BO81" t="s">
        <v>74</v>
      </c>
      <c r="BP81" t="s">
        <v>74</v>
      </c>
      <c r="BQ81" t="s">
        <v>74</v>
      </c>
      <c r="BR81" t="s">
        <v>101</v>
      </c>
      <c r="BS81" t="s">
        <v>1761</v>
      </c>
      <c r="BT81" t="str">
        <f>HYPERLINK("https%3A%2F%2Fwww.webofscience.com%2Fwos%2Fwoscc%2Ffull-record%2FWOS:000302508600017","View Full Record in Web of Science")</f>
        <v>View Full Record in Web of Science</v>
      </c>
    </row>
    <row r="82" spans="1:72" x14ac:dyDescent="0.15">
      <c r="A82" t="s">
        <v>72</v>
      </c>
      <c r="B82" t="s">
        <v>1762</v>
      </c>
      <c r="C82" t="s">
        <v>74</v>
      </c>
      <c r="D82" t="s">
        <v>74</v>
      </c>
      <c r="E82" t="s">
        <v>74</v>
      </c>
      <c r="F82" t="s">
        <v>1763</v>
      </c>
      <c r="G82" t="s">
        <v>74</v>
      </c>
      <c r="H82" t="s">
        <v>74</v>
      </c>
      <c r="I82" t="s">
        <v>1764</v>
      </c>
      <c r="J82" t="s">
        <v>1765</v>
      </c>
      <c r="K82" t="s">
        <v>74</v>
      </c>
      <c r="L82" t="s">
        <v>74</v>
      </c>
      <c r="M82" t="s">
        <v>78</v>
      </c>
      <c r="N82" t="s">
        <v>79</v>
      </c>
      <c r="O82" t="s">
        <v>74</v>
      </c>
      <c r="P82" t="s">
        <v>74</v>
      </c>
      <c r="Q82" t="s">
        <v>74</v>
      </c>
      <c r="R82" t="s">
        <v>74</v>
      </c>
      <c r="S82" t="s">
        <v>74</v>
      </c>
      <c r="T82" t="s">
        <v>1766</v>
      </c>
      <c r="U82" t="s">
        <v>1767</v>
      </c>
      <c r="V82" t="s">
        <v>1768</v>
      </c>
      <c r="W82" t="s">
        <v>1769</v>
      </c>
      <c r="X82" t="s">
        <v>1770</v>
      </c>
      <c r="Y82" t="s">
        <v>1771</v>
      </c>
      <c r="Z82" t="s">
        <v>1772</v>
      </c>
      <c r="AA82" t="s">
        <v>1773</v>
      </c>
      <c r="AB82" t="s">
        <v>1774</v>
      </c>
      <c r="AC82" t="s">
        <v>1775</v>
      </c>
      <c r="AD82" t="s">
        <v>1776</v>
      </c>
      <c r="AE82" t="s">
        <v>1777</v>
      </c>
      <c r="AF82" t="s">
        <v>74</v>
      </c>
      <c r="AG82">
        <v>73</v>
      </c>
      <c r="AH82">
        <v>85</v>
      </c>
      <c r="AI82">
        <v>96</v>
      </c>
      <c r="AJ82">
        <v>6</v>
      </c>
      <c r="AK82">
        <v>283</v>
      </c>
      <c r="AL82" t="s">
        <v>1595</v>
      </c>
      <c r="AM82" t="s">
        <v>278</v>
      </c>
      <c r="AN82" t="s">
        <v>1596</v>
      </c>
      <c r="AO82" t="s">
        <v>1778</v>
      </c>
      <c r="AP82" t="s">
        <v>1779</v>
      </c>
      <c r="AQ82" t="s">
        <v>74</v>
      </c>
      <c r="AR82" t="s">
        <v>1780</v>
      </c>
      <c r="AS82" t="s">
        <v>1781</v>
      </c>
      <c r="AT82" t="s">
        <v>559</v>
      </c>
      <c r="AU82">
        <v>2012</v>
      </c>
      <c r="AV82">
        <v>149</v>
      </c>
      <c r="AW82">
        <v>1</v>
      </c>
      <c r="AX82" t="s">
        <v>74</v>
      </c>
      <c r="AY82" t="s">
        <v>74</v>
      </c>
      <c r="AZ82" t="s">
        <v>74</v>
      </c>
      <c r="BA82" t="s">
        <v>74</v>
      </c>
      <c r="BB82">
        <v>40</v>
      </c>
      <c r="BC82">
        <v>50</v>
      </c>
      <c r="BD82" t="s">
        <v>74</v>
      </c>
      <c r="BE82" t="s">
        <v>1782</v>
      </c>
      <c r="BF82" t="str">
        <f>HYPERLINK("http://dx.doi.org/10.1016/j.biocon.2012.02.002","http://dx.doi.org/10.1016/j.biocon.2012.02.002")</f>
        <v>http://dx.doi.org/10.1016/j.biocon.2012.02.002</v>
      </c>
      <c r="BG82" t="s">
        <v>74</v>
      </c>
      <c r="BH82" t="s">
        <v>74</v>
      </c>
      <c r="BI82">
        <v>11</v>
      </c>
      <c r="BJ82" t="s">
        <v>1783</v>
      </c>
      <c r="BK82" t="s">
        <v>99</v>
      </c>
      <c r="BL82" t="s">
        <v>1784</v>
      </c>
      <c r="BM82" t="s">
        <v>1785</v>
      </c>
      <c r="BN82" t="s">
        <v>74</v>
      </c>
      <c r="BO82" t="s">
        <v>328</v>
      </c>
      <c r="BP82" t="s">
        <v>74</v>
      </c>
      <c r="BQ82" t="s">
        <v>74</v>
      </c>
      <c r="BR82" t="s">
        <v>101</v>
      </c>
      <c r="BS82" t="s">
        <v>1786</v>
      </c>
      <c r="BT82" t="str">
        <f>HYPERLINK("https%3A%2F%2Fwww.webofscience.com%2Fwos%2Fwoscc%2Ffull-record%2FWOS:000305723400006","View Full Record in Web of Science")</f>
        <v>View Full Record in Web of Science</v>
      </c>
    </row>
    <row r="83" spans="1:72" x14ac:dyDescent="0.15">
      <c r="A83" t="s">
        <v>72</v>
      </c>
      <c r="B83" t="s">
        <v>1787</v>
      </c>
      <c r="C83" t="s">
        <v>74</v>
      </c>
      <c r="D83" t="s">
        <v>74</v>
      </c>
      <c r="E83" t="s">
        <v>74</v>
      </c>
      <c r="F83" t="s">
        <v>1788</v>
      </c>
      <c r="G83" t="s">
        <v>74</v>
      </c>
      <c r="H83" t="s">
        <v>74</v>
      </c>
      <c r="I83" t="s">
        <v>1789</v>
      </c>
      <c r="J83" t="s">
        <v>1790</v>
      </c>
      <c r="K83" t="s">
        <v>74</v>
      </c>
      <c r="L83" t="s">
        <v>74</v>
      </c>
      <c r="M83" t="s">
        <v>78</v>
      </c>
      <c r="N83" t="s">
        <v>79</v>
      </c>
      <c r="O83" t="s">
        <v>74</v>
      </c>
      <c r="P83" t="s">
        <v>74</v>
      </c>
      <c r="Q83" t="s">
        <v>74</v>
      </c>
      <c r="R83" t="s">
        <v>74</v>
      </c>
      <c r="S83" t="s">
        <v>74</v>
      </c>
      <c r="T83" t="s">
        <v>1791</v>
      </c>
      <c r="U83" t="s">
        <v>1792</v>
      </c>
      <c r="V83" t="s">
        <v>1793</v>
      </c>
      <c r="W83" t="s">
        <v>1794</v>
      </c>
      <c r="X83" t="s">
        <v>1795</v>
      </c>
      <c r="Y83" t="s">
        <v>1796</v>
      </c>
      <c r="Z83" t="s">
        <v>1797</v>
      </c>
      <c r="AA83" t="s">
        <v>1798</v>
      </c>
      <c r="AB83" t="s">
        <v>1799</v>
      </c>
      <c r="AC83" t="s">
        <v>1800</v>
      </c>
      <c r="AD83" t="s">
        <v>1801</v>
      </c>
      <c r="AE83" t="s">
        <v>1802</v>
      </c>
      <c r="AF83" t="s">
        <v>74</v>
      </c>
      <c r="AG83">
        <v>41</v>
      </c>
      <c r="AH83">
        <v>39</v>
      </c>
      <c r="AI83">
        <v>46</v>
      </c>
      <c r="AJ83">
        <v>12</v>
      </c>
      <c r="AK83">
        <v>157</v>
      </c>
      <c r="AL83" t="s">
        <v>277</v>
      </c>
      <c r="AM83" t="s">
        <v>278</v>
      </c>
      <c r="AN83" t="s">
        <v>279</v>
      </c>
      <c r="AO83" t="s">
        <v>1803</v>
      </c>
      <c r="AP83" t="s">
        <v>1804</v>
      </c>
      <c r="AQ83" t="s">
        <v>74</v>
      </c>
      <c r="AR83" t="s">
        <v>1790</v>
      </c>
      <c r="AS83" t="s">
        <v>1805</v>
      </c>
      <c r="AT83" t="s">
        <v>559</v>
      </c>
      <c r="AU83">
        <v>2012</v>
      </c>
      <c r="AV83">
        <v>87</v>
      </c>
      <c r="AW83">
        <v>9</v>
      </c>
      <c r="AX83" t="s">
        <v>74</v>
      </c>
      <c r="AY83" t="s">
        <v>74</v>
      </c>
      <c r="AZ83" t="s">
        <v>74</v>
      </c>
      <c r="BA83" t="s">
        <v>74</v>
      </c>
      <c r="BB83">
        <v>989</v>
      </c>
      <c r="BC83">
        <v>997</v>
      </c>
      <c r="BD83" t="s">
        <v>74</v>
      </c>
      <c r="BE83" t="s">
        <v>1806</v>
      </c>
      <c r="BF83" t="str">
        <f>HYPERLINK("http://dx.doi.org/10.1016/j.chemosphere.2011.11.010","http://dx.doi.org/10.1016/j.chemosphere.2011.11.010")</f>
        <v>http://dx.doi.org/10.1016/j.chemosphere.2011.11.010</v>
      </c>
      <c r="BG83" t="s">
        <v>74</v>
      </c>
      <c r="BH83" t="s">
        <v>74</v>
      </c>
      <c r="BI83">
        <v>9</v>
      </c>
      <c r="BJ83" t="s">
        <v>1258</v>
      </c>
      <c r="BK83" t="s">
        <v>99</v>
      </c>
      <c r="BL83" t="s">
        <v>1259</v>
      </c>
      <c r="BM83" t="s">
        <v>1807</v>
      </c>
      <c r="BN83">
        <v>22137357</v>
      </c>
      <c r="BO83" t="s">
        <v>156</v>
      </c>
      <c r="BP83" t="s">
        <v>74</v>
      </c>
      <c r="BQ83" t="s">
        <v>74</v>
      </c>
      <c r="BR83" t="s">
        <v>101</v>
      </c>
      <c r="BS83" t="s">
        <v>1808</v>
      </c>
      <c r="BT83" t="str">
        <f>HYPERLINK("https%3A%2F%2Fwww.webofscience.com%2Fwos%2Fwoscc%2Ffull-record%2FWOS:000303292700001","View Full Record in Web of Science")</f>
        <v>View Full Record in Web of Science</v>
      </c>
    </row>
    <row r="84" spans="1:72" x14ac:dyDescent="0.15">
      <c r="A84" t="s">
        <v>72</v>
      </c>
      <c r="B84" t="s">
        <v>1809</v>
      </c>
      <c r="C84" t="s">
        <v>74</v>
      </c>
      <c r="D84" t="s">
        <v>74</v>
      </c>
      <c r="E84" t="s">
        <v>74</v>
      </c>
      <c r="F84" t="s">
        <v>1810</v>
      </c>
      <c r="G84" t="s">
        <v>74</v>
      </c>
      <c r="H84" t="s">
        <v>74</v>
      </c>
      <c r="I84" t="s">
        <v>1811</v>
      </c>
      <c r="J84" t="s">
        <v>1812</v>
      </c>
      <c r="K84" t="s">
        <v>74</v>
      </c>
      <c r="L84" t="s">
        <v>74</v>
      </c>
      <c r="M84" t="s">
        <v>78</v>
      </c>
      <c r="N84" t="s">
        <v>79</v>
      </c>
      <c r="O84" t="s">
        <v>74</v>
      </c>
      <c r="P84" t="s">
        <v>74</v>
      </c>
      <c r="Q84" t="s">
        <v>74</v>
      </c>
      <c r="R84" t="s">
        <v>74</v>
      </c>
      <c r="S84" t="s">
        <v>74</v>
      </c>
      <c r="T84" t="s">
        <v>1813</v>
      </c>
      <c r="U84" t="s">
        <v>1814</v>
      </c>
      <c r="V84" t="s">
        <v>1815</v>
      </c>
      <c r="W84" t="s">
        <v>1816</v>
      </c>
      <c r="X84" t="s">
        <v>1817</v>
      </c>
      <c r="Y84" t="s">
        <v>1818</v>
      </c>
      <c r="Z84" t="s">
        <v>1819</v>
      </c>
      <c r="AA84" t="s">
        <v>1664</v>
      </c>
      <c r="AB84" t="s">
        <v>1820</v>
      </c>
      <c r="AC84" t="s">
        <v>1821</v>
      </c>
      <c r="AD84" t="s">
        <v>1822</v>
      </c>
      <c r="AE84" t="s">
        <v>1823</v>
      </c>
      <c r="AF84" t="s">
        <v>74</v>
      </c>
      <c r="AG84">
        <v>64</v>
      </c>
      <c r="AH84">
        <v>23</v>
      </c>
      <c r="AI84">
        <v>25</v>
      </c>
      <c r="AJ84">
        <v>0</v>
      </c>
      <c r="AK84">
        <v>51</v>
      </c>
      <c r="AL84" t="s">
        <v>1548</v>
      </c>
      <c r="AM84" t="s">
        <v>656</v>
      </c>
      <c r="AN84" t="s">
        <v>1549</v>
      </c>
      <c r="AO84" t="s">
        <v>1824</v>
      </c>
      <c r="AP84" t="s">
        <v>1825</v>
      </c>
      <c r="AQ84" t="s">
        <v>74</v>
      </c>
      <c r="AR84" t="s">
        <v>1826</v>
      </c>
      <c r="AS84" t="s">
        <v>1827</v>
      </c>
      <c r="AT84" t="s">
        <v>559</v>
      </c>
      <c r="AU84">
        <v>2012</v>
      </c>
      <c r="AV84">
        <v>162</v>
      </c>
      <c r="AW84">
        <v>1</v>
      </c>
      <c r="AX84" t="s">
        <v>74</v>
      </c>
      <c r="AY84" t="s">
        <v>74</v>
      </c>
      <c r="AZ84" t="s">
        <v>74</v>
      </c>
      <c r="BA84" t="s">
        <v>74</v>
      </c>
      <c r="BB84">
        <v>16</v>
      </c>
      <c r="BC84">
        <v>21</v>
      </c>
      <c r="BD84" t="s">
        <v>74</v>
      </c>
      <c r="BE84" t="s">
        <v>1828</v>
      </c>
      <c r="BF84" t="str">
        <f>HYPERLINK("http://dx.doi.org/10.1016/j.cbpa.2012.01.009","http://dx.doi.org/10.1016/j.cbpa.2012.01.009")</f>
        <v>http://dx.doi.org/10.1016/j.cbpa.2012.01.009</v>
      </c>
      <c r="BG84" t="s">
        <v>74</v>
      </c>
      <c r="BH84" t="s">
        <v>74</v>
      </c>
      <c r="BI84">
        <v>6</v>
      </c>
      <c r="BJ84" t="s">
        <v>1829</v>
      </c>
      <c r="BK84" t="s">
        <v>99</v>
      </c>
      <c r="BL84" t="s">
        <v>1829</v>
      </c>
      <c r="BM84" t="s">
        <v>1830</v>
      </c>
      <c r="BN84">
        <v>22314019</v>
      </c>
      <c r="BO84" t="s">
        <v>74</v>
      </c>
      <c r="BP84" t="s">
        <v>74</v>
      </c>
      <c r="BQ84" t="s">
        <v>74</v>
      </c>
      <c r="BR84" t="s">
        <v>101</v>
      </c>
      <c r="BS84" t="s">
        <v>1831</v>
      </c>
      <c r="BT84" t="str">
        <f>HYPERLINK("https%3A%2F%2Fwww.webofscience.com%2Fwos%2Fwoscc%2Ffull-record%2FWOS:000302673300003","View Full Record in Web of Science")</f>
        <v>View Full Record in Web of Science</v>
      </c>
    </row>
    <row r="85" spans="1:72" x14ac:dyDescent="0.15">
      <c r="A85" t="s">
        <v>72</v>
      </c>
      <c r="B85" t="s">
        <v>1832</v>
      </c>
      <c r="C85" t="s">
        <v>74</v>
      </c>
      <c r="D85" t="s">
        <v>74</v>
      </c>
      <c r="E85" t="s">
        <v>74</v>
      </c>
      <c r="F85" t="s">
        <v>1833</v>
      </c>
      <c r="G85" t="s">
        <v>74</v>
      </c>
      <c r="H85" t="s">
        <v>74</v>
      </c>
      <c r="I85" t="s">
        <v>1834</v>
      </c>
      <c r="J85" t="s">
        <v>1265</v>
      </c>
      <c r="K85" t="s">
        <v>74</v>
      </c>
      <c r="L85" t="s">
        <v>74</v>
      </c>
      <c r="M85" t="s">
        <v>78</v>
      </c>
      <c r="N85" t="s">
        <v>79</v>
      </c>
      <c r="O85" t="s">
        <v>74</v>
      </c>
      <c r="P85" t="s">
        <v>74</v>
      </c>
      <c r="Q85" t="s">
        <v>74</v>
      </c>
      <c r="R85" t="s">
        <v>74</v>
      </c>
      <c r="S85" t="s">
        <v>74</v>
      </c>
      <c r="T85" t="s">
        <v>1835</v>
      </c>
      <c r="U85" t="s">
        <v>1836</v>
      </c>
      <c r="V85" t="s">
        <v>1837</v>
      </c>
      <c r="W85" t="s">
        <v>1838</v>
      </c>
      <c r="X85" t="s">
        <v>1839</v>
      </c>
      <c r="Y85" t="s">
        <v>1840</v>
      </c>
      <c r="Z85" t="s">
        <v>1841</v>
      </c>
      <c r="AA85" t="s">
        <v>1842</v>
      </c>
      <c r="AB85" t="s">
        <v>1843</v>
      </c>
      <c r="AC85" t="s">
        <v>1844</v>
      </c>
      <c r="AD85" t="s">
        <v>1845</v>
      </c>
      <c r="AE85" t="s">
        <v>1846</v>
      </c>
      <c r="AF85" t="s">
        <v>74</v>
      </c>
      <c r="AG85">
        <v>49</v>
      </c>
      <c r="AH85">
        <v>34</v>
      </c>
      <c r="AI85">
        <v>36</v>
      </c>
      <c r="AJ85">
        <v>1</v>
      </c>
      <c r="AK85">
        <v>42</v>
      </c>
      <c r="AL85" t="s">
        <v>277</v>
      </c>
      <c r="AM85" t="s">
        <v>278</v>
      </c>
      <c r="AN85" t="s">
        <v>279</v>
      </c>
      <c r="AO85" t="s">
        <v>1278</v>
      </c>
      <c r="AP85" t="s">
        <v>1279</v>
      </c>
      <c r="AQ85" t="s">
        <v>74</v>
      </c>
      <c r="AR85" t="s">
        <v>1280</v>
      </c>
      <c r="AS85" t="s">
        <v>1281</v>
      </c>
      <c r="AT85" t="s">
        <v>559</v>
      </c>
      <c r="AU85">
        <v>2012</v>
      </c>
      <c r="AV85">
        <v>63</v>
      </c>
      <c r="AW85" t="s">
        <v>74</v>
      </c>
      <c r="AX85" t="s">
        <v>74</v>
      </c>
      <c r="AY85" t="s">
        <v>74</v>
      </c>
      <c r="AZ85" t="s">
        <v>74</v>
      </c>
      <c r="BA85" t="s">
        <v>74</v>
      </c>
      <c r="BB85">
        <v>91</v>
      </c>
      <c r="BC85">
        <v>101</v>
      </c>
      <c r="BD85" t="s">
        <v>74</v>
      </c>
      <c r="BE85" t="s">
        <v>1847</v>
      </c>
      <c r="BF85" t="str">
        <f>HYPERLINK("http://dx.doi.org/10.1016/j.dsr.2012.01.009","http://dx.doi.org/10.1016/j.dsr.2012.01.009")</f>
        <v>http://dx.doi.org/10.1016/j.dsr.2012.01.009</v>
      </c>
      <c r="BG85" t="s">
        <v>74</v>
      </c>
      <c r="BH85" t="s">
        <v>74</v>
      </c>
      <c r="BI85">
        <v>11</v>
      </c>
      <c r="BJ85" t="s">
        <v>350</v>
      </c>
      <c r="BK85" t="s">
        <v>99</v>
      </c>
      <c r="BL85" t="s">
        <v>350</v>
      </c>
      <c r="BM85" t="s">
        <v>1283</v>
      </c>
      <c r="BN85" t="s">
        <v>74</v>
      </c>
      <c r="BO85" t="s">
        <v>74</v>
      </c>
      <c r="BP85" t="s">
        <v>74</v>
      </c>
      <c r="BQ85" t="s">
        <v>74</v>
      </c>
      <c r="BR85" t="s">
        <v>101</v>
      </c>
      <c r="BS85" t="s">
        <v>1848</v>
      </c>
      <c r="BT85" t="str">
        <f>HYPERLINK("https%3A%2F%2Fwww.webofscience.com%2Fwos%2Fwoscc%2Ffull-record%2FWOS:000303619000007","View Full Record in Web of Science")</f>
        <v>View Full Record in Web of Science</v>
      </c>
    </row>
    <row r="86" spans="1:72" x14ac:dyDescent="0.15">
      <c r="A86" t="s">
        <v>72</v>
      </c>
      <c r="B86" t="s">
        <v>1849</v>
      </c>
      <c r="C86" t="s">
        <v>74</v>
      </c>
      <c r="D86" t="s">
        <v>74</v>
      </c>
      <c r="E86" t="s">
        <v>74</v>
      </c>
      <c r="F86" t="s">
        <v>1850</v>
      </c>
      <c r="G86" t="s">
        <v>74</v>
      </c>
      <c r="H86" t="s">
        <v>74</v>
      </c>
      <c r="I86" t="s">
        <v>1851</v>
      </c>
      <c r="J86" t="s">
        <v>1852</v>
      </c>
      <c r="K86" t="s">
        <v>74</v>
      </c>
      <c r="L86" t="s">
        <v>74</v>
      </c>
      <c r="M86" t="s">
        <v>78</v>
      </c>
      <c r="N86" t="s">
        <v>79</v>
      </c>
      <c r="O86" t="s">
        <v>74</v>
      </c>
      <c r="P86" t="s">
        <v>74</v>
      </c>
      <c r="Q86" t="s">
        <v>74</v>
      </c>
      <c r="R86" t="s">
        <v>74</v>
      </c>
      <c r="S86" t="s">
        <v>74</v>
      </c>
      <c r="T86" t="s">
        <v>74</v>
      </c>
      <c r="U86" t="s">
        <v>1853</v>
      </c>
      <c r="V86" t="s">
        <v>1854</v>
      </c>
      <c r="W86" t="s">
        <v>1855</v>
      </c>
      <c r="X86" t="s">
        <v>1856</v>
      </c>
      <c r="Y86" t="s">
        <v>1857</v>
      </c>
      <c r="Z86" t="s">
        <v>1858</v>
      </c>
      <c r="AA86" t="s">
        <v>1859</v>
      </c>
      <c r="AB86" t="s">
        <v>1860</v>
      </c>
      <c r="AC86" t="s">
        <v>1861</v>
      </c>
      <c r="AD86" t="s">
        <v>1862</v>
      </c>
      <c r="AE86" t="s">
        <v>74</v>
      </c>
      <c r="AF86" t="s">
        <v>74</v>
      </c>
      <c r="AG86">
        <v>14</v>
      </c>
      <c r="AH86">
        <v>6</v>
      </c>
      <c r="AI86">
        <v>8</v>
      </c>
      <c r="AJ86">
        <v>0</v>
      </c>
      <c r="AK86">
        <v>6</v>
      </c>
      <c r="AL86" t="s">
        <v>681</v>
      </c>
      <c r="AM86" t="s">
        <v>656</v>
      </c>
      <c r="AN86" t="s">
        <v>682</v>
      </c>
      <c r="AO86" t="s">
        <v>1863</v>
      </c>
      <c r="AP86" t="s">
        <v>1864</v>
      </c>
      <c r="AQ86" t="s">
        <v>74</v>
      </c>
      <c r="AR86" t="s">
        <v>1865</v>
      </c>
      <c r="AS86" t="s">
        <v>1866</v>
      </c>
      <c r="AT86" t="s">
        <v>559</v>
      </c>
      <c r="AU86">
        <v>2012</v>
      </c>
      <c r="AV86">
        <v>444</v>
      </c>
      <c r="AW86">
        <v>1</v>
      </c>
      <c r="AX86" t="s">
        <v>74</v>
      </c>
      <c r="AY86" t="s">
        <v>74</v>
      </c>
      <c r="AZ86" t="s">
        <v>74</v>
      </c>
      <c r="BA86" t="s">
        <v>74</v>
      </c>
      <c r="BB86">
        <v>630</v>
      </c>
      <c r="BC86">
        <v>633</v>
      </c>
      <c r="BD86" t="s">
        <v>74</v>
      </c>
      <c r="BE86" t="s">
        <v>1867</v>
      </c>
      <c r="BF86" t="str">
        <f>HYPERLINK("http://dx.doi.org/10.1134/S1028334X12050121","http://dx.doi.org/10.1134/S1028334X12050121")</f>
        <v>http://dx.doi.org/10.1134/S1028334X12050121</v>
      </c>
      <c r="BG86" t="s">
        <v>74</v>
      </c>
      <c r="BH86" t="s">
        <v>74</v>
      </c>
      <c r="BI86">
        <v>4</v>
      </c>
      <c r="BJ86" t="s">
        <v>194</v>
      </c>
      <c r="BK86" t="s">
        <v>99</v>
      </c>
      <c r="BL86" t="s">
        <v>195</v>
      </c>
      <c r="BM86" t="s">
        <v>1868</v>
      </c>
      <c r="BN86" t="s">
        <v>74</v>
      </c>
      <c r="BO86" t="s">
        <v>74</v>
      </c>
      <c r="BP86" t="s">
        <v>74</v>
      </c>
      <c r="BQ86" t="s">
        <v>74</v>
      </c>
      <c r="BR86" t="s">
        <v>101</v>
      </c>
      <c r="BS86" t="s">
        <v>1869</v>
      </c>
      <c r="BT86" t="str">
        <f>HYPERLINK("https%3A%2F%2Fwww.webofscience.com%2Fwos%2Fwoscc%2Ffull-record%2FWOS:000304870400019","View Full Record in Web of Science")</f>
        <v>View Full Record in Web of Science</v>
      </c>
    </row>
    <row r="87" spans="1:72" x14ac:dyDescent="0.15">
      <c r="A87" t="s">
        <v>72</v>
      </c>
      <c r="B87" t="s">
        <v>1870</v>
      </c>
      <c r="C87" t="s">
        <v>74</v>
      </c>
      <c r="D87" t="s">
        <v>74</v>
      </c>
      <c r="E87" t="s">
        <v>74</v>
      </c>
      <c r="F87" t="s">
        <v>1871</v>
      </c>
      <c r="G87" t="s">
        <v>74</v>
      </c>
      <c r="H87" t="s">
        <v>74</v>
      </c>
      <c r="I87" t="s">
        <v>1872</v>
      </c>
      <c r="J87" t="s">
        <v>1873</v>
      </c>
      <c r="K87" t="s">
        <v>74</v>
      </c>
      <c r="L87" t="s">
        <v>74</v>
      </c>
      <c r="M87" t="s">
        <v>78</v>
      </c>
      <c r="N87" t="s">
        <v>79</v>
      </c>
      <c r="O87" t="s">
        <v>74</v>
      </c>
      <c r="P87" t="s">
        <v>74</v>
      </c>
      <c r="Q87" t="s">
        <v>74</v>
      </c>
      <c r="R87" t="s">
        <v>74</v>
      </c>
      <c r="S87" t="s">
        <v>74</v>
      </c>
      <c r="T87" t="s">
        <v>1874</v>
      </c>
      <c r="U87" t="s">
        <v>1875</v>
      </c>
      <c r="V87" t="s">
        <v>1876</v>
      </c>
      <c r="W87" t="s">
        <v>1877</v>
      </c>
      <c r="X87" t="s">
        <v>1878</v>
      </c>
      <c r="Y87" t="s">
        <v>1879</v>
      </c>
      <c r="Z87" t="s">
        <v>1880</v>
      </c>
      <c r="AA87" t="s">
        <v>1881</v>
      </c>
      <c r="AB87" t="s">
        <v>1882</v>
      </c>
      <c r="AC87" t="s">
        <v>1883</v>
      </c>
      <c r="AD87" t="s">
        <v>1884</v>
      </c>
      <c r="AE87" t="s">
        <v>1885</v>
      </c>
      <c r="AF87" t="s">
        <v>74</v>
      </c>
      <c r="AG87">
        <v>79</v>
      </c>
      <c r="AH87">
        <v>28</v>
      </c>
      <c r="AI87">
        <v>30</v>
      </c>
      <c r="AJ87">
        <v>2</v>
      </c>
      <c r="AK87">
        <v>43</v>
      </c>
      <c r="AL87" t="s">
        <v>1620</v>
      </c>
      <c r="AM87" t="s">
        <v>278</v>
      </c>
      <c r="AN87" t="s">
        <v>1621</v>
      </c>
      <c r="AO87" t="s">
        <v>1886</v>
      </c>
      <c r="AP87" t="s">
        <v>1887</v>
      </c>
      <c r="AQ87" t="s">
        <v>74</v>
      </c>
      <c r="AR87" t="s">
        <v>1888</v>
      </c>
      <c r="AS87" t="s">
        <v>1889</v>
      </c>
      <c r="AT87" t="s">
        <v>559</v>
      </c>
      <c r="AU87">
        <v>2012</v>
      </c>
      <c r="AV87">
        <v>80</v>
      </c>
      <c r="AW87">
        <v>2</v>
      </c>
      <c r="AX87" t="s">
        <v>74</v>
      </c>
      <c r="AY87" t="s">
        <v>74</v>
      </c>
      <c r="AZ87" t="s">
        <v>74</v>
      </c>
      <c r="BA87" t="s">
        <v>74</v>
      </c>
      <c r="BB87">
        <v>452</v>
      </c>
      <c r="BC87">
        <v>468</v>
      </c>
      <c r="BD87" t="s">
        <v>74</v>
      </c>
      <c r="BE87" t="s">
        <v>1890</v>
      </c>
      <c r="BF87" t="str">
        <f>HYPERLINK("http://dx.doi.org/10.1111/j.1574-6941.2012.01313.x","http://dx.doi.org/10.1111/j.1574-6941.2012.01313.x")</f>
        <v>http://dx.doi.org/10.1111/j.1574-6941.2012.01313.x</v>
      </c>
      <c r="BG87" t="s">
        <v>74</v>
      </c>
      <c r="BH87" t="s">
        <v>74</v>
      </c>
      <c r="BI87">
        <v>17</v>
      </c>
      <c r="BJ87" t="s">
        <v>686</v>
      </c>
      <c r="BK87" t="s">
        <v>99</v>
      </c>
      <c r="BL87" t="s">
        <v>686</v>
      </c>
      <c r="BM87" t="s">
        <v>1891</v>
      </c>
      <c r="BN87">
        <v>22273466</v>
      </c>
      <c r="BO87" t="s">
        <v>638</v>
      </c>
      <c r="BP87" t="s">
        <v>74</v>
      </c>
      <c r="BQ87" t="s">
        <v>74</v>
      </c>
      <c r="BR87" t="s">
        <v>101</v>
      </c>
      <c r="BS87" t="s">
        <v>1892</v>
      </c>
      <c r="BT87" t="str">
        <f>HYPERLINK("https%3A%2F%2Fwww.webofscience.com%2Fwos%2Fwoscc%2Ffull-record%2FWOS:000302610700017","View Full Record in Web of Science")</f>
        <v>View Full Record in Web of Science</v>
      </c>
    </row>
    <row r="88" spans="1:72" x14ac:dyDescent="0.15">
      <c r="A88" t="s">
        <v>72</v>
      </c>
      <c r="B88" t="s">
        <v>1893</v>
      </c>
      <c r="C88" t="s">
        <v>74</v>
      </c>
      <c r="D88" t="s">
        <v>74</v>
      </c>
      <c r="E88" t="s">
        <v>74</v>
      </c>
      <c r="F88" t="s">
        <v>1894</v>
      </c>
      <c r="G88" t="s">
        <v>74</v>
      </c>
      <c r="H88" t="s">
        <v>74</v>
      </c>
      <c r="I88" t="s">
        <v>1895</v>
      </c>
      <c r="J88" t="s">
        <v>1896</v>
      </c>
      <c r="K88" t="s">
        <v>74</v>
      </c>
      <c r="L88" t="s">
        <v>74</v>
      </c>
      <c r="M88" t="s">
        <v>78</v>
      </c>
      <c r="N88" t="s">
        <v>79</v>
      </c>
      <c r="O88" t="s">
        <v>74</v>
      </c>
      <c r="P88" t="s">
        <v>74</v>
      </c>
      <c r="Q88" t="s">
        <v>74</v>
      </c>
      <c r="R88" t="s">
        <v>74</v>
      </c>
      <c r="S88" t="s">
        <v>74</v>
      </c>
      <c r="T88" t="s">
        <v>1897</v>
      </c>
      <c r="U88" t="s">
        <v>1898</v>
      </c>
      <c r="V88" t="s">
        <v>1899</v>
      </c>
      <c r="W88" t="s">
        <v>1900</v>
      </c>
      <c r="X88" t="s">
        <v>1901</v>
      </c>
      <c r="Y88" t="s">
        <v>1902</v>
      </c>
      <c r="Z88" t="s">
        <v>1903</v>
      </c>
      <c r="AA88" t="s">
        <v>1904</v>
      </c>
      <c r="AB88" t="s">
        <v>74</v>
      </c>
      <c r="AC88" t="s">
        <v>1905</v>
      </c>
      <c r="AD88" t="s">
        <v>1906</v>
      </c>
      <c r="AE88" t="s">
        <v>1907</v>
      </c>
      <c r="AF88" t="s">
        <v>74</v>
      </c>
      <c r="AG88">
        <v>88</v>
      </c>
      <c r="AH88">
        <v>24</v>
      </c>
      <c r="AI88">
        <v>28</v>
      </c>
      <c r="AJ88">
        <v>2</v>
      </c>
      <c r="AK88">
        <v>38</v>
      </c>
      <c r="AL88" t="s">
        <v>655</v>
      </c>
      <c r="AM88" t="s">
        <v>656</v>
      </c>
      <c r="AN88" t="s">
        <v>1908</v>
      </c>
      <c r="AO88" t="s">
        <v>1909</v>
      </c>
      <c r="AP88" t="s">
        <v>1910</v>
      </c>
      <c r="AQ88" t="s">
        <v>74</v>
      </c>
      <c r="AR88" t="s">
        <v>1911</v>
      </c>
      <c r="AS88" t="s">
        <v>1912</v>
      </c>
      <c r="AT88" t="s">
        <v>559</v>
      </c>
      <c r="AU88">
        <v>2012</v>
      </c>
      <c r="AV88">
        <v>54</v>
      </c>
      <c r="AW88">
        <v>1</v>
      </c>
      <c r="AX88" t="s">
        <v>74</v>
      </c>
      <c r="AY88" t="s">
        <v>74</v>
      </c>
      <c r="AZ88" t="s">
        <v>1913</v>
      </c>
      <c r="BA88" t="s">
        <v>74</v>
      </c>
      <c r="BB88">
        <v>133</v>
      </c>
      <c r="BC88">
        <v>142</v>
      </c>
      <c r="BD88" t="s">
        <v>74</v>
      </c>
      <c r="BE88" t="s">
        <v>1914</v>
      </c>
      <c r="BF88" t="str">
        <f>HYPERLINK("http://dx.doi.org/10.1007/s13225-012-0167-8","http://dx.doi.org/10.1007/s13225-012-0167-8")</f>
        <v>http://dx.doi.org/10.1007/s13225-012-0167-8</v>
      </c>
      <c r="BG88" t="s">
        <v>74</v>
      </c>
      <c r="BH88" t="s">
        <v>74</v>
      </c>
      <c r="BI88">
        <v>10</v>
      </c>
      <c r="BJ88" t="s">
        <v>1915</v>
      </c>
      <c r="BK88" t="s">
        <v>99</v>
      </c>
      <c r="BL88" t="s">
        <v>1915</v>
      </c>
      <c r="BM88" t="s">
        <v>1916</v>
      </c>
      <c r="BN88" t="s">
        <v>74</v>
      </c>
      <c r="BO88" t="s">
        <v>74</v>
      </c>
      <c r="BP88" t="s">
        <v>74</v>
      </c>
      <c r="BQ88" t="s">
        <v>74</v>
      </c>
      <c r="BR88" t="s">
        <v>101</v>
      </c>
      <c r="BS88" t="s">
        <v>1917</v>
      </c>
      <c r="BT88" t="str">
        <f>HYPERLINK("https%3A%2F%2Fwww.webofscience.com%2Fwos%2Fwoscc%2Ffull-record%2FWOS:000303881300012","View Full Record in Web of Science")</f>
        <v>View Full Record in Web of Science</v>
      </c>
    </row>
    <row r="89" spans="1:72" x14ac:dyDescent="0.15">
      <c r="A89" t="s">
        <v>72</v>
      </c>
      <c r="B89" t="s">
        <v>1918</v>
      </c>
      <c r="C89" t="s">
        <v>74</v>
      </c>
      <c r="D89" t="s">
        <v>74</v>
      </c>
      <c r="E89" t="s">
        <v>74</v>
      </c>
      <c r="F89" t="s">
        <v>1919</v>
      </c>
      <c r="G89" t="s">
        <v>74</v>
      </c>
      <c r="H89" t="s">
        <v>74</v>
      </c>
      <c r="I89" t="s">
        <v>1920</v>
      </c>
      <c r="J89" t="s">
        <v>1125</v>
      </c>
      <c r="K89" t="s">
        <v>74</v>
      </c>
      <c r="L89" t="s">
        <v>74</v>
      </c>
      <c r="M89" t="s">
        <v>78</v>
      </c>
      <c r="N89" t="s">
        <v>79</v>
      </c>
      <c r="O89" t="s">
        <v>74</v>
      </c>
      <c r="P89" t="s">
        <v>74</v>
      </c>
      <c r="Q89" t="s">
        <v>74</v>
      </c>
      <c r="R89" t="s">
        <v>74</v>
      </c>
      <c r="S89" t="s">
        <v>74</v>
      </c>
      <c r="T89" t="s">
        <v>74</v>
      </c>
      <c r="U89" t="s">
        <v>1921</v>
      </c>
      <c r="V89" t="s">
        <v>1922</v>
      </c>
      <c r="W89" t="s">
        <v>1923</v>
      </c>
      <c r="X89" t="s">
        <v>1924</v>
      </c>
      <c r="Y89" t="s">
        <v>1925</v>
      </c>
      <c r="Z89" t="s">
        <v>1926</v>
      </c>
      <c r="AA89" t="s">
        <v>1927</v>
      </c>
      <c r="AB89" t="s">
        <v>1928</v>
      </c>
      <c r="AC89" t="s">
        <v>74</v>
      </c>
      <c r="AD89" t="s">
        <v>74</v>
      </c>
      <c r="AE89" t="s">
        <v>74</v>
      </c>
      <c r="AF89" t="s">
        <v>74</v>
      </c>
      <c r="AG89">
        <v>24</v>
      </c>
      <c r="AH89">
        <v>5</v>
      </c>
      <c r="AI89">
        <v>5</v>
      </c>
      <c r="AJ89">
        <v>0</v>
      </c>
      <c r="AK89">
        <v>19</v>
      </c>
      <c r="AL89" t="s">
        <v>681</v>
      </c>
      <c r="AM89" t="s">
        <v>656</v>
      </c>
      <c r="AN89" t="s">
        <v>682</v>
      </c>
      <c r="AO89" t="s">
        <v>1130</v>
      </c>
      <c r="AP89" t="s">
        <v>1929</v>
      </c>
      <c r="AQ89" t="s">
        <v>74</v>
      </c>
      <c r="AR89" t="s">
        <v>1131</v>
      </c>
      <c r="AS89" t="s">
        <v>1132</v>
      </c>
      <c r="AT89" t="s">
        <v>559</v>
      </c>
      <c r="AU89">
        <v>2012</v>
      </c>
      <c r="AV89">
        <v>52</v>
      </c>
      <c r="AW89">
        <v>3</v>
      </c>
      <c r="AX89" t="s">
        <v>74</v>
      </c>
      <c r="AY89" t="s">
        <v>74</v>
      </c>
      <c r="AZ89" t="s">
        <v>74</v>
      </c>
      <c r="BA89" t="s">
        <v>74</v>
      </c>
      <c r="BB89">
        <v>300</v>
      </c>
      <c r="BC89">
        <v>308</v>
      </c>
      <c r="BD89" t="s">
        <v>74</v>
      </c>
      <c r="BE89" t="s">
        <v>1930</v>
      </c>
      <c r="BF89" t="str">
        <f>HYPERLINK("http://dx.doi.org/10.1134/S0016793212020089","http://dx.doi.org/10.1134/S0016793212020089")</f>
        <v>http://dx.doi.org/10.1134/S0016793212020089</v>
      </c>
      <c r="BG89" t="s">
        <v>74</v>
      </c>
      <c r="BH89" t="s">
        <v>74</v>
      </c>
      <c r="BI89">
        <v>9</v>
      </c>
      <c r="BJ89" t="s">
        <v>1134</v>
      </c>
      <c r="BK89" t="s">
        <v>99</v>
      </c>
      <c r="BL89" t="s">
        <v>1134</v>
      </c>
      <c r="BM89" t="s">
        <v>1135</v>
      </c>
      <c r="BN89" t="s">
        <v>74</v>
      </c>
      <c r="BO89" t="s">
        <v>74</v>
      </c>
      <c r="BP89" t="s">
        <v>74</v>
      </c>
      <c r="BQ89" t="s">
        <v>74</v>
      </c>
      <c r="BR89" t="s">
        <v>101</v>
      </c>
      <c r="BS89" t="s">
        <v>1931</v>
      </c>
      <c r="BT89" t="str">
        <f>HYPERLINK("https%3A%2F%2Fwww.webofscience.com%2Fwos%2Fwoscc%2Ffull-record%2FWOS:000304359700003","View Full Record in Web of Science")</f>
        <v>View Full Record in Web of Science</v>
      </c>
    </row>
    <row r="90" spans="1:72" x14ac:dyDescent="0.15">
      <c r="A90" t="s">
        <v>72</v>
      </c>
      <c r="B90" t="s">
        <v>1932</v>
      </c>
      <c r="C90" t="s">
        <v>74</v>
      </c>
      <c r="D90" t="s">
        <v>74</v>
      </c>
      <c r="E90" t="s">
        <v>74</v>
      </c>
      <c r="F90" t="s">
        <v>1933</v>
      </c>
      <c r="G90" t="s">
        <v>74</v>
      </c>
      <c r="H90" t="s">
        <v>74</v>
      </c>
      <c r="I90" t="s">
        <v>1934</v>
      </c>
      <c r="J90" t="s">
        <v>923</v>
      </c>
      <c r="K90" t="s">
        <v>74</v>
      </c>
      <c r="L90" t="s">
        <v>74</v>
      </c>
      <c r="M90" t="s">
        <v>78</v>
      </c>
      <c r="N90" t="s">
        <v>79</v>
      </c>
      <c r="O90" t="s">
        <v>74</v>
      </c>
      <c r="P90" t="s">
        <v>74</v>
      </c>
      <c r="Q90" t="s">
        <v>74</v>
      </c>
      <c r="R90" t="s">
        <v>74</v>
      </c>
      <c r="S90" t="s">
        <v>74</v>
      </c>
      <c r="T90" t="s">
        <v>1935</v>
      </c>
      <c r="U90" t="s">
        <v>1936</v>
      </c>
      <c r="V90" t="s">
        <v>1937</v>
      </c>
      <c r="W90" t="s">
        <v>1938</v>
      </c>
      <c r="X90" t="s">
        <v>1939</v>
      </c>
      <c r="Y90" t="s">
        <v>1940</v>
      </c>
      <c r="Z90" t="s">
        <v>1941</v>
      </c>
      <c r="AA90" t="s">
        <v>1942</v>
      </c>
      <c r="AB90" t="s">
        <v>1943</v>
      </c>
      <c r="AC90" t="s">
        <v>1944</v>
      </c>
      <c r="AD90" t="s">
        <v>1945</v>
      </c>
      <c r="AE90" t="s">
        <v>1946</v>
      </c>
      <c r="AF90" t="s">
        <v>74</v>
      </c>
      <c r="AG90">
        <v>66</v>
      </c>
      <c r="AH90">
        <v>17</v>
      </c>
      <c r="AI90">
        <v>18</v>
      </c>
      <c r="AJ90">
        <v>1</v>
      </c>
      <c r="AK90">
        <v>35</v>
      </c>
      <c r="AL90" t="s">
        <v>935</v>
      </c>
      <c r="AM90" t="s">
        <v>369</v>
      </c>
      <c r="AN90" t="s">
        <v>936</v>
      </c>
      <c r="AO90" t="s">
        <v>937</v>
      </c>
      <c r="AP90" t="s">
        <v>938</v>
      </c>
      <c r="AQ90" t="s">
        <v>74</v>
      </c>
      <c r="AR90" t="s">
        <v>939</v>
      </c>
      <c r="AS90" t="s">
        <v>940</v>
      </c>
      <c r="AT90" t="s">
        <v>559</v>
      </c>
      <c r="AU90">
        <v>2012</v>
      </c>
      <c r="AV90" t="s">
        <v>941</v>
      </c>
      <c r="AW90" t="s">
        <v>74</v>
      </c>
      <c r="AX90" t="s">
        <v>74</v>
      </c>
      <c r="AY90" t="s">
        <v>74</v>
      </c>
      <c r="AZ90" t="s">
        <v>74</v>
      </c>
      <c r="BA90" t="s">
        <v>74</v>
      </c>
      <c r="BB90">
        <v>64</v>
      </c>
      <c r="BC90">
        <v>75</v>
      </c>
      <c r="BD90" t="s">
        <v>74</v>
      </c>
      <c r="BE90" t="s">
        <v>1947</v>
      </c>
      <c r="BF90" t="str">
        <f>HYPERLINK("http://dx.doi.org/10.1016/j.gloplacha.2012.03.004","http://dx.doi.org/10.1016/j.gloplacha.2012.03.004")</f>
        <v>http://dx.doi.org/10.1016/j.gloplacha.2012.03.004</v>
      </c>
      <c r="BG90" t="s">
        <v>74</v>
      </c>
      <c r="BH90" t="s">
        <v>74</v>
      </c>
      <c r="BI90">
        <v>12</v>
      </c>
      <c r="BJ90" t="s">
        <v>943</v>
      </c>
      <c r="BK90" t="s">
        <v>99</v>
      </c>
      <c r="BL90" t="s">
        <v>944</v>
      </c>
      <c r="BM90" t="s">
        <v>945</v>
      </c>
      <c r="BN90" t="s">
        <v>74</v>
      </c>
      <c r="BO90" t="s">
        <v>74</v>
      </c>
      <c r="BP90" t="s">
        <v>74</v>
      </c>
      <c r="BQ90" t="s">
        <v>74</v>
      </c>
      <c r="BR90" t="s">
        <v>101</v>
      </c>
      <c r="BS90" t="s">
        <v>1948</v>
      </c>
      <c r="BT90" t="str">
        <f>HYPERLINK("https%3A%2F%2Fwww.webofscience.com%2Fwos%2Fwoscc%2Ffull-record%2FWOS:000304848800007","View Full Record in Web of Science")</f>
        <v>View Full Record in Web of Science</v>
      </c>
    </row>
    <row r="91" spans="1:72" x14ac:dyDescent="0.15">
      <c r="A91" t="s">
        <v>72</v>
      </c>
      <c r="B91" t="s">
        <v>1949</v>
      </c>
      <c r="C91" t="s">
        <v>74</v>
      </c>
      <c r="D91" t="s">
        <v>74</v>
      </c>
      <c r="E91" t="s">
        <v>74</v>
      </c>
      <c r="F91" t="s">
        <v>1950</v>
      </c>
      <c r="G91" t="s">
        <v>74</v>
      </c>
      <c r="H91" t="s">
        <v>74</v>
      </c>
      <c r="I91" t="s">
        <v>1951</v>
      </c>
      <c r="J91" t="s">
        <v>1952</v>
      </c>
      <c r="K91" t="s">
        <v>74</v>
      </c>
      <c r="L91" t="s">
        <v>74</v>
      </c>
      <c r="M91" t="s">
        <v>78</v>
      </c>
      <c r="N91" t="s">
        <v>79</v>
      </c>
      <c r="O91" t="s">
        <v>74</v>
      </c>
      <c r="P91" t="s">
        <v>74</v>
      </c>
      <c r="Q91" t="s">
        <v>74</v>
      </c>
      <c r="R91" t="s">
        <v>74</v>
      </c>
      <c r="S91" t="s">
        <v>74</v>
      </c>
      <c r="T91" t="s">
        <v>1953</v>
      </c>
      <c r="U91" t="s">
        <v>1954</v>
      </c>
      <c r="V91" t="s">
        <v>1955</v>
      </c>
      <c r="W91" t="s">
        <v>1956</v>
      </c>
      <c r="X91" t="s">
        <v>1957</v>
      </c>
      <c r="Y91" t="s">
        <v>1958</v>
      </c>
      <c r="Z91" t="s">
        <v>1959</v>
      </c>
      <c r="AA91" t="s">
        <v>74</v>
      </c>
      <c r="AB91" t="s">
        <v>1960</v>
      </c>
      <c r="AC91" t="s">
        <v>1961</v>
      </c>
      <c r="AD91" t="s">
        <v>1962</v>
      </c>
      <c r="AE91" t="s">
        <v>1963</v>
      </c>
      <c r="AF91" t="s">
        <v>74</v>
      </c>
      <c r="AG91">
        <v>16</v>
      </c>
      <c r="AH91">
        <v>70</v>
      </c>
      <c r="AI91">
        <v>83</v>
      </c>
      <c r="AJ91">
        <v>0</v>
      </c>
      <c r="AK91">
        <v>28</v>
      </c>
      <c r="AL91" t="s">
        <v>1964</v>
      </c>
      <c r="AM91" t="s">
        <v>1965</v>
      </c>
      <c r="AN91" t="s">
        <v>1966</v>
      </c>
      <c r="AO91" t="s">
        <v>1967</v>
      </c>
      <c r="AP91" t="s">
        <v>74</v>
      </c>
      <c r="AQ91" t="s">
        <v>74</v>
      </c>
      <c r="AR91" t="s">
        <v>1952</v>
      </c>
      <c r="AS91" t="s">
        <v>1968</v>
      </c>
      <c r="AT91" t="s">
        <v>559</v>
      </c>
      <c r="AU91">
        <v>2012</v>
      </c>
      <c r="AV91">
        <v>219</v>
      </c>
      <c r="AW91">
        <v>1</v>
      </c>
      <c r="AX91" t="s">
        <v>74</v>
      </c>
      <c r="AY91" t="s">
        <v>74</v>
      </c>
      <c r="AZ91" t="s">
        <v>74</v>
      </c>
      <c r="BA91" t="s">
        <v>74</v>
      </c>
      <c r="BB91">
        <v>1</v>
      </c>
      <c r="BC91">
        <v>4</v>
      </c>
      <c r="BD91" t="s">
        <v>74</v>
      </c>
      <c r="BE91" t="s">
        <v>1969</v>
      </c>
      <c r="BF91" t="str">
        <f>HYPERLINK("http://dx.doi.org/10.1016/j.icarus.2012.02.016","http://dx.doi.org/10.1016/j.icarus.2012.02.016")</f>
        <v>http://dx.doi.org/10.1016/j.icarus.2012.02.016</v>
      </c>
      <c r="BG91" t="s">
        <v>74</v>
      </c>
      <c r="BH91" t="s">
        <v>74</v>
      </c>
      <c r="BI91">
        <v>4</v>
      </c>
      <c r="BJ91" t="s">
        <v>438</v>
      </c>
      <c r="BK91" t="s">
        <v>99</v>
      </c>
      <c r="BL91" t="s">
        <v>438</v>
      </c>
      <c r="BM91" t="s">
        <v>1970</v>
      </c>
      <c r="BN91" t="s">
        <v>74</v>
      </c>
      <c r="BO91" t="s">
        <v>74</v>
      </c>
      <c r="BP91" t="s">
        <v>74</v>
      </c>
      <c r="BQ91" t="s">
        <v>74</v>
      </c>
      <c r="BR91" t="s">
        <v>101</v>
      </c>
      <c r="BS91" t="s">
        <v>1971</v>
      </c>
      <c r="BT91" t="str">
        <f>HYPERLINK("https%3A%2F%2Fwww.webofscience.com%2Fwos%2Fwoscc%2Ffull-record%2FWOS:000306541000002","View Full Record in Web of Science")</f>
        <v>View Full Record in Web of Science</v>
      </c>
    </row>
    <row r="92" spans="1:72" x14ac:dyDescent="0.15">
      <c r="A92" t="s">
        <v>72</v>
      </c>
      <c r="B92" t="s">
        <v>1972</v>
      </c>
      <c r="C92" t="s">
        <v>74</v>
      </c>
      <c r="D92" t="s">
        <v>74</v>
      </c>
      <c r="E92" t="s">
        <v>74</v>
      </c>
      <c r="F92" t="s">
        <v>1973</v>
      </c>
      <c r="G92" t="s">
        <v>74</v>
      </c>
      <c r="H92" t="s">
        <v>74</v>
      </c>
      <c r="I92" t="s">
        <v>1974</v>
      </c>
      <c r="J92" t="s">
        <v>1952</v>
      </c>
      <c r="K92" t="s">
        <v>74</v>
      </c>
      <c r="L92" t="s">
        <v>74</v>
      </c>
      <c r="M92" t="s">
        <v>78</v>
      </c>
      <c r="N92" t="s">
        <v>79</v>
      </c>
      <c r="O92" t="s">
        <v>74</v>
      </c>
      <c r="P92" t="s">
        <v>74</v>
      </c>
      <c r="Q92" t="s">
        <v>74</v>
      </c>
      <c r="R92" t="s">
        <v>74</v>
      </c>
      <c r="S92" t="s">
        <v>74</v>
      </c>
      <c r="T92" t="s">
        <v>1975</v>
      </c>
      <c r="U92" t="s">
        <v>1976</v>
      </c>
      <c r="V92" t="s">
        <v>1977</v>
      </c>
      <c r="W92" t="s">
        <v>1978</v>
      </c>
      <c r="X92" t="s">
        <v>1979</v>
      </c>
      <c r="Y92" t="s">
        <v>1980</v>
      </c>
      <c r="Z92" t="s">
        <v>1981</v>
      </c>
      <c r="AA92" t="s">
        <v>1982</v>
      </c>
      <c r="AB92" t="s">
        <v>1983</v>
      </c>
      <c r="AC92" t="s">
        <v>1984</v>
      </c>
      <c r="AD92" t="s">
        <v>1984</v>
      </c>
      <c r="AE92" t="s">
        <v>1985</v>
      </c>
      <c r="AF92" t="s">
        <v>74</v>
      </c>
      <c r="AG92">
        <v>48</v>
      </c>
      <c r="AH92">
        <v>76</v>
      </c>
      <c r="AI92">
        <v>78</v>
      </c>
      <c r="AJ92">
        <v>0</v>
      </c>
      <c r="AK92">
        <v>31</v>
      </c>
      <c r="AL92" t="s">
        <v>1964</v>
      </c>
      <c r="AM92" t="s">
        <v>1965</v>
      </c>
      <c r="AN92" t="s">
        <v>1966</v>
      </c>
      <c r="AO92" t="s">
        <v>1967</v>
      </c>
      <c r="AP92" t="s">
        <v>1986</v>
      </c>
      <c r="AQ92" t="s">
        <v>74</v>
      </c>
      <c r="AR92" t="s">
        <v>1952</v>
      </c>
      <c r="AS92" t="s">
        <v>1968</v>
      </c>
      <c r="AT92" t="s">
        <v>559</v>
      </c>
      <c r="AU92">
        <v>2012</v>
      </c>
      <c r="AV92">
        <v>219</v>
      </c>
      <c r="AW92">
        <v>1</v>
      </c>
      <c r="AX92" t="s">
        <v>74</v>
      </c>
      <c r="AY92" t="s">
        <v>74</v>
      </c>
      <c r="AZ92" t="s">
        <v>74</v>
      </c>
      <c r="BA92" t="s">
        <v>74</v>
      </c>
      <c r="BB92">
        <v>25</v>
      </c>
      <c r="BC92">
        <v>40</v>
      </c>
      <c r="BD92" t="s">
        <v>74</v>
      </c>
      <c r="BE92" t="s">
        <v>1987</v>
      </c>
      <c r="BF92" t="str">
        <f>HYPERLINK("http://dx.doi.org/10.1016/j.icarus.2012.02.013","http://dx.doi.org/10.1016/j.icarus.2012.02.013")</f>
        <v>http://dx.doi.org/10.1016/j.icarus.2012.02.013</v>
      </c>
      <c r="BG92" t="s">
        <v>74</v>
      </c>
      <c r="BH92" t="s">
        <v>74</v>
      </c>
      <c r="BI92">
        <v>16</v>
      </c>
      <c r="BJ92" t="s">
        <v>438</v>
      </c>
      <c r="BK92" t="s">
        <v>99</v>
      </c>
      <c r="BL92" t="s">
        <v>438</v>
      </c>
      <c r="BM92" t="s">
        <v>1970</v>
      </c>
      <c r="BN92" t="s">
        <v>74</v>
      </c>
      <c r="BO92" t="s">
        <v>74</v>
      </c>
      <c r="BP92" t="s">
        <v>74</v>
      </c>
      <c r="BQ92" t="s">
        <v>74</v>
      </c>
      <c r="BR92" t="s">
        <v>101</v>
      </c>
      <c r="BS92" t="s">
        <v>1988</v>
      </c>
      <c r="BT92" t="str">
        <f>HYPERLINK("https%3A%2F%2Fwww.webofscience.com%2Fwos%2Fwoscc%2Ffull-record%2FWOS:000306541000005","View Full Record in Web of Science")</f>
        <v>View Full Record in Web of Science</v>
      </c>
    </row>
    <row r="93" spans="1:72" x14ac:dyDescent="0.15">
      <c r="A93" t="s">
        <v>72</v>
      </c>
      <c r="B93" t="s">
        <v>1989</v>
      </c>
      <c r="C93" t="s">
        <v>74</v>
      </c>
      <c r="D93" t="s">
        <v>74</v>
      </c>
      <c r="E93" t="s">
        <v>74</v>
      </c>
      <c r="F93" t="s">
        <v>1990</v>
      </c>
      <c r="G93" t="s">
        <v>74</v>
      </c>
      <c r="H93" t="s">
        <v>74</v>
      </c>
      <c r="I93" t="s">
        <v>1991</v>
      </c>
      <c r="J93" t="s">
        <v>1992</v>
      </c>
      <c r="K93" t="s">
        <v>74</v>
      </c>
      <c r="L93" t="s">
        <v>74</v>
      </c>
      <c r="M93" t="s">
        <v>78</v>
      </c>
      <c r="N93" t="s">
        <v>79</v>
      </c>
      <c r="O93" t="s">
        <v>74</v>
      </c>
      <c r="P93" t="s">
        <v>74</v>
      </c>
      <c r="Q93" t="s">
        <v>74</v>
      </c>
      <c r="R93" t="s">
        <v>74</v>
      </c>
      <c r="S93" t="s">
        <v>74</v>
      </c>
      <c r="T93" t="s">
        <v>1993</v>
      </c>
      <c r="U93" t="s">
        <v>1994</v>
      </c>
      <c r="V93" t="s">
        <v>1995</v>
      </c>
      <c r="W93" t="s">
        <v>1996</v>
      </c>
      <c r="X93" t="s">
        <v>1997</v>
      </c>
      <c r="Y93" t="s">
        <v>1998</v>
      </c>
      <c r="Z93" t="s">
        <v>1999</v>
      </c>
      <c r="AA93" t="s">
        <v>2000</v>
      </c>
      <c r="AB93" t="s">
        <v>2001</v>
      </c>
      <c r="AC93" t="s">
        <v>2002</v>
      </c>
      <c r="AD93" t="s">
        <v>2003</v>
      </c>
      <c r="AE93" t="s">
        <v>2004</v>
      </c>
      <c r="AF93" t="s">
        <v>74</v>
      </c>
      <c r="AG93">
        <v>70</v>
      </c>
      <c r="AH93">
        <v>215</v>
      </c>
      <c r="AI93">
        <v>237</v>
      </c>
      <c r="AJ93">
        <v>4</v>
      </c>
      <c r="AK93">
        <v>90</v>
      </c>
      <c r="AL93" t="s">
        <v>2005</v>
      </c>
      <c r="AM93" t="s">
        <v>147</v>
      </c>
      <c r="AN93" t="s">
        <v>2006</v>
      </c>
      <c r="AO93" t="s">
        <v>2007</v>
      </c>
      <c r="AP93" t="s">
        <v>2008</v>
      </c>
      <c r="AQ93" t="s">
        <v>74</v>
      </c>
      <c r="AR93" t="s">
        <v>2009</v>
      </c>
      <c r="AS93" t="s">
        <v>2010</v>
      </c>
      <c r="AT93" t="s">
        <v>559</v>
      </c>
      <c r="AU93">
        <v>2012</v>
      </c>
      <c r="AV93">
        <v>6</v>
      </c>
      <c r="AW93">
        <v>5</v>
      </c>
      <c r="AX93" t="s">
        <v>74</v>
      </c>
      <c r="AY93" t="s">
        <v>74</v>
      </c>
      <c r="AZ93" t="s">
        <v>74</v>
      </c>
      <c r="BA93" t="s">
        <v>74</v>
      </c>
      <c r="BB93">
        <v>1046</v>
      </c>
      <c r="BC93">
        <v>1057</v>
      </c>
      <c r="BD93" t="s">
        <v>74</v>
      </c>
      <c r="BE93" t="s">
        <v>2011</v>
      </c>
      <c r="BF93" t="str">
        <f>HYPERLINK("http://dx.doi.org/10.1038/ismej.2011.170","http://dx.doi.org/10.1038/ismej.2011.170")</f>
        <v>http://dx.doi.org/10.1038/ismej.2011.170</v>
      </c>
      <c r="BG93" t="s">
        <v>74</v>
      </c>
      <c r="BH93" t="s">
        <v>74</v>
      </c>
      <c r="BI93">
        <v>12</v>
      </c>
      <c r="BJ93" t="s">
        <v>2012</v>
      </c>
      <c r="BK93" t="s">
        <v>99</v>
      </c>
      <c r="BL93" t="s">
        <v>2013</v>
      </c>
      <c r="BM93" t="s">
        <v>2014</v>
      </c>
      <c r="BN93">
        <v>22170424</v>
      </c>
      <c r="BO93" t="s">
        <v>308</v>
      </c>
      <c r="BP93" t="s">
        <v>74</v>
      </c>
      <c r="BQ93" t="s">
        <v>74</v>
      </c>
      <c r="BR93" t="s">
        <v>101</v>
      </c>
      <c r="BS93" t="s">
        <v>2015</v>
      </c>
      <c r="BT93" t="str">
        <f>HYPERLINK("https%3A%2F%2Fwww.webofscience.com%2Fwos%2Fwoscc%2Ffull-record%2FWOS:000302950700013","View Full Record in Web of Science")</f>
        <v>View Full Record in Web of Science</v>
      </c>
    </row>
    <row r="94" spans="1:72" x14ac:dyDescent="0.15">
      <c r="A94" t="s">
        <v>72</v>
      </c>
      <c r="B94" t="s">
        <v>2016</v>
      </c>
      <c r="C94" t="s">
        <v>74</v>
      </c>
      <c r="D94" t="s">
        <v>74</v>
      </c>
      <c r="E94" t="s">
        <v>74</v>
      </c>
      <c r="F94" t="s">
        <v>2017</v>
      </c>
      <c r="G94" t="s">
        <v>74</v>
      </c>
      <c r="H94" t="s">
        <v>74</v>
      </c>
      <c r="I94" t="s">
        <v>2018</v>
      </c>
      <c r="J94" t="s">
        <v>2019</v>
      </c>
      <c r="K94" t="s">
        <v>74</v>
      </c>
      <c r="L94" t="s">
        <v>74</v>
      </c>
      <c r="M94" t="s">
        <v>78</v>
      </c>
      <c r="N94" t="s">
        <v>79</v>
      </c>
      <c r="O94" t="s">
        <v>74</v>
      </c>
      <c r="P94" t="s">
        <v>74</v>
      </c>
      <c r="Q94" t="s">
        <v>74</v>
      </c>
      <c r="R94" t="s">
        <v>74</v>
      </c>
      <c r="S94" t="s">
        <v>74</v>
      </c>
      <c r="T94" t="s">
        <v>74</v>
      </c>
      <c r="U94" t="s">
        <v>2020</v>
      </c>
      <c r="V94" t="s">
        <v>2021</v>
      </c>
      <c r="W94" t="s">
        <v>2022</v>
      </c>
      <c r="X94" t="s">
        <v>2023</v>
      </c>
      <c r="Y94" t="s">
        <v>2024</v>
      </c>
      <c r="Z94" t="s">
        <v>2025</v>
      </c>
      <c r="AA94" t="s">
        <v>74</v>
      </c>
      <c r="AB94" t="s">
        <v>2026</v>
      </c>
      <c r="AC94" t="s">
        <v>2027</v>
      </c>
      <c r="AD94" t="s">
        <v>2028</v>
      </c>
      <c r="AE94" t="s">
        <v>2029</v>
      </c>
      <c r="AF94" t="s">
        <v>74</v>
      </c>
      <c r="AG94">
        <v>9</v>
      </c>
      <c r="AH94">
        <v>31</v>
      </c>
      <c r="AI94">
        <v>34</v>
      </c>
      <c r="AJ94">
        <v>0</v>
      </c>
      <c r="AK94">
        <v>9</v>
      </c>
      <c r="AL94" t="s">
        <v>2030</v>
      </c>
      <c r="AM94" t="s">
        <v>119</v>
      </c>
      <c r="AN94" t="s">
        <v>2031</v>
      </c>
      <c r="AO94" t="s">
        <v>2032</v>
      </c>
      <c r="AP94" t="s">
        <v>2033</v>
      </c>
      <c r="AQ94" t="s">
        <v>74</v>
      </c>
      <c r="AR94" t="s">
        <v>2034</v>
      </c>
      <c r="AS94" t="s">
        <v>2035</v>
      </c>
      <c r="AT94" t="s">
        <v>559</v>
      </c>
      <c r="AU94">
        <v>2012</v>
      </c>
      <c r="AV94">
        <v>194</v>
      </c>
      <c r="AW94">
        <v>9</v>
      </c>
      <c r="AX94" t="s">
        <v>74</v>
      </c>
      <c r="AY94" t="s">
        <v>74</v>
      </c>
      <c r="AZ94" t="s">
        <v>74</v>
      </c>
      <c r="BA94" t="s">
        <v>74</v>
      </c>
      <c r="BB94">
        <v>2381</v>
      </c>
      <c r="BC94">
        <v>2382</v>
      </c>
      <c r="BD94" t="s">
        <v>74</v>
      </c>
      <c r="BE94" t="s">
        <v>2036</v>
      </c>
      <c r="BF94" t="str">
        <f>HYPERLINK("http://dx.doi.org/10.1128/JB.00172-12","http://dx.doi.org/10.1128/JB.00172-12")</f>
        <v>http://dx.doi.org/10.1128/JB.00172-12</v>
      </c>
      <c r="BG94" t="s">
        <v>74</v>
      </c>
      <c r="BH94" t="s">
        <v>74</v>
      </c>
      <c r="BI94">
        <v>2</v>
      </c>
      <c r="BJ94" t="s">
        <v>686</v>
      </c>
      <c r="BK94" t="s">
        <v>99</v>
      </c>
      <c r="BL94" t="s">
        <v>686</v>
      </c>
      <c r="BM94" t="s">
        <v>2037</v>
      </c>
      <c r="BN94">
        <v>22493195</v>
      </c>
      <c r="BO94" t="s">
        <v>308</v>
      </c>
      <c r="BP94" t="s">
        <v>74</v>
      </c>
      <c r="BQ94" t="s">
        <v>74</v>
      </c>
      <c r="BR94" t="s">
        <v>101</v>
      </c>
      <c r="BS94" t="s">
        <v>2038</v>
      </c>
      <c r="BT94" t="str">
        <f>HYPERLINK("https%3A%2F%2Fwww.webofscience.com%2Fwos%2Fwoscc%2Ffull-record%2FWOS:000302808400031","View Full Record in Web of Science")</f>
        <v>View Full Record in Web of Science</v>
      </c>
    </row>
    <row r="95" spans="1:72" x14ac:dyDescent="0.15">
      <c r="A95" t="s">
        <v>72</v>
      </c>
      <c r="B95" t="s">
        <v>2039</v>
      </c>
      <c r="C95" t="s">
        <v>74</v>
      </c>
      <c r="D95" t="s">
        <v>74</v>
      </c>
      <c r="E95" t="s">
        <v>74</v>
      </c>
      <c r="F95" t="s">
        <v>2040</v>
      </c>
      <c r="G95" t="s">
        <v>74</v>
      </c>
      <c r="H95" t="s">
        <v>74</v>
      </c>
      <c r="I95" t="s">
        <v>2041</v>
      </c>
      <c r="J95" t="s">
        <v>2019</v>
      </c>
      <c r="K95" t="s">
        <v>74</v>
      </c>
      <c r="L95" t="s">
        <v>74</v>
      </c>
      <c r="M95" t="s">
        <v>78</v>
      </c>
      <c r="N95" t="s">
        <v>79</v>
      </c>
      <c r="O95" t="s">
        <v>74</v>
      </c>
      <c r="P95" t="s">
        <v>74</v>
      </c>
      <c r="Q95" t="s">
        <v>74</v>
      </c>
      <c r="R95" t="s">
        <v>74</v>
      </c>
      <c r="S95" t="s">
        <v>74</v>
      </c>
      <c r="T95" t="s">
        <v>74</v>
      </c>
      <c r="U95" t="s">
        <v>2042</v>
      </c>
      <c r="V95" t="s">
        <v>2043</v>
      </c>
      <c r="W95" t="s">
        <v>2044</v>
      </c>
      <c r="X95" t="s">
        <v>2045</v>
      </c>
      <c r="Y95" t="s">
        <v>2046</v>
      </c>
      <c r="Z95" t="s">
        <v>2047</v>
      </c>
      <c r="AA95" t="s">
        <v>2048</v>
      </c>
      <c r="AB95" t="s">
        <v>2049</v>
      </c>
      <c r="AC95" t="s">
        <v>2050</v>
      </c>
      <c r="AD95" t="s">
        <v>2051</v>
      </c>
      <c r="AE95" t="s">
        <v>2052</v>
      </c>
      <c r="AF95" t="s">
        <v>74</v>
      </c>
      <c r="AG95">
        <v>8</v>
      </c>
      <c r="AH95">
        <v>24</v>
      </c>
      <c r="AI95">
        <v>26</v>
      </c>
      <c r="AJ95">
        <v>0</v>
      </c>
      <c r="AK95">
        <v>6</v>
      </c>
      <c r="AL95" t="s">
        <v>2030</v>
      </c>
      <c r="AM95" t="s">
        <v>119</v>
      </c>
      <c r="AN95" t="s">
        <v>2031</v>
      </c>
      <c r="AO95" t="s">
        <v>2032</v>
      </c>
      <c r="AP95" t="s">
        <v>2033</v>
      </c>
      <c r="AQ95" t="s">
        <v>74</v>
      </c>
      <c r="AR95" t="s">
        <v>2034</v>
      </c>
      <c r="AS95" t="s">
        <v>2035</v>
      </c>
      <c r="AT95" t="s">
        <v>559</v>
      </c>
      <c r="AU95">
        <v>2012</v>
      </c>
      <c r="AV95">
        <v>194</v>
      </c>
      <c r="AW95">
        <v>9</v>
      </c>
      <c r="AX95" t="s">
        <v>74</v>
      </c>
      <c r="AY95" t="s">
        <v>74</v>
      </c>
      <c r="AZ95" t="s">
        <v>74</v>
      </c>
      <c r="BA95" t="s">
        <v>74</v>
      </c>
      <c r="BB95">
        <v>2403</v>
      </c>
      <c r="BC95">
        <v>2403</v>
      </c>
      <c r="BD95" t="s">
        <v>74</v>
      </c>
      <c r="BE95" t="s">
        <v>2053</v>
      </c>
      <c r="BF95" t="str">
        <f>HYPERLINK("http://dx.doi.org/10.1128/JB.00234-12","http://dx.doi.org/10.1128/JB.00234-12")</f>
        <v>http://dx.doi.org/10.1128/JB.00234-12</v>
      </c>
      <c r="BG95" t="s">
        <v>74</v>
      </c>
      <c r="BH95" t="s">
        <v>74</v>
      </c>
      <c r="BI95">
        <v>1</v>
      </c>
      <c r="BJ95" t="s">
        <v>686</v>
      </c>
      <c r="BK95" t="s">
        <v>99</v>
      </c>
      <c r="BL95" t="s">
        <v>686</v>
      </c>
      <c r="BM95" t="s">
        <v>2037</v>
      </c>
      <c r="BN95">
        <v>22493207</v>
      </c>
      <c r="BO95" t="s">
        <v>822</v>
      </c>
      <c r="BP95" t="s">
        <v>74</v>
      </c>
      <c r="BQ95" t="s">
        <v>74</v>
      </c>
      <c r="BR95" t="s">
        <v>101</v>
      </c>
      <c r="BS95" t="s">
        <v>2054</v>
      </c>
      <c r="BT95" t="str">
        <f>HYPERLINK("https%3A%2F%2Fwww.webofscience.com%2Fwos%2Fwoscc%2Ffull-record%2FWOS:000302808400043","View Full Record in Web of Science")</f>
        <v>View Full Record in Web of Science</v>
      </c>
    </row>
    <row r="96" spans="1:72" x14ac:dyDescent="0.15">
      <c r="A96" t="s">
        <v>72</v>
      </c>
      <c r="B96" t="s">
        <v>2055</v>
      </c>
      <c r="C96" t="s">
        <v>74</v>
      </c>
      <c r="D96" t="s">
        <v>74</v>
      </c>
      <c r="E96" t="s">
        <v>74</v>
      </c>
      <c r="F96" t="s">
        <v>2056</v>
      </c>
      <c r="G96" t="s">
        <v>74</v>
      </c>
      <c r="H96" t="s">
        <v>74</v>
      </c>
      <c r="I96" t="s">
        <v>2057</v>
      </c>
      <c r="J96" t="s">
        <v>2019</v>
      </c>
      <c r="K96" t="s">
        <v>74</v>
      </c>
      <c r="L96" t="s">
        <v>74</v>
      </c>
      <c r="M96" t="s">
        <v>78</v>
      </c>
      <c r="N96" t="s">
        <v>79</v>
      </c>
      <c r="O96" t="s">
        <v>74</v>
      </c>
      <c r="P96" t="s">
        <v>74</v>
      </c>
      <c r="Q96" t="s">
        <v>74</v>
      </c>
      <c r="R96" t="s">
        <v>74</v>
      </c>
      <c r="S96" t="s">
        <v>74</v>
      </c>
      <c r="T96" t="s">
        <v>74</v>
      </c>
      <c r="U96" t="s">
        <v>2058</v>
      </c>
      <c r="V96" t="s">
        <v>2059</v>
      </c>
      <c r="W96" t="s">
        <v>2060</v>
      </c>
      <c r="X96" t="s">
        <v>2061</v>
      </c>
      <c r="Y96" t="s">
        <v>2046</v>
      </c>
      <c r="Z96" t="s">
        <v>2062</v>
      </c>
      <c r="AA96" t="s">
        <v>74</v>
      </c>
      <c r="AB96" t="s">
        <v>2063</v>
      </c>
      <c r="AC96" t="s">
        <v>2050</v>
      </c>
      <c r="AD96" t="s">
        <v>2051</v>
      </c>
      <c r="AE96" t="s">
        <v>2064</v>
      </c>
      <c r="AF96" t="s">
        <v>74</v>
      </c>
      <c r="AG96">
        <v>6</v>
      </c>
      <c r="AH96">
        <v>9</v>
      </c>
      <c r="AI96">
        <v>9</v>
      </c>
      <c r="AJ96">
        <v>1</v>
      </c>
      <c r="AK96">
        <v>6</v>
      </c>
      <c r="AL96" t="s">
        <v>2030</v>
      </c>
      <c r="AM96" t="s">
        <v>119</v>
      </c>
      <c r="AN96" t="s">
        <v>2031</v>
      </c>
      <c r="AO96" t="s">
        <v>2032</v>
      </c>
      <c r="AP96" t="s">
        <v>2033</v>
      </c>
      <c r="AQ96" t="s">
        <v>74</v>
      </c>
      <c r="AR96" t="s">
        <v>2034</v>
      </c>
      <c r="AS96" t="s">
        <v>2035</v>
      </c>
      <c r="AT96" t="s">
        <v>559</v>
      </c>
      <c r="AU96">
        <v>2012</v>
      </c>
      <c r="AV96">
        <v>194</v>
      </c>
      <c r="AW96">
        <v>9</v>
      </c>
      <c r="AX96" t="s">
        <v>74</v>
      </c>
      <c r="AY96" t="s">
        <v>74</v>
      </c>
      <c r="AZ96" t="s">
        <v>74</v>
      </c>
      <c r="BA96" t="s">
        <v>74</v>
      </c>
      <c r="BB96">
        <v>2404</v>
      </c>
      <c r="BC96">
        <v>2404</v>
      </c>
      <c r="BD96" t="s">
        <v>74</v>
      </c>
      <c r="BE96" t="s">
        <v>2065</v>
      </c>
      <c r="BF96" t="str">
        <f>HYPERLINK("http://dx.doi.org/10.1128/JB.00235-12","http://dx.doi.org/10.1128/JB.00235-12")</f>
        <v>http://dx.doi.org/10.1128/JB.00235-12</v>
      </c>
      <c r="BG96" t="s">
        <v>74</v>
      </c>
      <c r="BH96" t="s">
        <v>74</v>
      </c>
      <c r="BI96">
        <v>1</v>
      </c>
      <c r="BJ96" t="s">
        <v>686</v>
      </c>
      <c r="BK96" t="s">
        <v>99</v>
      </c>
      <c r="BL96" t="s">
        <v>686</v>
      </c>
      <c r="BM96" t="s">
        <v>2037</v>
      </c>
      <c r="BN96">
        <v>22493208</v>
      </c>
      <c r="BO96" t="s">
        <v>308</v>
      </c>
      <c r="BP96" t="s">
        <v>74</v>
      </c>
      <c r="BQ96" t="s">
        <v>74</v>
      </c>
      <c r="BR96" t="s">
        <v>101</v>
      </c>
      <c r="BS96" t="s">
        <v>2066</v>
      </c>
      <c r="BT96" t="str">
        <f>HYPERLINK("https%3A%2F%2Fwww.webofscience.com%2Fwos%2Fwoscc%2Ffull-record%2FWOS:000302808400044","View Full Record in Web of Science")</f>
        <v>View Full Record in Web of Science</v>
      </c>
    </row>
    <row r="97" spans="1:72" x14ac:dyDescent="0.15">
      <c r="A97" t="s">
        <v>72</v>
      </c>
      <c r="B97" t="s">
        <v>2067</v>
      </c>
      <c r="C97" t="s">
        <v>74</v>
      </c>
      <c r="D97" t="s">
        <v>74</v>
      </c>
      <c r="E97" t="s">
        <v>74</v>
      </c>
      <c r="F97" t="s">
        <v>2068</v>
      </c>
      <c r="G97" t="s">
        <v>74</v>
      </c>
      <c r="H97" t="s">
        <v>74</v>
      </c>
      <c r="I97" t="s">
        <v>2069</v>
      </c>
      <c r="J97" t="s">
        <v>333</v>
      </c>
      <c r="K97" t="s">
        <v>74</v>
      </c>
      <c r="L97" t="s">
        <v>74</v>
      </c>
      <c r="M97" t="s">
        <v>78</v>
      </c>
      <c r="N97" t="s">
        <v>79</v>
      </c>
      <c r="O97" t="s">
        <v>74</v>
      </c>
      <c r="P97" t="s">
        <v>74</v>
      </c>
      <c r="Q97" t="s">
        <v>74</v>
      </c>
      <c r="R97" t="s">
        <v>74</v>
      </c>
      <c r="S97" t="s">
        <v>74</v>
      </c>
      <c r="T97" t="s">
        <v>74</v>
      </c>
      <c r="U97" t="s">
        <v>2070</v>
      </c>
      <c r="V97" t="s">
        <v>2071</v>
      </c>
      <c r="W97" t="s">
        <v>2072</v>
      </c>
      <c r="X97" t="s">
        <v>2073</v>
      </c>
      <c r="Y97" t="s">
        <v>2074</v>
      </c>
      <c r="Z97" t="s">
        <v>2075</v>
      </c>
      <c r="AA97" t="s">
        <v>2076</v>
      </c>
      <c r="AB97" t="s">
        <v>2077</v>
      </c>
      <c r="AC97" t="s">
        <v>2078</v>
      </c>
      <c r="AD97" t="s">
        <v>2078</v>
      </c>
      <c r="AE97" t="s">
        <v>2079</v>
      </c>
      <c r="AF97" t="s">
        <v>74</v>
      </c>
      <c r="AG97">
        <v>43</v>
      </c>
      <c r="AH97">
        <v>50</v>
      </c>
      <c r="AI97">
        <v>58</v>
      </c>
      <c r="AJ97">
        <v>0</v>
      </c>
      <c r="AK97">
        <v>32</v>
      </c>
      <c r="AL97" t="s">
        <v>118</v>
      </c>
      <c r="AM97" t="s">
        <v>119</v>
      </c>
      <c r="AN97" t="s">
        <v>120</v>
      </c>
      <c r="AO97" t="s">
        <v>344</v>
      </c>
      <c r="AP97" t="s">
        <v>345</v>
      </c>
      <c r="AQ97" t="s">
        <v>74</v>
      </c>
      <c r="AR97" t="s">
        <v>346</v>
      </c>
      <c r="AS97" t="s">
        <v>347</v>
      </c>
      <c r="AT97" t="s">
        <v>1064</v>
      </c>
      <c r="AU97">
        <v>2012</v>
      </c>
      <c r="AV97">
        <v>117</v>
      </c>
      <c r="AW97" t="s">
        <v>74</v>
      </c>
      <c r="AX97" t="s">
        <v>74</v>
      </c>
      <c r="AY97" t="s">
        <v>74</v>
      </c>
      <c r="AZ97" t="s">
        <v>74</v>
      </c>
      <c r="BA97" t="s">
        <v>74</v>
      </c>
      <c r="BB97" t="s">
        <v>74</v>
      </c>
      <c r="BC97" t="s">
        <v>74</v>
      </c>
      <c r="BD97" t="s">
        <v>2080</v>
      </c>
      <c r="BE97" t="s">
        <v>2081</v>
      </c>
      <c r="BF97" t="str">
        <f>HYPERLINK("http://dx.doi.org/10.1029/2011JC007441","http://dx.doi.org/10.1029/2011JC007441")</f>
        <v>http://dx.doi.org/10.1029/2011JC007441</v>
      </c>
      <c r="BG97" t="s">
        <v>74</v>
      </c>
      <c r="BH97" t="s">
        <v>74</v>
      </c>
      <c r="BI97">
        <v>15</v>
      </c>
      <c r="BJ97" t="s">
        <v>350</v>
      </c>
      <c r="BK97" t="s">
        <v>99</v>
      </c>
      <c r="BL97" t="s">
        <v>350</v>
      </c>
      <c r="BM97" t="s">
        <v>2082</v>
      </c>
      <c r="BN97" t="s">
        <v>74</v>
      </c>
      <c r="BO97" t="s">
        <v>2083</v>
      </c>
      <c r="BP97" t="s">
        <v>74</v>
      </c>
      <c r="BQ97" t="s">
        <v>74</v>
      </c>
      <c r="BR97" t="s">
        <v>101</v>
      </c>
      <c r="BS97" t="s">
        <v>2084</v>
      </c>
      <c r="BT97" t="str">
        <f>HYPERLINK("https%3A%2F%2Fwww.webofscience.com%2Fwos%2Fwoscc%2Ffull-record%2FWOS:000303669900002","View Full Record in Web of Science")</f>
        <v>View Full Record in Web of Science</v>
      </c>
    </row>
    <row r="98" spans="1:72" x14ac:dyDescent="0.15">
      <c r="A98" t="s">
        <v>72</v>
      </c>
      <c r="B98" t="s">
        <v>2085</v>
      </c>
      <c r="C98" t="s">
        <v>74</v>
      </c>
      <c r="D98" t="s">
        <v>74</v>
      </c>
      <c r="E98" t="s">
        <v>74</v>
      </c>
      <c r="F98" t="s">
        <v>2086</v>
      </c>
      <c r="G98" t="s">
        <v>74</v>
      </c>
      <c r="H98" t="s">
        <v>74</v>
      </c>
      <c r="I98" t="s">
        <v>2087</v>
      </c>
      <c r="J98" t="s">
        <v>420</v>
      </c>
      <c r="K98" t="s">
        <v>74</v>
      </c>
      <c r="L98" t="s">
        <v>74</v>
      </c>
      <c r="M98" t="s">
        <v>78</v>
      </c>
      <c r="N98" t="s">
        <v>79</v>
      </c>
      <c r="O98" t="s">
        <v>74</v>
      </c>
      <c r="P98" t="s">
        <v>74</v>
      </c>
      <c r="Q98" t="s">
        <v>74</v>
      </c>
      <c r="R98" t="s">
        <v>74</v>
      </c>
      <c r="S98" t="s">
        <v>74</v>
      </c>
      <c r="T98" t="s">
        <v>74</v>
      </c>
      <c r="U98" t="s">
        <v>2088</v>
      </c>
      <c r="V98" t="s">
        <v>2089</v>
      </c>
      <c r="W98" t="s">
        <v>2090</v>
      </c>
      <c r="X98" t="s">
        <v>2091</v>
      </c>
      <c r="Y98" t="s">
        <v>2092</v>
      </c>
      <c r="Z98" t="s">
        <v>2093</v>
      </c>
      <c r="AA98" t="s">
        <v>2094</v>
      </c>
      <c r="AB98" t="s">
        <v>2095</v>
      </c>
      <c r="AC98" t="s">
        <v>2096</v>
      </c>
      <c r="AD98" t="s">
        <v>2097</v>
      </c>
      <c r="AE98" t="s">
        <v>2098</v>
      </c>
      <c r="AF98" t="s">
        <v>74</v>
      </c>
      <c r="AG98">
        <v>49</v>
      </c>
      <c r="AH98">
        <v>55</v>
      </c>
      <c r="AI98">
        <v>55</v>
      </c>
      <c r="AJ98">
        <v>1</v>
      </c>
      <c r="AK98">
        <v>10</v>
      </c>
      <c r="AL98" t="s">
        <v>118</v>
      </c>
      <c r="AM98" t="s">
        <v>119</v>
      </c>
      <c r="AN98" t="s">
        <v>120</v>
      </c>
      <c r="AO98" t="s">
        <v>432</v>
      </c>
      <c r="AP98" t="s">
        <v>433</v>
      </c>
      <c r="AQ98" t="s">
        <v>74</v>
      </c>
      <c r="AR98" t="s">
        <v>434</v>
      </c>
      <c r="AS98" t="s">
        <v>435</v>
      </c>
      <c r="AT98" t="s">
        <v>1064</v>
      </c>
      <c r="AU98">
        <v>2012</v>
      </c>
      <c r="AV98">
        <v>117</v>
      </c>
      <c r="AW98" t="s">
        <v>74</v>
      </c>
      <c r="AX98" t="s">
        <v>74</v>
      </c>
      <c r="AY98" t="s">
        <v>74</v>
      </c>
      <c r="AZ98" t="s">
        <v>74</v>
      </c>
      <c r="BA98" t="s">
        <v>74</v>
      </c>
      <c r="BB98" t="s">
        <v>74</v>
      </c>
      <c r="BC98" t="s">
        <v>74</v>
      </c>
      <c r="BD98" t="s">
        <v>2099</v>
      </c>
      <c r="BE98" t="s">
        <v>2100</v>
      </c>
      <c r="BF98" t="str">
        <f>HYPERLINK("http://dx.doi.org/10.1029/2011JA017202","http://dx.doi.org/10.1029/2011JA017202")</f>
        <v>http://dx.doi.org/10.1029/2011JA017202</v>
      </c>
      <c r="BG98" t="s">
        <v>74</v>
      </c>
      <c r="BH98" t="s">
        <v>74</v>
      </c>
      <c r="BI98">
        <v>13</v>
      </c>
      <c r="BJ98" t="s">
        <v>438</v>
      </c>
      <c r="BK98" t="s">
        <v>99</v>
      </c>
      <c r="BL98" t="s">
        <v>438</v>
      </c>
      <c r="BM98" t="s">
        <v>2101</v>
      </c>
      <c r="BN98" t="s">
        <v>74</v>
      </c>
      <c r="BO98" t="s">
        <v>130</v>
      </c>
      <c r="BP98" t="s">
        <v>74</v>
      </c>
      <c r="BQ98" t="s">
        <v>74</v>
      </c>
      <c r="BR98" t="s">
        <v>101</v>
      </c>
      <c r="BS98" t="s">
        <v>2102</v>
      </c>
      <c r="BT98" t="str">
        <f>HYPERLINK("https%3A%2F%2Fwww.webofscience.com%2Fwos%2Fwoscc%2Ffull-record%2FWOS:000303671200003","View Full Record in Web of Science")</f>
        <v>View Full Record in Web of Science</v>
      </c>
    </row>
    <row r="99" spans="1:72" x14ac:dyDescent="0.15">
      <c r="A99" t="s">
        <v>72</v>
      </c>
      <c r="B99" t="s">
        <v>2085</v>
      </c>
      <c r="C99" t="s">
        <v>74</v>
      </c>
      <c r="D99" t="s">
        <v>74</v>
      </c>
      <c r="E99" t="s">
        <v>74</v>
      </c>
      <c r="F99" t="s">
        <v>2086</v>
      </c>
      <c r="G99" t="s">
        <v>74</v>
      </c>
      <c r="H99" t="s">
        <v>74</v>
      </c>
      <c r="I99" t="s">
        <v>2103</v>
      </c>
      <c r="J99" t="s">
        <v>420</v>
      </c>
      <c r="K99" t="s">
        <v>74</v>
      </c>
      <c r="L99" t="s">
        <v>74</v>
      </c>
      <c r="M99" t="s">
        <v>78</v>
      </c>
      <c r="N99" t="s">
        <v>79</v>
      </c>
      <c r="O99" t="s">
        <v>74</v>
      </c>
      <c r="P99" t="s">
        <v>74</v>
      </c>
      <c r="Q99" t="s">
        <v>74</v>
      </c>
      <c r="R99" t="s">
        <v>74</v>
      </c>
      <c r="S99" t="s">
        <v>74</v>
      </c>
      <c r="T99" t="s">
        <v>74</v>
      </c>
      <c r="U99" t="s">
        <v>2104</v>
      </c>
      <c r="V99" t="s">
        <v>2105</v>
      </c>
      <c r="W99" t="s">
        <v>2090</v>
      </c>
      <c r="X99" t="s">
        <v>2091</v>
      </c>
      <c r="Y99" t="s">
        <v>2092</v>
      </c>
      <c r="Z99" t="s">
        <v>2093</v>
      </c>
      <c r="AA99" t="s">
        <v>2106</v>
      </c>
      <c r="AB99" t="s">
        <v>2095</v>
      </c>
      <c r="AC99" t="s">
        <v>2107</v>
      </c>
      <c r="AD99" t="s">
        <v>2108</v>
      </c>
      <c r="AE99" t="s">
        <v>2098</v>
      </c>
      <c r="AF99" t="s">
        <v>74</v>
      </c>
      <c r="AG99">
        <v>61</v>
      </c>
      <c r="AH99">
        <v>95</v>
      </c>
      <c r="AI99">
        <v>97</v>
      </c>
      <c r="AJ99">
        <v>0</v>
      </c>
      <c r="AK99">
        <v>9</v>
      </c>
      <c r="AL99" t="s">
        <v>118</v>
      </c>
      <c r="AM99" t="s">
        <v>119</v>
      </c>
      <c r="AN99" t="s">
        <v>120</v>
      </c>
      <c r="AO99" t="s">
        <v>432</v>
      </c>
      <c r="AP99" t="s">
        <v>433</v>
      </c>
      <c r="AQ99" t="s">
        <v>74</v>
      </c>
      <c r="AR99" t="s">
        <v>434</v>
      </c>
      <c r="AS99" t="s">
        <v>435</v>
      </c>
      <c r="AT99" t="s">
        <v>1064</v>
      </c>
      <c r="AU99">
        <v>2012</v>
      </c>
      <c r="AV99">
        <v>117</v>
      </c>
      <c r="AW99" t="s">
        <v>74</v>
      </c>
      <c r="AX99" t="s">
        <v>74</v>
      </c>
      <c r="AY99" t="s">
        <v>74</v>
      </c>
      <c r="AZ99" t="s">
        <v>74</v>
      </c>
      <c r="BA99" t="s">
        <v>74</v>
      </c>
      <c r="BB99" t="s">
        <v>74</v>
      </c>
      <c r="BC99" t="s">
        <v>74</v>
      </c>
      <c r="BD99" t="s">
        <v>2109</v>
      </c>
      <c r="BE99" t="s">
        <v>2110</v>
      </c>
      <c r="BF99" t="str">
        <f>HYPERLINK("http://dx.doi.org/10.1029/2011JA017201","http://dx.doi.org/10.1029/2011JA017201")</f>
        <v>http://dx.doi.org/10.1029/2011JA017201</v>
      </c>
      <c r="BG99" t="s">
        <v>74</v>
      </c>
      <c r="BH99" t="s">
        <v>74</v>
      </c>
      <c r="BI99">
        <v>14</v>
      </c>
      <c r="BJ99" t="s">
        <v>438</v>
      </c>
      <c r="BK99" t="s">
        <v>99</v>
      </c>
      <c r="BL99" t="s">
        <v>438</v>
      </c>
      <c r="BM99" t="s">
        <v>2101</v>
      </c>
      <c r="BN99" t="s">
        <v>74</v>
      </c>
      <c r="BO99" t="s">
        <v>130</v>
      </c>
      <c r="BP99" t="s">
        <v>74</v>
      </c>
      <c r="BQ99" t="s">
        <v>74</v>
      </c>
      <c r="BR99" t="s">
        <v>101</v>
      </c>
      <c r="BS99" t="s">
        <v>2111</v>
      </c>
      <c r="BT99" t="str">
        <f>HYPERLINK("https%3A%2F%2Fwww.webofscience.com%2Fwos%2Fwoscc%2Ffull-record%2FWOS:000303671200002","View Full Record in Web of Science")</f>
        <v>View Full Record in Web of Science</v>
      </c>
    </row>
    <row r="100" spans="1:72" x14ac:dyDescent="0.15">
      <c r="A100" t="s">
        <v>72</v>
      </c>
      <c r="B100" t="s">
        <v>2112</v>
      </c>
      <c r="C100" t="s">
        <v>74</v>
      </c>
      <c r="D100" t="s">
        <v>74</v>
      </c>
      <c r="E100" t="s">
        <v>74</v>
      </c>
      <c r="F100" t="s">
        <v>2113</v>
      </c>
      <c r="G100" t="s">
        <v>74</v>
      </c>
      <c r="H100" t="s">
        <v>74</v>
      </c>
      <c r="I100" t="s">
        <v>2114</v>
      </c>
      <c r="J100" t="s">
        <v>2115</v>
      </c>
      <c r="K100" t="s">
        <v>74</v>
      </c>
      <c r="L100" t="s">
        <v>74</v>
      </c>
      <c r="M100" t="s">
        <v>78</v>
      </c>
      <c r="N100" t="s">
        <v>79</v>
      </c>
      <c r="O100" t="s">
        <v>74</v>
      </c>
      <c r="P100" t="s">
        <v>74</v>
      </c>
      <c r="Q100" t="s">
        <v>74</v>
      </c>
      <c r="R100" t="s">
        <v>74</v>
      </c>
      <c r="S100" t="s">
        <v>74</v>
      </c>
      <c r="T100" t="s">
        <v>74</v>
      </c>
      <c r="U100" t="s">
        <v>2116</v>
      </c>
      <c r="V100" t="s">
        <v>2117</v>
      </c>
      <c r="W100" t="s">
        <v>2118</v>
      </c>
      <c r="X100" t="s">
        <v>2119</v>
      </c>
      <c r="Y100" t="s">
        <v>2120</v>
      </c>
      <c r="Z100" t="s">
        <v>2121</v>
      </c>
      <c r="AA100" t="s">
        <v>2122</v>
      </c>
      <c r="AB100" t="s">
        <v>2123</v>
      </c>
      <c r="AC100" t="s">
        <v>2124</v>
      </c>
      <c r="AD100" t="s">
        <v>2125</v>
      </c>
      <c r="AE100" t="s">
        <v>2126</v>
      </c>
      <c r="AF100" t="s">
        <v>74</v>
      </c>
      <c r="AG100">
        <v>22</v>
      </c>
      <c r="AH100">
        <v>83</v>
      </c>
      <c r="AI100">
        <v>103</v>
      </c>
      <c r="AJ100">
        <v>1</v>
      </c>
      <c r="AK100">
        <v>46</v>
      </c>
      <c r="AL100" t="s">
        <v>1394</v>
      </c>
      <c r="AM100" t="s">
        <v>119</v>
      </c>
      <c r="AN100" t="s">
        <v>1395</v>
      </c>
      <c r="AO100" t="s">
        <v>2127</v>
      </c>
      <c r="AP100" t="s">
        <v>74</v>
      </c>
      <c r="AQ100" t="s">
        <v>74</v>
      </c>
      <c r="AR100" t="s">
        <v>2128</v>
      </c>
      <c r="AS100" t="s">
        <v>2129</v>
      </c>
      <c r="AT100" t="s">
        <v>559</v>
      </c>
      <c r="AU100">
        <v>2012</v>
      </c>
      <c r="AV100">
        <v>75</v>
      </c>
      <c r="AW100">
        <v>5</v>
      </c>
      <c r="AX100" t="s">
        <v>74</v>
      </c>
      <c r="AY100" t="s">
        <v>74</v>
      </c>
      <c r="AZ100" t="s">
        <v>74</v>
      </c>
      <c r="BA100" t="s">
        <v>74</v>
      </c>
      <c r="BB100">
        <v>920</v>
      </c>
      <c r="BC100">
        <v>927</v>
      </c>
      <c r="BD100" t="s">
        <v>74</v>
      </c>
      <c r="BE100" t="s">
        <v>2130</v>
      </c>
      <c r="BF100" t="str">
        <f>HYPERLINK("http://dx.doi.org/10.1021/np3000443","http://dx.doi.org/10.1021/np3000443")</f>
        <v>http://dx.doi.org/10.1021/np3000443</v>
      </c>
      <c r="BG100" t="s">
        <v>74</v>
      </c>
      <c r="BH100" t="s">
        <v>74</v>
      </c>
      <c r="BI100">
        <v>8</v>
      </c>
      <c r="BJ100" t="s">
        <v>2131</v>
      </c>
      <c r="BK100" t="s">
        <v>286</v>
      </c>
      <c r="BL100" t="s">
        <v>2132</v>
      </c>
      <c r="BM100" t="s">
        <v>2133</v>
      </c>
      <c r="BN100">
        <v>22583079</v>
      </c>
      <c r="BO100" t="s">
        <v>74</v>
      </c>
      <c r="BP100" t="s">
        <v>74</v>
      </c>
      <c r="BQ100" t="s">
        <v>74</v>
      </c>
      <c r="BR100" t="s">
        <v>101</v>
      </c>
      <c r="BS100" t="s">
        <v>2134</v>
      </c>
      <c r="BT100" t="str">
        <f>HYPERLINK("https%3A%2F%2Fwww.webofscience.com%2Fwos%2Fwoscc%2Ffull-record%2FWOS:000304385800011","View Full Record in Web of Science")</f>
        <v>View Full Record in Web of Science</v>
      </c>
    </row>
    <row r="101" spans="1:72" x14ac:dyDescent="0.15">
      <c r="A101" t="s">
        <v>72</v>
      </c>
      <c r="B101" t="s">
        <v>2135</v>
      </c>
      <c r="C101" t="s">
        <v>74</v>
      </c>
      <c r="D101" t="s">
        <v>74</v>
      </c>
      <c r="E101" t="s">
        <v>74</v>
      </c>
      <c r="F101" t="s">
        <v>2136</v>
      </c>
      <c r="G101" t="s">
        <v>74</v>
      </c>
      <c r="H101" t="s">
        <v>74</v>
      </c>
      <c r="I101" t="s">
        <v>2137</v>
      </c>
      <c r="J101" t="s">
        <v>2138</v>
      </c>
      <c r="K101" t="s">
        <v>74</v>
      </c>
      <c r="L101" t="s">
        <v>74</v>
      </c>
      <c r="M101" t="s">
        <v>78</v>
      </c>
      <c r="N101" t="s">
        <v>79</v>
      </c>
      <c r="O101" t="s">
        <v>74</v>
      </c>
      <c r="P101" t="s">
        <v>74</v>
      </c>
      <c r="Q101" t="s">
        <v>74</v>
      </c>
      <c r="R101" t="s">
        <v>74</v>
      </c>
      <c r="S101" t="s">
        <v>74</v>
      </c>
      <c r="T101" t="s">
        <v>2139</v>
      </c>
      <c r="U101" t="s">
        <v>2140</v>
      </c>
      <c r="V101" t="s">
        <v>2141</v>
      </c>
      <c r="W101" t="s">
        <v>2142</v>
      </c>
      <c r="X101" t="s">
        <v>2143</v>
      </c>
      <c r="Y101" t="s">
        <v>2144</v>
      </c>
      <c r="Z101" t="s">
        <v>2145</v>
      </c>
      <c r="AA101" t="s">
        <v>2146</v>
      </c>
      <c r="AB101" t="s">
        <v>2147</v>
      </c>
      <c r="AC101" t="s">
        <v>2148</v>
      </c>
      <c r="AD101" t="s">
        <v>2149</v>
      </c>
      <c r="AE101" t="s">
        <v>2150</v>
      </c>
      <c r="AF101" t="s">
        <v>74</v>
      </c>
      <c r="AG101">
        <v>68</v>
      </c>
      <c r="AH101">
        <v>26</v>
      </c>
      <c r="AI101">
        <v>26</v>
      </c>
      <c r="AJ101">
        <v>0</v>
      </c>
      <c r="AK101">
        <v>34</v>
      </c>
      <c r="AL101" t="s">
        <v>1620</v>
      </c>
      <c r="AM101" t="s">
        <v>278</v>
      </c>
      <c r="AN101" t="s">
        <v>1621</v>
      </c>
      <c r="AO101" t="s">
        <v>2151</v>
      </c>
      <c r="AP101" t="s">
        <v>2152</v>
      </c>
      <c r="AQ101" t="s">
        <v>74</v>
      </c>
      <c r="AR101" t="s">
        <v>2153</v>
      </c>
      <c r="AS101" t="s">
        <v>2154</v>
      </c>
      <c r="AT101" t="s">
        <v>559</v>
      </c>
      <c r="AU101">
        <v>2012</v>
      </c>
      <c r="AV101">
        <v>34</v>
      </c>
      <c r="AW101">
        <v>5</v>
      </c>
      <c r="AX101" t="s">
        <v>74</v>
      </c>
      <c r="AY101" t="s">
        <v>74</v>
      </c>
      <c r="AZ101" t="s">
        <v>74</v>
      </c>
      <c r="BA101" t="s">
        <v>74</v>
      </c>
      <c r="BB101">
        <v>399</v>
      </c>
      <c r="BC101">
        <v>415</v>
      </c>
      <c r="BD101" t="s">
        <v>74</v>
      </c>
      <c r="BE101" t="s">
        <v>2155</v>
      </c>
      <c r="BF101" t="str">
        <f>HYPERLINK("http://dx.doi.org/10.1093/plankt/fbs013","http://dx.doi.org/10.1093/plankt/fbs013")</f>
        <v>http://dx.doi.org/10.1093/plankt/fbs013</v>
      </c>
      <c r="BG101" t="s">
        <v>74</v>
      </c>
      <c r="BH101" t="s">
        <v>74</v>
      </c>
      <c r="BI101">
        <v>17</v>
      </c>
      <c r="BJ101" t="s">
        <v>636</v>
      </c>
      <c r="BK101" t="s">
        <v>99</v>
      </c>
      <c r="BL101" t="s">
        <v>636</v>
      </c>
      <c r="BM101" t="s">
        <v>2156</v>
      </c>
      <c r="BN101" t="s">
        <v>74</v>
      </c>
      <c r="BO101" t="s">
        <v>308</v>
      </c>
      <c r="BP101" t="s">
        <v>74</v>
      </c>
      <c r="BQ101" t="s">
        <v>74</v>
      </c>
      <c r="BR101" t="s">
        <v>101</v>
      </c>
      <c r="BS101" t="s">
        <v>2157</v>
      </c>
      <c r="BT101" t="str">
        <f>HYPERLINK("https%3A%2F%2Fwww.webofscience.com%2Fwos%2Fwoscc%2Ffull-record%2FWOS:000302299400005","View Full Record in Web of Science")</f>
        <v>View Full Record in Web of Science</v>
      </c>
    </row>
    <row r="102" spans="1:72" x14ac:dyDescent="0.15">
      <c r="A102" t="s">
        <v>72</v>
      </c>
      <c r="B102" t="s">
        <v>2158</v>
      </c>
      <c r="C102" t="s">
        <v>74</v>
      </c>
      <c r="D102" t="s">
        <v>74</v>
      </c>
      <c r="E102" t="s">
        <v>74</v>
      </c>
      <c r="F102" t="s">
        <v>2159</v>
      </c>
      <c r="G102" t="s">
        <v>74</v>
      </c>
      <c r="H102" t="s">
        <v>74</v>
      </c>
      <c r="I102" t="s">
        <v>2160</v>
      </c>
      <c r="J102" t="s">
        <v>2138</v>
      </c>
      <c r="K102" t="s">
        <v>74</v>
      </c>
      <c r="L102" t="s">
        <v>74</v>
      </c>
      <c r="M102" t="s">
        <v>78</v>
      </c>
      <c r="N102" t="s">
        <v>79</v>
      </c>
      <c r="O102" t="s">
        <v>74</v>
      </c>
      <c r="P102" t="s">
        <v>74</v>
      </c>
      <c r="Q102" t="s">
        <v>74</v>
      </c>
      <c r="R102" t="s">
        <v>74</v>
      </c>
      <c r="S102" t="s">
        <v>74</v>
      </c>
      <c r="T102" t="s">
        <v>2161</v>
      </c>
      <c r="U102" t="s">
        <v>2162</v>
      </c>
      <c r="V102" t="s">
        <v>2163</v>
      </c>
      <c r="W102" t="s">
        <v>2164</v>
      </c>
      <c r="X102" t="s">
        <v>2165</v>
      </c>
      <c r="Y102" t="s">
        <v>2166</v>
      </c>
      <c r="Z102" t="s">
        <v>2167</v>
      </c>
      <c r="AA102" t="s">
        <v>74</v>
      </c>
      <c r="AB102" t="s">
        <v>74</v>
      </c>
      <c r="AC102" t="s">
        <v>2168</v>
      </c>
      <c r="AD102" t="s">
        <v>2169</v>
      </c>
      <c r="AE102" t="s">
        <v>2170</v>
      </c>
      <c r="AF102" t="s">
        <v>74</v>
      </c>
      <c r="AG102">
        <v>13</v>
      </c>
      <c r="AH102">
        <v>29</v>
      </c>
      <c r="AI102">
        <v>38</v>
      </c>
      <c r="AJ102">
        <v>0</v>
      </c>
      <c r="AK102">
        <v>17</v>
      </c>
      <c r="AL102" t="s">
        <v>1620</v>
      </c>
      <c r="AM102" t="s">
        <v>278</v>
      </c>
      <c r="AN102" t="s">
        <v>1621</v>
      </c>
      <c r="AO102" t="s">
        <v>2151</v>
      </c>
      <c r="AP102" t="s">
        <v>74</v>
      </c>
      <c r="AQ102" t="s">
        <v>74</v>
      </c>
      <c r="AR102" t="s">
        <v>2153</v>
      </c>
      <c r="AS102" t="s">
        <v>2154</v>
      </c>
      <c r="AT102" t="s">
        <v>559</v>
      </c>
      <c r="AU102">
        <v>2012</v>
      </c>
      <c r="AV102">
        <v>34</v>
      </c>
      <c r="AW102">
        <v>5</v>
      </c>
      <c r="AX102" t="s">
        <v>74</v>
      </c>
      <c r="AY102" t="s">
        <v>74</v>
      </c>
      <c r="AZ102" t="s">
        <v>74</v>
      </c>
      <c r="BA102" t="s">
        <v>74</v>
      </c>
      <c r="BB102">
        <v>432</v>
      </c>
      <c r="BC102">
        <v>436</v>
      </c>
      <c r="BD102" t="s">
        <v>74</v>
      </c>
      <c r="BE102" t="s">
        <v>2171</v>
      </c>
      <c r="BF102" t="str">
        <f>HYPERLINK("http://dx.doi.org/10.1093/plankt/fbs014","http://dx.doi.org/10.1093/plankt/fbs014")</f>
        <v>http://dx.doi.org/10.1093/plankt/fbs014</v>
      </c>
      <c r="BG102" t="s">
        <v>74</v>
      </c>
      <c r="BH102" t="s">
        <v>74</v>
      </c>
      <c r="BI102">
        <v>5</v>
      </c>
      <c r="BJ102" t="s">
        <v>636</v>
      </c>
      <c r="BK102" t="s">
        <v>99</v>
      </c>
      <c r="BL102" t="s">
        <v>636</v>
      </c>
      <c r="BM102" t="s">
        <v>2156</v>
      </c>
      <c r="BN102" t="s">
        <v>74</v>
      </c>
      <c r="BO102" t="s">
        <v>74</v>
      </c>
      <c r="BP102" t="s">
        <v>74</v>
      </c>
      <c r="BQ102" t="s">
        <v>74</v>
      </c>
      <c r="BR102" t="s">
        <v>101</v>
      </c>
      <c r="BS102" t="s">
        <v>2172</v>
      </c>
      <c r="BT102" t="str">
        <f>HYPERLINK("https%3A%2F%2Fwww.webofscience.com%2Fwos%2Fwoscc%2Ffull-record%2FWOS:000302299400007","View Full Record in Web of Science")</f>
        <v>View Full Record in Web of Science</v>
      </c>
    </row>
    <row r="103" spans="1:72" x14ac:dyDescent="0.15">
      <c r="A103" t="s">
        <v>72</v>
      </c>
      <c r="B103" t="s">
        <v>2173</v>
      </c>
      <c r="C103" t="s">
        <v>74</v>
      </c>
      <c r="D103" t="s">
        <v>74</v>
      </c>
      <c r="E103" t="s">
        <v>74</v>
      </c>
      <c r="F103" t="s">
        <v>2174</v>
      </c>
      <c r="G103" t="s">
        <v>74</v>
      </c>
      <c r="H103" t="s">
        <v>74</v>
      </c>
      <c r="I103" t="s">
        <v>2175</v>
      </c>
      <c r="J103" t="s">
        <v>2176</v>
      </c>
      <c r="K103" t="s">
        <v>74</v>
      </c>
      <c r="L103" t="s">
        <v>74</v>
      </c>
      <c r="M103" t="s">
        <v>78</v>
      </c>
      <c r="N103" t="s">
        <v>79</v>
      </c>
      <c r="O103" t="s">
        <v>74</v>
      </c>
      <c r="P103" t="s">
        <v>74</v>
      </c>
      <c r="Q103" t="s">
        <v>74</v>
      </c>
      <c r="R103" t="s">
        <v>74</v>
      </c>
      <c r="S103" t="s">
        <v>74</v>
      </c>
      <c r="T103" t="s">
        <v>2177</v>
      </c>
      <c r="U103" t="s">
        <v>2178</v>
      </c>
      <c r="V103" t="s">
        <v>2179</v>
      </c>
      <c r="W103" t="s">
        <v>2180</v>
      </c>
      <c r="X103" t="s">
        <v>2181</v>
      </c>
      <c r="Y103" t="s">
        <v>2182</v>
      </c>
      <c r="Z103" t="s">
        <v>2183</v>
      </c>
      <c r="AA103" t="s">
        <v>2184</v>
      </c>
      <c r="AB103" t="s">
        <v>2185</v>
      </c>
      <c r="AC103" t="s">
        <v>74</v>
      </c>
      <c r="AD103" t="s">
        <v>74</v>
      </c>
      <c r="AE103" t="s">
        <v>74</v>
      </c>
      <c r="AF103" t="s">
        <v>74</v>
      </c>
      <c r="AG103">
        <v>28</v>
      </c>
      <c r="AH103">
        <v>11</v>
      </c>
      <c r="AI103">
        <v>11</v>
      </c>
      <c r="AJ103">
        <v>0</v>
      </c>
      <c r="AK103">
        <v>66</v>
      </c>
      <c r="AL103" t="s">
        <v>1595</v>
      </c>
      <c r="AM103" t="s">
        <v>278</v>
      </c>
      <c r="AN103" t="s">
        <v>1596</v>
      </c>
      <c r="AO103" t="s">
        <v>2186</v>
      </c>
      <c r="AP103" t="s">
        <v>2187</v>
      </c>
      <c r="AQ103" t="s">
        <v>74</v>
      </c>
      <c r="AR103" t="s">
        <v>2188</v>
      </c>
      <c r="AS103" t="s">
        <v>2189</v>
      </c>
      <c r="AT103" t="s">
        <v>559</v>
      </c>
      <c r="AU103">
        <v>2012</v>
      </c>
      <c r="AV103">
        <v>36</v>
      </c>
      <c r="AW103">
        <v>3</v>
      </c>
      <c r="AX103" t="s">
        <v>74</v>
      </c>
      <c r="AY103" t="s">
        <v>74</v>
      </c>
      <c r="AZ103" t="s">
        <v>74</v>
      </c>
      <c r="BA103" t="s">
        <v>74</v>
      </c>
      <c r="BB103">
        <v>592</v>
      </c>
      <c r="BC103">
        <v>597</v>
      </c>
      <c r="BD103" t="s">
        <v>74</v>
      </c>
      <c r="BE103" t="s">
        <v>2190</v>
      </c>
      <c r="BF103" t="str">
        <f>HYPERLINK("http://dx.doi.org/10.1016/j.marpol.2011.10.018","http://dx.doi.org/10.1016/j.marpol.2011.10.018")</f>
        <v>http://dx.doi.org/10.1016/j.marpol.2011.10.018</v>
      </c>
      <c r="BG103" t="s">
        <v>74</v>
      </c>
      <c r="BH103" t="s">
        <v>74</v>
      </c>
      <c r="BI103">
        <v>6</v>
      </c>
      <c r="BJ103" t="s">
        <v>2191</v>
      </c>
      <c r="BK103" t="s">
        <v>2192</v>
      </c>
      <c r="BL103" t="s">
        <v>2193</v>
      </c>
      <c r="BM103" t="s">
        <v>2194</v>
      </c>
      <c r="BN103" t="s">
        <v>74</v>
      </c>
      <c r="BO103" t="s">
        <v>74</v>
      </c>
      <c r="BP103" t="s">
        <v>74</v>
      </c>
      <c r="BQ103" t="s">
        <v>74</v>
      </c>
      <c r="BR103" t="s">
        <v>101</v>
      </c>
      <c r="BS103" t="s">
        <v>2195</v>
      </c>
      <c r="BT103" t="str">
        <f>HYPERLINK("https%3A%2F%2Fwww.webofscience.com%2Fwos%2Fwoscc%2Ffull-record%2FWOS:000300201100004","View Full Record in Web of Science")</f>
        <v>View Full Record in Web of Science</v>
      </c>
    </row>
    <row r="104" spans="1:72" x14ac:dyDescent="0.15">
      <c r="A104" t="s">
        <v>72</v>
      </c>
      <c r="B104" t="s">
        <v>2196</v>
      </c>
      <c r="C104" t="s">
        <v>74</v>
      </c>
      <c r="D104" t="s">
        <v>74</v>
      </c>
      <c r="E104" t="s">
        <v>74</v>
      </c>
      <c r="F104" t="s">
        <v>2197</v>
      </c>
      <c r="G104" t="s">
        <v>74</v>
      </c>
      <c r="H104" t="s">
        <v>74</v>
      </c>
      <c r="I104" t="s">
        <v>2198</v>
      </c>
      <c r="J104" t="s">
        <v>2199</v>
      </c>
      <c r="K104" t="s">
        <v>74</v>
      </c>
      <c r="L104" t="s">
        <v>74</v>
      </c>
      <c r="M104" t="s">
        <v>78</v>
      </c>
      <c r="N104" t="s">
        <v>79</v>
      </c>
      <c r="O104" t="s">
        <v>74</v>
      </c>
      <c r="P104" t="s">
        <v>74</v>
      </c>
      <c r="Q104" t="s">
        <v>74</v>
      </c>
      <c r="R104" t="s">
        <v>74</v>
      </c>
      <c r="S104" t="s">
        <v>74</v>
      </c>
      <c r="T104" t="s">
        <v>2200</v>
      </c>
      <c r="U104" t="s">
        <v>2201</v>
      </c>
      <c r="V104" t="s">
        <v>2202</v>
      </c>
      <c r="W104" t="s">
        <v>2203</v>
      </c>
      <c r="X104" t="s">
        <v>2204</v>
      </c>
      <c r="Y104" t="s">
        <v>2205</v>
      </c>
      <c r="Z104" t="s">
        <v>2206</v>
      </c>
      <c r="AA104" t="s">
        <v>2207</v>
      </c>
      <c r="AB104" t="s">
        <v>2208</v>
      </c>
      <c r="AC104" t="s">
        <v>2209</v>
      </c>
      <c r="AD104" t="s">
        <v>2210</v>
      </c>
      <c r="AE104" t="s">
        <v>2211</v>
      </c>
      <c r="AF104" t="s">
        <v>74</v>
      </c>
      <c r="AG104">
        <v>59</v>
      </c>
      <c r="AH104">
        <v>77</v>
      </c>
      <c r="AI104">
        <v>87</v>
      </c>
      <c r="AJ104">
        <v>2</v>
      </c>
      <c r="AK104">
        <v>40</v>
      </c>
      <c r="AL104" t="s">
        <v>627</v>
      </c>
      <c r="AM104" t="s">
        <v>628</v>
      </c>
      <c r="AN104" t="s">
        <v>629</v>
      </c>
      <c r="AO104" t="s">
        <v>2212</v>
      </c>
      <c r="AP104" t="s">
        <v>2213</v>
      </c>
      <c r="AQ104" t="s">
        <v>74</v>
      </c>
      <c r="AR104" t="s">
        <v>2214</v>
      </c>
      <c r="AS104" t="s">
        <v>2215</v>
      </c>
      <c r="AT104" t="s">
        <v>559</v>
      </c>
      <c r="AU104">
        <v>2012</v>
      </c>
      <c r="AV104">
        <v>21</v>
      </c>
      <c r="AW104">
        <v>10</v>
      </c>
      <c r="AX104" t="s">
        <v>74</v>
      </c>
      <c r="AY104" t="s">
        <v>74</v>
      </c>
      <c r="AZ104" t="s">
        <v>74</v>
      </c>
      <c r="BA104" t="s">
        <v>74</v>
      </c>
      <c r="BB104">
        <v>2502</v>
      </c>
      <c r="BC104">
        <v>2518</v>
      </c>
      <c r="BD104" t="s">
        <v>74</v>
      </c>
      <c r="BE104" t="s">
        <v>2216</v>
      </c>
      <c r="BF104" t="str">
        <f>HYPERLINK("http://dx.doi.org/10.1111/j.1365-294X.2012.05512.x","http://dx.doi.org/10.1111/j.1365-294X.2012.05512.x")</f>
        <v>http://dx.doi.org/10.1111/j.1365-294X.2012.05512.x</v>
      </c>
      <c r="BG104" t="s">
        <v>74</v>
      </c>
      <c r="BH104" t="s">
        <v>74</v>
      </c>
      <c r="BI104">
        <v>17</v>
      </c>
      <c r="BJ104" t="s">
        <v>2217</v>
      </c>
      <c r="BK104" t="s">
        <v>99</v>
      </c>
      <c r="BL104" t="s">
        <v>2218</v>
      </c>
      <c r="BM104" t="s">
        <v>2219</v>
      </c>
      <c r="BN104">
        <v>22469156</v>
      </c>
      <c r="BO104" t="s">
        <v>74</v>
      </c>
      <c r="BP104" t="s">
        <v>74</v>
      </c>
      <c r="BQ104" t="s">
        <v>74</v>
      </c>
      <c r="BR104" t="s">
        <v>101</v>
      </c>
      <c r="BS104" t="s">
        <v>2220</v>
      </c>
      <c r="BT104" t="str">
        <f>HYPERLINK("https%3A%2F%2Fwww.webofscience.com%2Fwos%2Fwoscc%2Ffull-record%2FWOS:000303388300017","View Full Record in Web of Science")</f>
        <v>View Full Record in Web of Science</v>
      </c>
    </row>
    <row r="105" spans="1:72" x14ac:dyDescent="0.15">
      <c r="A105" t="s">
        <v>72</v>
      </c>
      <c r="B105" t="s">
        <v>2221</v>
      </c>
      <c r="C105" t="s">
        <v>74</v>
      </c>
      <c r="D105" t="s">
        <v>74</v>
      </c>
      <c r="E105" t="s">
        <v>74</v>
      </c>
      <c r="F105" t="s">
        <v>2222</v>
      </c>
      <c r="G105" t="s">
        <v>74</v>
      </c>
      <c r="H105" t="s">
        <v>74</v>
      </c>
      <c r="I105" t="s">
        <v>2223</v>
      </c>
      <c r="J105" t="s">
        <v>2224</v>
      </c>
      <c r="K105" t="s">
        <v>74</v>
      </c>
      <c r="L105" t="s">
        <v>74</v>
      </c>
      <c r="M105" t="s">
        <v>78</v>
      </c>
      <c r="N105" t="s">
        <v>2225</v>
      </c>
      <c r="O105" t="s">
        <v>74</v>
      </c>
      <c r="P105" t="s">
        <v>74</v>
      </c>
      <c r="Q105" t="s">
        <v>74</v>
      </c>
      <c r="R105" t="s">
        <v>74</v>
      </c>
      <c r="S105" t="s">
        <v>74</v>
      </c>
      <c r="T105" t="s">
        <v>74</v>
      </c>
      <c r="U105" t="s">
        <v>2226</v>
      </c>
      <c r="V105" t="s">
        <v>74</v>
      </c>
      <c r="W105" t="s">
        <v>2227</v>
      </c>
      <c r="X105" t="s">
        <v>2228</v>
      </c>
      <c r="Y105" t="s">
        <v>2229</v>
      </c>
      <c r="Z105" t="s">
        <v>2230</v>
      </c>
      <c r="AA105" t="s">
        <v>74</v>
      </c>
      <c r="AB105" t="s">
        <v>2231</v>
      </c>
      <c r="AC105" t="s">
        <v>74</v>
      </c>
      <c r="AD105" t="s">
        <v>74</v>
      </c>
      <c r="AE105" t="s">
        <v>74</v>
      </c>
      <c r="AF105" t="s">
        <v>74</v>
      </c>
      <c r="AG105">
        <v>13</v>
      </c>
      <c r="AH105">
        <v>10</v>
      </c>
      <c r="AI105">
        <v>10</v>
      </c>
      <c r="AJ105">
        <v>0</v>
      </c>
      <c r="AK105">
        <v>11</v>
      </c>
      <c r="AL105" t="s">
        <v>146</v>
      </c>
      <c r="AM105" t="s">
        <v>147</v>
      </c>
      <c r="AN105" t="s">
        <v>148</v>
      </c>
      <c r="AO105" t="s">
        <v>2232</v>
      </c>
      <c r="AP105" t="s">
        <v>74</v>
      </c>
      <c r="AQ105" t="s">
        <v>74</v>
      </c>
      <c r="AR105" t="s">
        <v>2233</v>
      </c>
      <c r="AS105" t="s">
        <v>2234</v>
      </c>
      <c r="AT105" t="s">
        <v>559</v>
      </c>
      <c r="AU105">
        <v>2012</v>
      </c>
      <c r="AV105">
        <v>2</v>
      </c>
      <c r="AW105">
        <v>5</v>
      </c>
      <c r="AX105" t="s">
        <v>74</v>
      </c>
      <c r="AY105" t="s">
        <v>74</v>
      </c>
      <c r="AZ105" t="s">
        <v>74</v>
      </c>
      <c r="BA105" t="s">
        <v>74</v>
      </c>
      <c r="BB105">
        <v>317</v>
      </c>
      <c r="BC105">
        <v>318</v>
      </c>
      <c r="BD105" t="s">
        <v>74</v>
      </c>
      <c r="BE105" t="s">
        <v>74</v>
      </c>
      <c r="BF105" t="s">
        <v>74</v>
      </c>
      <c r="BG105" t="s">
        <v>74</v>
      </c>
      <c r="BH105" t="s">
        <v>74</v>
      </c>
      <c r="BI105">
        <v>2</v>
      </c>
      <c r="BJ105" t="s">
        <v>2235</v>
      </c>
      <c r="BK105" t="s">
        <v>2236</v>
      </c>
      <c r="BL105" t="s">
        <v>1759</v>
      </c>
      <c r="BM105" t="s">
        <v>2237</v>
      </c>
      <c r="BN105" t="s">
        <v>74</v>
      </c>
      <c r="BO105" t="s">
        <v>74</v>
      </c>
      <c r="BP105" t="s">
        <v>74</v>
      </c>
      <c r="BQ105" t="s">
        <v>74</v>
      </c>
      <c r="BR105" t="s">
        <v>101</v>
      </c>
      <c r="BS105" t="s">
        <v>2238</v>
      </c>
      <c r="BT105" t="str">
        <f>HYPERLINK("https%3A%2F%2Fwww.webofscience.com%2Fwos%2Fwoscc%2Ffull-record%2FWOS:000304024800011","View Full Record in Web of Science")</f>
        <v>View Full Record in Web of Science</v>
      </c>
    </row>
    <row r="106" spans="1:72" x14ac:dyDescent="0.15">
      <c r="A106" t="s">
        <v>72</v>
      </c>
      <c r="B106" t="s">
        <v>2239</v>
      </c>
      <c r="C106" t="s">
        <v>74</v>
      </c>
      <c r="D106" t="s">
        <v>74</v>
      </c>
      <c r="E106" t="s">
        <v>74</v>
      </c>
      <c r="F106" t="s">
        <v>2240</v>
      </c>
      <c r="G106" t="s">
        <v>74</v>
      </c>
      <c r="H106" t="s">
        <v>74</v>
      </c>
      <c r="I106" t="s">
        <v>2241</v>
      </c>
      <c r="J106" t="s">
        <v>2224</v>
      </c>
      <c r="K106" t="s">
        <v>74</v>
      </c>
      <c r="L106" t="s">
        <v>74</v>
      </c>
      <c r="M106" t="s">
        <v>78</v>
      </c>
      <c r="N106" t="s">
        <v>79</v>
      </c>
      <c r="O106" t="s">
        <v>74</v>
      </c>
      <c r="P106" t="s">
        <v>74</v>
      </c>
      <c r="Q106" t="s">
        <v>74</v>
      </c>
      <c r="R106" t="s">
        <v>74</v>
      </c>
      <c r="S106" t="s">
        <v>74</v>
      </c>
      <c r="T106" t="s">
        <v>74</v>
      </c>
      <c r="U106" t="s">
        <v>2242</v>
      </c>
      <c r="V106" t="s">
        <v>2243</v>
      </c>
      <c r="W106" t="s">
        <v>2244</v>
      </c>
      <c r="X106" t="s">
        <v>2245</v>
      </c>
      <c r="Y106" t="s">
        <v>2246</v>
      </c>
      <c r="Z106" t="s">
        <v>2247</v>
      </c>
      <c r="AA106" t="s">
        <v>2248</v>
      </c>
      <c r="AB106" t="s">
        <v>2249</v>
      </c>
      <c r="AC106" t="s">
        <v>2250</v>
      </c>
      <c r="AD106" t="s">
        <v>2251</v>
      </c>
      <c r="AE106" t="s">
        <v>2252</v>
      </c>
      <c r="AF106" t="s">
        <v>74</v>
      </c>
      <c r="AG106">
        <v>30</v>
      </c>
      <c r="AH106">
        <v>75</v>
      </c>
      <c r="AI106">
        <v>82</v>
      </c>
      <c r="AJ106">
        <v>1</v>
      </c>
      <c r="AK106">
        <v>63</v>
      </c>
      <c r="AL106" t="s">
        <v>146</v>
      </c>
      <c r="AM106" t="s">
        <v>147</v>
      </c>
      <c r="AN106" t="s">
        <v>148</v>
      </c>
      <c r="AO106" t="s">
        <v>2232</v>
      </c>
      <c r="AP106" t="s">
        <v>2253</v>
      </c>
      <c r="AQ106" t="s">
        <v>74</v>
      </c>
      <c r="AR106" t="s">
        <v>2233</v>
      </c>
      <c r="AS106" t="s">
        <v>2234</v>
      </c>
      <c r="AT106" t="s">
        <v>559</v>
      </c>
      <c r="AU106">
        <v>2012</v>
      </c>
      <c r="AV106">
        <v>2</v>
      </c>
      <c r="AW106">
        <v>5</v>
      </c>
      <c r="AX106" t="s">
        <v>74</v>
      </c>
      <c r="AY106" t="s">
        <v>74</v>
      </c>
      <c r="AZ106" t="s">
        <v>74</v>
      </c>
      <c r="BA106" t="s">
        <v>74</v>
      </c>
      <c r="BB106">
        <v>356</v>
      </c>
      <c r="BC106">
        <v>360</v>
      </c>
      <c r="BD106" t="s">
        <v>74</v>
      </c>
      <c r="BE106" t="s">
        <v>2254</v>
      </c>
      <c r="BF106" t="str">
        <f>HYPERLINK("http://dx.doi.org/10.1038/NCLIMATE1418","http://dx.doi.org/10.1038/NCLIMATE1418")</f>
        <v>http://dx.doi.org/10.1038/NCLIMATE1418</v>
      </c>
      <c r="BG106" t="s">
        <v>74</v>
      </c>
      <c r="BH106" t="s">
        <v>74</v>
      </c>
      <c r="BI106">
        <v>5</v>
      </c>
      <c r="BJ106" t="s">
        <v>2235</v>
      </c>
      <c r="BK106" t="s">
        <v>2236</v>
      </c>
      <c r="BL106" t="s">
        <v>1759</v>
      </c>
      <c r="BM106" t="s">
        <v>2237</v>
      </c>
      <c r="BN106" t="s">
        <v>74</v>
      </c>
      <c r="BO106" t="s">
        <v>74</v>
      </c>
      <c r="BP106" t="s">
        <v>74</v>
      </c>
      <c r="BQ106" t="s">
        <v>74</v>
      </c>
      <c r="BR106" t="s">
        <v>101</v>
      </c>
      <c r="BS106" t="s">
        <v>2255</v>
      </c>
      <c r="BT106" t="str">
        <f>HYPERLINK("https%3A%2F%2Fwww.webofscience.com%2Fwos%2Fwoscc%2Ffull-record%2FWOS:000304024800020","View Full Record in Web of Science")</f>
        <v>View Full Record in Web of Science</v>
      </c>
    </row>
    <row r="107" spans="1:72" x14ac:dyDescent="0.15">
      <c r="A107" t="s">
        <v>72</v>
      </c>
      <c r="B107" t="s">
        <v>2256</v>
      </c>
      <c r="C107" t="s">
        <v>74</v>
      </c>
      <c r="D107" t="s">
        <v>74</v>
      </c>
      <c r="E107" t="s">
        <v>74</v>
      </c>
      <c r="F107" t="s">
        <v>2257</v>
      </c>
      <c r="G107" t="s">
        <v>74</v>
      </c>
      <c r="H107" t="s">
        <v>74</v>
      </c>
      <c r="I107" t="s">
        <v>2258</v>
      </c>
      <c r="J107" t="s">
        <v>2259</v>
      </c>
      <c r="K107" t="s">
        <v>74</v>
      </c>
      <c r="L107" t="s">
        <v>74</v>
      </c>
      <c r="M107" t="s">
        <v>78</v>
      </c>
      <c r="N107" t="s">
        <v>79</v>
      </c>
      <c r="O107" t="s">
        <v>74</v>
      </c>
      <c r="P107" t="s">
        <v>74</v>
      </c>
      <c r="Q107" t="s">
        <v>74</v>
      </c>
      <c r="R107" t="s">
        <v>74</v>
      </c>
      <c r="S107" t="s">
        <v>74</v>
      </c>
      <c r="T107" t="s">
        <v>74</v>
      </c>
      <c r="U107" t="s">
        <v>2260</v>
      </c>
      <c r="V107" t="s">
        <v>2261</v>
      </c>
      <c r="W107" t="s">
        <v>2262</v>
      </c>
      <c r="X107" t="s">
        <v>2263</v>
      </c>
      <c r="Y107" t="s">
        <v>2264</v>
      </c>
      <c r="Z107" t="s">
        <v>2265</v>
      </c>
      <c r="AA107" t="s">
        <v>2266</v>
      </c>
      <c r="AB107" t="s">
        <v>2267</v>
      </c>
      <c r="AC107" t="s">
        <v>2268</v>
      </c>
      <c r="AD107" t="s">
        <v>2269</v>
      </c>
      <c r="AE107" t="s">
        <v>2270</v>
      </c>
      <c r="AF107" t="s">
        <v>74</v>
      </c>
      <c r="AG107">
        <v>25</v>
      </c>
      <c r="AH107">
        <v>72</v>
      </c>
      <c r="AI107">
        <v>76</v>
      </c>
      <c r="AJ107">
        <v>0</v>
      </c>
      <c r="AK107">
        <v>23</v>
      </c>
      <c r="AL107" t="s">
        <v>146</v>
      </c>
      <c r="AM107" t="s">
        <v>147</v>
      </c>
      <c r="AN107" t="s">
        <v>148</v>
      </c>
      <c r="AO107" t="s">
        <v>2271</v>
      </c>
      <c r="AP107" t="s">
        <v>74</v>
      </c>
      <c r="AQ107" t="s">
        <v>74</v>
      </c>
      <c r="AR107" t="s">
        <v>2272</v>
      </c>
      <c r="AS107" t="s">
        <v>2273</v>
      </c>
      <c r="AT107" t="s">
        <v>559</v>
      </c>
      <c r="AU107">
        <v>2012</v>
      </c>
      <c r="AV107">
        <v>3</v>
      </c>
      <c r="AW107" t="s">
        <v>74</v>
      </c>
      <c r="AX107" t="s">
        <v>74</v>
      </c>
      <c r="AY107" t="s">
        <v>74</v>
      </c>
      <c r="AZ107" t="s">
        <v>74</v>
      </c>
      <c r="BA107" t="s">
        <v>74</v>
      </c>
      <c r="BB107" t="s">
        <v>74</v>
      </c>
      <c r="BC107" t="s">
        <v>74</v>
      </c>
      <c r="BD107">
        <v>826</v>
      </c>
      <c r="BE107" t="s">
        <v>2274</v>
      </c>
      <c r="BF107" t="str">
        <f>HYPERLINK("http://dx.doi.org/10.1038/ncomms1820","http://dx.doi.org/10.1038/ncomms1820")</f>
        <v>http://dx.doi.org/10.1038/ncomms1820</v>
      </c>
      <c r="BG107" t="s">
        <v>74</v>
      </c>
      <c r="BH107" t="s">
        <v>74</v>
      </c>
      <c r="BI107">
        <v>6</v>
      </c>
      <c r="BJ107" t="s">
        <v>153</v>
      </c>
      <c r="BK107" t="s">
        <v>99</v>
      </c>
      <c r="BL107" t="s">
        <v>154</v>
      </c>
      <c r="BM107" t="s">
        <v>2275</v>
      </c>
      <c r="BN107">
        <v>22569370</v>
      </c>
      <c r="BO107" t="s">
        <v>2276</v>
      </c>
      <c r="BP107" t="s">
        <v>74</v>
      </c>
      <c r="BQ107" t="s">
        <v>74</v>
      </c>
      <c r="BR107" t="s">
        <v>101</v>
      </c>
      <c r="BS107" t="s">
        <v>2277</v>
      </c>
      <c r="BT107" t="str">
        <f>HYPERLINK("https%3A%2F%2Fwww.webofscience.com%2Fwos%2Fwoscc%2Ffull-record%2FWOS:000304611400022","View Full Record in Web of Science")</f>
        <v>View Full Record in Web of Science</v>
      </c>
    </row>
    <row r="108" spans="1:72" x14ac:dyDescent="0.15">
      <c r="A108" t="s">
        <v>72</v>
      </c>
      <c r="B108" t="s">
        <v>2278</v>
      </c>
      <c r="C108" t="s">
        <v>74</v>
      </c>
      <c r="D108" t="s">
        <v>74</v>
      </c>
      <c r="E108" t="s">
        <v>74</v>
      </c>
      <c r="F108" t="s">
        <v>2279</v>
      </c>
      <c r="G108" t="s">
        <v>74</v>
      </c>
      <c r="H108" t="s">
        <v>74</v>
      </c>
      <c r="I108" t="s">
        <v>2280</v>
      </c>
      <c r="J108" t="s">
        <v>2281</v>
      </c>
      <c r="K108" t="s">
        <v>74</v>
      </c>
      <c r="L108" t="s">
        <v>74</v>
      </c>
      <c r="M108" t="s">
        <v>78</v>
      </c>
      <c r="N108" t="s">
        <v>79</v>
      </c>
      <c r="O108" t="s">
        <v>74</v>
      </c>
      <c r="P108" t="s">
        <v>74</v>
      </c>
      <c r="Q108" t="s">
        <v>74</v>
      </c>
      <c r="R108" t="s">
        <v>74</v>
      </c>
      <c r="S108" t="s">
        <v>74</v>
      </c>
      <c r="T108" t="s">
        <v>74</v>
      </c>
      <c r="U108" t="s">
        <v>2282</v>
      </c>
      <c r="V108" t="s">
        <v>2283</v>
      </c>
      <c r="W108" t="s">
        <v>2284</v>
      </c>
      <c r="X108" t="s">
        <v>2285</v>
      </c>
      <c r="Y108" t="s">
        <v>2286</v>
      </c>
      <c r="Z108" t="s">
        <v>2287</v>
      </c>
      <c r="AA108" t="s">
        <v>2288</v>
      </c>
      <c r="AB108" t="s">
        <v>2289</v>
      </c>
      <c r="AC108" t="s">
        <v>2290</v>
      </c>
      <c r="AD108" t="s">
        <v>2291</v>
      </c>
      <c r="AE108" t="s">
        <v>74</v>
      </c>
      <c r="AF108" t="s">
        <v>74</v>
      </c>
      <c r="AG108">
        <v>83</v>
      </c>
      <c r="AH108">
        <v>125</v>
      </c>
      <c r="AI108">
        <v>135</v>
      </c>
      <c r="AJ108">
        <v>1</v>
      </c>
      <c r="AK108">
        <v>63</v>
      </c>
      <c r="AL108" t="s">
        <v>1595</v>
      </c>
      <c r="AM108" t="s">
        <v>278</v>
      </c>
      <c r="AN108" t="s">
        <v>1596</v>
      </c>
      <c r="AO108" t="s">
        <v>2292</v>
      </c>
      <c r="AP108" t="s">
        <v>2293</v>
      </c>
      <c r="AQ108" t="s">
        <v>74</v>
      </c>
      <c r="AR108" t="s">
        <v>2294</v>
      </c>
      <c r="AS108" t="s">
        <v>2295</v>
      </c>
      <c r="AT108" t="s">
        <v>559</v>
      </c>
      <c r="AU108">
        <v>2012</v>
      </c>
      <c r="AV108">
        <v>60</v>
      </c>
      <c r="AW108" t="s">
        <v>74</v>
      </c>
      <c r="AX108" t="s">
        <v>74</v>
      </c>
      <c r="AY108" t="s">
        <v>74</v>
      </c>
      <c r="AZ108" t="s">
        <v>74</v>
      </c>
      <c r="BA108" t="s">
        <v>74</v>
      </c>
      <c r="BB108">
        <v>19</v>
      </c>
      <c r="BC108">
        <v>30</v>
      </c>
      <c r="BD108" t="s">
        <v>74</v>
      </c>
      <c r="BE108" t="s">
        <v>2296</v>
      </c>
      <c r="BF108" t="str">
        <f>HYPERLINK("http://dx.doi.org/10.1016/j.ocecoaman.2011.12.016","http://dx.doi.org/10.1016/j.ocecoaman.2011.12.016")</f>
        <v>http://dx.doi.org/10.1016/j.ocecoaman.2011.12.016</v>
      </c>
      <c r="BG108" t="s">
        <v>74</v>
      </c>
      <c r="BH108" t="s">
        <v>74</v>
      </c>
      <c r="BI108">
        <v>12</v>
      </c>
      <c r="BJ108" t="s">
        <v>2297</v>
      </c>
      <c r="BK108" t="s">
        <v>99</v>
      </c>
      <c r="BL108" t="s">
        <v>2297</v>
      </c>
      <c r="BM108" t="s">
        <v>2298</v>
      </c>
      <c r="BN108" t="s">
        <v>74</v>
      </c>
      <c r="BO108" t="s">
        <v>74</v>
      </c>
      <c r="BP108" t="s">
        <v>74</v>
      </c>
      <c r="BQ108" t="s">
        <v>74</v>
      </c>
      <c r="BR108" t="s">
        <v>101</v>
      </c>
      <c r="BS108" t="s">
        <v>2299</v>
      </c>
      <c r="BT108" t="str">
        <f>HYPERLINK("https%3A%2F%2Fwww.webofscience.com%2Fwos%2Fwoscc%2Ffull-record%2FWOS:000302448000003","View Full Record in Web of Science")</f>
        <v>View Full Record in Web of Science</v>
      </c>
    </row>
    <row r="109" spans="1:72" x14ac:dyDescent="0.15">
      <c r="A109" t="s">
        <v>72</v>
      </c>
      <c r="B109" t="s">
        <v>2300</v>
      </c>
      <c r="C109" t="s">
        <v>74</v>
      </c>
      <c r="D109" t="s">
        <v>74</v>
      </c>
      <c r="E109" t="s">
        <v>74</v>
      </c>
      <c r="F109" t="s">
        <v>2301</v>
      </c>
      <c r="G109" t="s">
        <v>74</v>
      </c>
      <c r="H109" t="s">
        <v>74</v>
      </c>
      <c r="I109" t="s">
        <v>2302</v>
      </c>
      <c r="J109" t="s">
        <v>2303</v>
      </c>
      <c r="K109" t="s">
        <v>74</v>
      </c>
      <c r="L109" t="s">
        <v>74</v>
      </c>
      <c r="M109" t="s">
        <v>78</v>
      </c>
      <c r="N109" t="s">
        <v>79</v>
      </c>
      <c r="O109" t="s">
        <v>74</v>
      </c>
      <c r="P109" t="s">
        <v>74</v>
      </c>
      <c r="Q109" t="s">
        <v>74</v>
      </c>
      <c r="R109" t="s">
        <v>74</v>
      </c>
      <c r="S109" t="s">
        <v>74</v>
      </c>
      <c r="T109" t="s">
        <v>2304</v>
      </c>
      <c r="U109" t="s">
        <v>2305</v>
      </c>
      <c r="V109" t="s">
        <v>2306</v>
      </c>
      <c r="W109" t="s">
        <v>2307</v>
      </c>
      <c r="X109" t="s">
        <v>2308</v>
      </c>
      <c r="Y109" t="s">
        <v>2309</v>
      </c>
      <c r="Z109" t="s">
        <v>2310</v>
      </c>
      <c r="AA109" t="s">
        <v>2311</v>
      </c>
      <c r="AB109" t="s">
        <v>2312</v>
      </c>
      <c r="AC109" t="s">
        <v>2313</v>
      </c>
      <c r="AD109" t="s">
        <v>2314</v>
      </c>
      <c r="AE109" t="s">
        <v>2315</v>
      </c>
      <c r="AF109" t="s">
        <v>74</v>
      </c>
      <c r="AG109">
        <v>54</v>
      </c>
      <c r="AH109">
        <v>27</v>
      </c>
      <c r="AI109">
        <v>32</v>
      </c>
      <c r="AJ109">
        <v>0</v>
      </c>
      <c r="AK109">
        <v>42</v>
      </c>
      <c r="AL109" t="s">
        <v>655</v>
      </c>
      <c r="AM109" t="s">
        <v>656</v>
      </c>
      <c r="AN109" t="s">
        <v>657</v>
      </c>
      <c r="AO109" t="s">
        <v>2316</v>
      </c>
      <c r="AP109" t="s">
        <v>74</v>
      </c>
      <c r="AQ109" t="s">
        <v>74</v>
      </c>
      <c r="AR109" t="s">
        <v>2317</v>
      </c>
      <c r="AS109" t="s">
        <v>2318</v>
      </c>
      <c r="AT109" t="s">
        <v>559</v>
      </c>
      <c r="AU109">
        <v>2012</v>
      </c>
      <c r="AV109">
        <v>35</v>
      </c>
      <c r="AW109">
        <v>5</v>
      </c>
      <c r="AX109" t="s">
        <v>74</v>
      </c>
      <c r="AY109" t="s">
        <v>74</v>
      </c>
      <c r="AZ109" t="s">
        <v>74</v>
      </c>
      <c r="BA109" t="s">
        <v>74</v>
      </c>
      <c r="BB109">
        <v>717</v>
      </c>
      <c r="BC109">
        <v>724</v>
      </c>
      <c r="BD109" t="s">
        <v>74</v>
      </c>
      <c r="BE109" t="s">
        <v>2319</v>
      </c>
      <c r="BF109" t="str">
        <f>HYPERLINK("http://dx.doi.org/10.1007/s00300-011-1116-9","http://dx.doi.org/10.1007/s00300-011-1116-9")</f>
        <v>http://dx.doi.org/10.1007/s00300-011-1116-9</v>
      </c>
      <c r="BG109" t="s">
        <v>74</v>
      </c>
      <c r="BH109" t="s">
        <v>74</v>
      </c>
      <c r="BI109">
        <v>8</v>
      </c>
      <c r="BJ109" t="s">
        <v>2320</v>
      </c>
      <c r="BK109" t="s">
        <v>99</v>
      </c>
      <c r="BL109" t="s">
        <v>1784</v>
      </c>
      <c r="BM109" t="s">
        <v>2321</v>
      </c>
      <c r="BN109" t="s">
        <v>74</v>
      </c>
      <c r="BO109" t="s">
        <v>74</v>
      </c>
      <c r="BP109" t="s">
        <v>74</v>
      </c>
      <c r="BQ109" t="s">
        <v>74</v>
      </c>
      <c r="BR109" t="s">
        <v>101</v>
      </c>
      <c r="BS109" t="s">
        <v>2322</v>
      </c>
      <c r="BT109" t="str">
        <f>HYPERLINK("https%3A%2F%2Fwww.webofscience.com%2Fwos%2Fwoscc%2Ffull-record%2FWOS:000302480600007","View Full Record in Web of Science")</f>
        <v>View Full Record in Web of Science</v>
      </c>
    </row>
    <row r="110" spans="1:72" x14ac:dyDescent="0.15">
      <c r="A110" t="s">
        <v>72</v>
      </c>
      <c r="B110" t="s">
        <v>2323</v>
      </c>
      <c r="C110" t="s">
        <v>74</v>
      </c>
      <c r="D110" t="s">
        <v>74</v>
      </c>
      <c r="E110" t="s">
        <v>74</v>
      </c>
      <c r="F110" t="s">
        <v>2324</v>
      </c>
      <c r="G110" t="s">
        <v>74</v>
      </c>
      <c r="H110" t="s">
        <v>74</v>
      </c>
      <c r="I110" t="s">
        <v>2325</v>
      </c>
      <c r="J110" t="s">
        <v>2303</v>
      </c>
      <c r="K110" t="s">
        <v>74</v>
      </c>
      <c r="L110" t="s">
        <v>74</v>
      </c>
      <c r="M110" t="s">
        <v>78</v>
      </c>
      <c r="N110" t="s">
        <v>79</v>
      </c>
      <c r="O110" t="s">
        <v>74</v>
      </c>
      <c r="P110" t="s">
        <v>74</v>
      </c>
      <c r="Q110" t="s">
        <v>74</v>
      </c>
      <c r="R110" t="s">
        <v>74</v>
      </c>
      <c r="S110" t="s">
        <v>74</v>
      </c>
      <c r="T110" t="s">
        <v>2326</v>
      </c>
      <c r="U110" t="s">
        <v>2327</v>
      </c>
      <c r="V110" t="s">
        <v>2328</v>
      </c>
      <c r="W110" t="s">
        <v>2329</v>
      </c>
      <c r="X110" t="s">
        <v>2330</v>
      </c>
      <c r="Y110" t="s">
        <v>2331</v>
      </c>
      <c r="Z110" t="s">
        <v>2332</v>
      </c>
      <c r="AA110" t="s">
        <v>2333</v>
      </c>
      <c r="AB110" t="s">
        <v>2334</v>
      </c>
      <c r="AC110" t="s">
        <v>2335</v>
      </c>
      <c r="AD110" t="s">
        <v>2336</v>
      </c>
      <c r="AE110" t="s">
        <v>2337</v>
      </c>
      <c r="AF110" t="s">
        <v>74</v>
      </c>
      <c r="AG110">
        <v>48</v>
      </c>
      <c r="AH110">
        <v>18</v>
      </c>
      <c r="AI110">
        <v>19</v>
      </c>
      <c r="AJ110">
        <v>1</v>
      </c>
      <c r="AK110">
        <v>31</v>
      </c>
      <c r="AL110" t="s">
        <v>655</v>
      </c>
      <c r="AM110" t="s">
        <v>656</v>
      </c>
      <c r="AN110" t="s">
        <v>1908</v>
      </c>
      <c r="AO110" t="s">
        <v>2316</v>
      </c>
      <c r="AP110" t="s">
        <v>2338</v>
      </c>
      <c r="AQ110" t="s">
        <v>74</v>
      </c>
      <c r="AR110" t="s">
        <v>2317</v>
      </c>
      <c r="AS110" t="s">
        <v>2318</v>
      </c>
      <c r="AT110" t="s">
        <v>559</v>
      </c>
      <c r="AU110">
        <v>2012</v>
      </c>
      <c r="AV110">
        <v>35</v>
      </c>
      <c r="AW110">
        <v>5</v>
      </c>
      <c r="AX110" t="s">
        <v>74</v>
      </c>
      <c r="AY110" t="s">
        <v>74</v>
      </c>
      <c r="AZ110" t="s">
        <v>74</v>
      </c>
      <c r="BA110" t="s">
        <v>74</v>
      </c>
      <c r="BB110">
        <v>759</v>
      </c>
      <c r="BC110">
        <v>774</v>
      </c>
      <c r="BD110" t="s">
        <v>74</v>
      </c>
      <c r="BE110" t="s">
        <v>2339</v>
      </c>
      <c r="BF110" t="str">
        <f>HYPERLINK("http://dx.doi.org/10.1007/s00300-011-1123-x","http://dx.doi.org/10.1007/s00300-011-1123-x")</f>
        <v>http://dx.doi.org/10.1007/s00300-011-1123-x</v>
      </c>
      <c r="BG110" t="s">
        <v>74</v>
      </c>
      <c r="BH110" t="s">
        <v>74</v>
      </c>
      <c r="BI110">
        <v>16</v>
      </c>
      <c r="BJ110" t="s">
        <v>2320</v>
      </c>
      <c r="BK110" t="s">
        <v>99</v>
      </c>
      <c r="BL110" t="s">
        <v>1784</v>
      </c>
      <c r="BM110" t="s">
        <v>2321</v>
      </c>
      <c r="BN110" t="s">
        <v>74</v>
      </c>
      <c r="BO110" t="s">
        <v>74</v>
      </c>
      <c r="BP110" t="s">
        <v>74</v>
      </c>
      <c r="BQ110" t="s">
        <v>74</v>
      </c>
      <c r="BR110" t="s">
        <v>101</v>
      </c>
      <c r="BS110" t="s">
        <v>2340</v>
      </c>
      <c r="BT110" t="str">
        <f>HYPERLINK("https%3A%2F%2Fwww.webofscience.com%2Fwos%2Fwoscc%2Ffull-record%2FWOS:000302480600011","View Full Record in Web of Science")</f>
        <v>View Full Record in Web of Science</v>
      </c>
    </row>
    <row r="111" spans="1:72" x14ac:dyDescent="0.15">
      <c r="A111" t="s">
        <v>72</v>
      </c>
      <c r="B111" t="s">
        <v>2341</v>
      </c>
      <c r="C111" t="s">
        <v>74</v>
      </c>
      <c r="D111" t="s">
        <v>74</v>
      </c>
      <c r="E111" t="s">
        <v>74</v>
      </c>
      <c r="F111" t="s">
        <v>2342</v>
      </c>
      <c r="G111" t="s">
        <v>74</v>
      </c>
      <c r="H111" t="s">
        <v>74</v>
      </c>
      <c r="I111" t="s">
        <v>2343</v>
      </c>
      <c r="J111" t="s">
        <v>2303</v>
      </c>
      <c r="K111" t="s">
        <v>74</v>
      </c>
      <c r="L111" t="s">
        <v>74</v>
      </c>
      <c r="M111" t="s">
        <v>78</v>
      </c>
      <c r="N111" t="s">
        <v>79</v>
      </c>
      <c r="O111" t="s">
        <v>74</v>
      </c>
      <c r="P111" t="s">
        <v>74</v>
      </c>
      <c r="Q111" t="s">
        <v>74</v>
      </c>
      <c r="R111" t="s">
        <v>74</v>
      </c>
      <c r="S111" t="s">
        <v>74</v>
      </c>
      <c r="T111" t="s">
        <v>2344</v>
      </c>
      <c r="U111" t="s">
        <v>2345</v>
      </c>
      <c r="V111" t="s">
        <v>2346</v>
      </c>
      <c r="W111" t="s">
        <v>2347</v>
      </c>
      <c r="X111" t="s">
        <v>2348</v>
      </c>
      <c r="Y111" t="s">
        <v>2349</v>
      </c>
      <c r="Z111" t="s">
        <v>2350</v>
      </c>
      <c r="AA111" t="s">
        <v>74</v>
      </c>
      <c r="AB111" t="s">
        <v>74</v>
      </c>
      <c r="AC111" t="s">
        <v>2351</v>
      </c>
      <c r="AD111" t="s">
        <v>2352</v>
      </c>
      <c r="AE111" t="s">
        <v>2353</v>
      </c>
      <c r="AF111" t="s">
        <v>74</v>
      </c>
      <c r="AG111">
        <v>32</v>
      </c>
      <c r="AH111">
        <v>1</v>
      </c>
      <c r="AI111">
        <v>2</v>
      </c>
      <c r="AJ111">
        <v>0</v>
      </c>
      <c r="AK111">
        <v>7</v>
      </c>
      <c r="AL111" t="s">
        <v>655</v>
      </c>
      <c r="AM111" t="s">
        <v>656</v>
      </c>
      <c r="AN111" t="s">
        <v>1908</v>
      </c>
      <c r="AO111" t="s">
        <v>2316</v>
      </c>
      <c r="AP111" t="s">
        <v>2338</v>
      </c>
      <c r="AQ111" t="s">
        <v>74</v>
      </c>
      <c r="AR111" t="s">
        <v>2317</v>
      </c>
      <c r="AS111" t="s">
        <v>2318</v>
      </c>
      <c r="AT111" t="s">
        <v>559</v>
      </c>
      <c r="AU111">
        <v>2012</v>
      </c>
      <c r="AV111">
        <v>35</v>
      </c>
      <c r="AW111">
        <v>5</v>
      </c>
      <c r="AX111" t="s">
        <v>74</v>
      </c>
      <c r="AY111" t="s">
        <v>74</v>
      </c>
      <c r="AZ111" t="s">
        <v>74</v>
      </c>
      <c r="BA111" t="s">
        <v>74</v>
      </c>
      <c r="BB111">
        <v>775</v>
      </c>
      <c r="BC111">
        <v>783</v>
      </c>
      <c r="BD111" t="s">
        <v>74</v>
      </c>
      <c r="BE111" t="s">
        <v>2354</v>
      </c>
      <c r="BF111" t="str">
        <f>HYPERLINK("http://dx.doi.org/10.1007/s00300-011-1124-9","http://dx.doi.org/10.1007/s00300-011-1124-9")</f>
        <v>http://dx.doi.org/10.1007/s00300-011-1124-9</v>
      </c>
      <c r="BG111" t="s">
        <v>74</v>
      </c>
      <c r="BH111" t="s">
        <v>74</v>
      </c>
      <c r="BI111">
        <v>9</v>
      </c>
      <c r="BJ111" t="s">
        <v>2320</v>
      </c>
      <c r="BK111" t="s">
        <v>99</v>
      </c>
      <c r="BL111" t="s">
        <v>1784</v>
      </c>
      <c r="BM111" t="s">
        <v>2321</v>
      </c>
      <c r="BN111" t="s">
        <v>74</v>
      </c>
      <c r="BO111" t="s">
        <v>74</v>
      </c>
      <c r="BP111" t="s">
        <v>74</v>
      </c>
      <c r="BQ111" t="s">
        <v>74</v>
      </c>
      <c r="BR111" t="s">
        <v>101</v>
      </c>
      <c r="BS111" t="s">
        <v>2355</v>
      </c>
      <c r="BT111" t="str">
        <f>HYPERLINK("https%3A%2F%2Fwww.webofscience.com%2Fwos%2Fwoscc%2Ffull-record%2FWOS:000302480600012","View Full Record in Web of Science")</f>
        <v>View Full Record in Web of Science</v>
      </c>
    </row>
    <row r="112" spans="1:72" x14ac:dyDescent="0.15">
      <c r="A112" t="s">
        <v>72</v>
      </c>
      <c r="B112" t="s">
        <v>2356</v>
      </c>
      <c r="C112" t="s">
        <v>74</v>
      </c>
      <c r="D112" t="s">
        <v>74</v>
      </c>
      <c r="E112" t="s">
        <v>74</v>
      </c>
      <c r="F112" t="s">
        <v>2357</v>
      </c>
      <c r="G112" t="s">
        <v>74</v>
      </c>
      <c r="H112" t="s">
        <v>74</v>
      </c>
      <c r="I112" t="s">
        <v>2358</v>
      </c>
      <c r="J112" t="s">
        <v>542</v>
      </c>
      <c r="K112" t="s">
        <v>74</v>
      </c>
      <c r="L112" t="s">
        <v>74</v>
      </c>
      <c r="M112" t="s">
        <v>78</v>
      </c>
      <c r="N112" t="s">
        <v>79</v>
      </c>
      <c r="O112" t="s">
        <v>74</v>
      </c>
      <c r="P112" t="s">
        <v>74</v>
      </c>
      <c r="Q112" t="s">
        <v>74</v>
      </c>
      <c r="R112" t="s">
        <v>74</v>
      </c>
      <c r="S112" t="s">
        <v>74</v>
      </c>
      <c r="T112" t="s">
        <v>2359</v>
      </c>
      <c r="U112" t="s">
        <v>2360</v>
      </c>
      <c r="V112" t="s">
        <v>2361</v>
      </c>
      <c r="W112" t="s">
        <v>2362</v>
      </c>
      <c r="X112" t="s">
        <v>546</v>
      </c>
      <c r="Y112" t="s">
        <v>2363</v>
      </c>
      <c r="Z112" t="s">
        <v>2364</v>
      </c>
      <c r="AA112" t="s">
        <v>2365</v>
      </c>
      <c r="AB112" t="s">
        <v>2366</v>
      </c>
      <c r="AC112" t="s">
        <v>2367</v>
      </c>
      <c r="AD112" t="s">
        <v>2368</v>
      </c>
      <c r="AE112" t="s">
        <v>2369</v>
      </c>
      <c r="AF112" t="s">
        <v>74</v>
      </c>
      <c r="AG112">
        <v>30</v>
      </c>
      <c r="AH112">
        <v>496</v>
      </c>
      <c r="AI112">
        <v>571</v>
      </c>
      <c r="AJ112">
        <v>7</v>
      </c>
      <c r="AK112">
        <v>316</v>
      </c>
      <c r="AL112" t="s">
        <v>2370</v>
      </c>
      <c r="AM112" t="s">
        <v>554</v>
      </c>
      <c r="AN112" t="s">
        <v>2371</v>
      </c>
      <c r="AO112" t="s">
        <v>74</v>
      </c>
      <c r="AP112" t="s">
        <v>556</v>
      </c>
      <c r="AQ112" t="s">
        <v>74</v>
      </c>
      <c r="AR112" t="s">
        <v>557</v>
      </c>
      <c r="AS112" t="s">
        <v>558</v>
      </c>
      <c r="AT112" t="s">
        <v>559</v>
      </c>
      <c r="AU112">
        <v>2012</v>
      </c>
      <c r="AV112">
        <v>4</v>
      </c>
      <c r="AW112">
        <v>5</v>
      </c>
      <c r="AX112" t="s">
        <v>74</v>
      </c>
      <c r="AY112" t="s">
        <v>74</v>
      </c>
      <c r="AZ112" t="s">
        <v>74</v>
      </c>
      <c r="BA112" t="s">
        <v>74</v>
      </c>
      <c r="BB112">
        <v>1392</v>
      </c>
      <c r="BC112">
        <v>1410</v>
      </c>
      <c r="BD112" t="s">
        <v>74</v>
      </c>
      <c r="BE112" t="s">
        <v>2372</v>
      </c>
      <c r="BF112" t="str">
        <f>HYPERLINK("http://dx.doi.org/10.3390/rs4051392","http://dx.doi.org/10.3390/rs4051392")</f>
        <v>http://dx.doi.org/10.3390/rs4051392</v>
      </c>
      <c r="BG112" t="s">
        <v>74</v>
      </c>
      <c r="BH112" t="s">
        <v>74</v>
      </c>
      <c r="BI112">
        <v>19</v>
      </c>
      <c r="BJ112" t="s">
        <v>561</v>
      </c>
      <c r="BK112" t="s">
        <v>99</v>
      </c>
      <c r="BL112" t="s">
        <v>562</v>
      </c>
      <c r="BM112" t="s">
        <v>563</v>
      </c>
      <c r="BN112" t="s">
        <v>74</v>
      </c>
      <c r="BO112" t="s">
        <v>2373</v>
      </c>
      <c r="BP112" t="s">
        <v>74</v>
      </c>
      <c r="BQ112" t="s">
        <v>74</v>
      </c>
      <c r="BR112" t="s">
        <v>101</v>
      </c>
      <c r="BS112" t="s">
        <v>2374</v>
      </c>
      <c r="BT112" t="str">
        <f>HYPERLINK("https%3A%2F%2Fwww.webofscience.com%2Fwos%2Fwoscc%2Ffull-record%2FWOS:000306757800014","View Full Record in Web of Science")</f>
        <v>View Full Record in Web of Science</v>
      </c>
    </row>
    <row r="113" spans="1:72" x14ac:dyDescent="0.15">
      <c r="A113" t="s">
        <v>72</v>
      </c>
      <c r="B113" t="s">
        <v>2375</v>
      </c>
      <c r="C113" t="s">
        <v>74</v>
      </c>
      <c r="D113" t="s">
        <v>74</v>
      </c>
      <c r="E113" t="s">
        <v>74</v>
      </c>
      <c r="F113" t="s">
        <v>2376</v>
      </c>
      <c r="G113" t="s">
        <v>74</v>
      </c>
      <c r="H113" t="s">
        <v>74</v>
      </c>
      <c r="I113" t="s">
        <v>2377</v>
      </c>
      <c r="J113" t="s">
        <v>2378</v>
      </c>
      <c r="K113" t="s">
        <v>74</v>
      </c>
      <c r="L113" t="s">
        <v>74</v>
      </c>
      <c r="M113" t="s">
        <v>78</v>
      </c>
      <c r="N113" t="s">
        <v>79</v>
      </c>
      <c r="O113" t="s">
        <v>74</v>
      </c>
      <c r="P113" t="s">
        <v>74</v>
      </c>
      <c r="Q113" t="s">
        <v>74</v>
      </c>
      <c r="R113" t="s">
        <v>74</v>
      </c>
      <c r="S113" t="s">
        <v>74</v>
      </c>
      <c r="T113" t="s">
        <v>2379</v>
      </c>
      <c r="U113" t="s">
        <v>2380</v>
      </c>
      <c r="V113" t="s">
        <v>2381</v>
      </c>
      <c r="W113" t="s">
        <v>2382</v>
      </c>
      <c r="X113" t="s">
        <v>2383</v>
      </c>
      <c r="Y113" t="s">
        <v>2384</v>
      </c>
      <c r="Z113" t="s">
        <v>2385</v>
      </c>
      <c r="AA113" t="s">
        <v>2386</v>
      </c>
      <c r="AB113" t="s">
        <v>2387</v>
      </c>
      <c r="AC113" t="s">
        <v>2388</v>
      </c>
      <c r="AD113" t="s">
        <v>2389</v>
      </c>
      <c r="AE113" t="s">
        <v>2390</v>
      </c>
      <c r="AF113" t="s">
        <v>74</v>
      </c>
      <c r="AG113">
        <v>48</v>
      </c>
      <c r="AH113">
        <v>5</v>
      </c>
      <c r="AI113">
        <v>9</v>
      </c>
      <c r="AJ113">
        <v>0</v>
      </c>
      <c r="AK113">
        <v>11</v>
      </c>
      <c r="AL113" t="s">
        <v>1083</v>
      </c>
      <c r="AM113" t="s">
        <v>1084</v>
      </c>
      <c r="AN113" t="s">
        <v>1085</v>
      </c>
      <c r="AO113" t="s">
        <v>2391</v>
      </c>
      <c r="AP113" t="s">
        <v>74</v>
      </c>
      <c r="AQ113" t="s">
        <v>74</v>
      </c>
      <c r="AR113" t="s">
        <v>2392</v>
      </c>
      <c r="AS113" t="s">
        <v>2393</v>
      </c>
      <c r="AT113" t="s">
        <v>559</v>
      </c>
      <c r="AU113">
        <v>2012</v>
      </c>
      <c r="AV113">
        <v>55</v>
      </c>
      <c r="AW113">
        <v>5</v>
      </c>
      <c r="AX113" t="s">
        <v>74</v>
      </c>
      <c r="AY113" t="s">
        <v>74</v>
      </c>
      <c r="AZ113" t="s">
        <v>74</v>
      </c>
      <c r="BA113" t="s">
        <v>74</v>
      </c>
      <c r="BB113">
        <v>1207</v>
      </c>
      <c r="BC113">
        <v>1216</v>
      </c>
      <c r="BD113" t="s">
        <v>74</v>
      </c>
      <c r="BE113" t="s">
        <v>2394</v>
      </c>
      <c r="BF113" t="str">
        <f>HYPERLINK("http://dx.doi.org/10.1007/s11431-012-4820-y","http://dx.doi.org/10.1007/s11431-012-4820-y")</f>
        <v>http://dx.doi.org/10.1007/s11431-012-4820-y</v>
      </c>
      <c r="BG113" t="s">
        <v>74</v>
      </c>
      <c r="BH113" t="s">
        <v>74</v>
      </c>
      <c r="BI113">
        <v>10</v>
      </c>
      <c r="BJ113" t="s">
        <v>2395</v>
      </c>
      <c r="BK113" t="s">
        <v>99</v>
      </c>
      <c r="BL113" t="s">
        <v>2396</v>
      </c>
      <c r="BM113" t="s">
        <v>2397</v>
      </c>
      <c r="BN113" t="s">
        <v>74</v>
      </c>
      <c r="BO113" t="s">
        <v>74</v>
      </c>
      <c r="BP113" t="s">
        <v>74</v>
      </c>
      <c r="BQ113" t="s">
        <v>74</v>
      </c>
      <c r="BR113" t="s">
        <v>101</v>
      </c>
      <c r="BS113" t="s">
        <v>2398</v>
      </c>
      <c r="BT113" t="str">
        <f>HYPERLINK("https%3A%2F%2Fwww.webofscience.com%2Fwos%2Fwoscc%2Ffull-record%2FWOS:000302928700008","View Full Record in Web of Science")</f>
        <v>View Full Record in Web of Science</v>
      </c>
    </row>
    <row r="114" spans="1:72" x14ac:dyDescent="0.15">
      <c r="A114" t="s">
        <v>72</v>
      </c>
      <c r="B114" t="s">
        <v>2399</v>
      </c>
      <c r="C114" t="s">
        <v>74</v>
      </c>
      <c r="D114" t="s">
        <v>74</v>
      </c>
      <c r="E114" t="s">
        <v>74</v>
      </c>
      <c r="F114" t="s">
        <v>2400</v>
      </c>
      <c r="G114" t="s">
        <v>74</v>
      </c>
      <c r="H114" t="s">
        <v>74</v>
      </c>
      <c r="I114" t="s">
        <v>2401</v>
      </c>
      <c r="J114" t="s">
        <v>2402</v>
      </c>
      <c r="K114" t="s">
        <v>74</v>
      </c>
      <c r="L114" t="s">
        <v>74</v>
      </c>
      <c r="M114" t="s">
        <v>78</v>
      </c>
      <c r="N114" t="s">
        <v>79</v>
      </c>
      <c r="O114" t="s">
        <v>74</v>
      </c>
      <c r="P114" t="s">
        <v>74</v>
      </c>
      <c r="Q114" t="s">
        <v>74</v>
      </c>
      <c r="R114" t="s">
        <v>74</v>
      </c>
      <c r="S114" t="s">
        <v>74</v>
      </c>
      <c r="T114" t="s">
        <v>2403</v>
      </c>
      <c r="U114" t="s">
        <v>74</v>
      </c>
      <c r="V114" t="s">
        <v>2404</v>
      </c>
      <c r="W114" t="s">
        <v>2405</v>
      </c>
      <c r="X114" t="s">
        <v>2406</v>
      </c>
      <c r="Y114" t="s">
        <v>2407</v>
      </c>
      <c r="Z114" t="s">
        <v>2408</v>
      </c>
      <c r="AA114" t="s">
        <v>2409</v>
      </c>
      <c r="AB114" t="s">
        <v>2410</v>
      </c>
      <c r="AC114" t="s">
        <v>2411</v>
      </c>
      <c r="AD114" t="s">
        <v>2412</v>
      </c>
      <c r="AE114" t="s">
        <v>2413</v>
      </c>
      <c r="AF114" t="s">
        <v>74</v>
      </c>
      <c r="AG114">
        <v>15</v>
      </c>
      <c r="AH114">
        <v>7</v>
      </c>
      <c r="AI114">
        <v>8</v>
      </c>
      <c r="AJ114">
        <v>2</v>
      </c>
      <c r="AK114">
        <v>31</v>
      </c>
      <c r="AL114" t="s">
        <v>2414</v>
      </c>
      <c r="AM114" t="s">
        <v>2415</v>
      </c>
      <c r="AN114" t="s">
        <v>2416</v>
      </c>
      <c r="AO114" t="s">
        <v>2417</v>
      </c>
      <c r="AP114" t="s">
        <v>2418</v>
      </c>
      <c r="AQ114" t="s">
        <v>74</v>
      </c>
      <c r="AR114" t="s">
        <v>2419</v>
      </c>
      <c r="AS114" t="s">
        <v>2420</v>
      </c>
      <c r="AT114" t="s">
        <v>559</v>
      </c>
      <c r="AU114">
        <v>2012</v>
      </c>
      <c r="AV114">
        <v>5</v>
      </c>
      <c r="AW114">
        <v>2</v>
      </c>
      <c r="AX114" t="s">
        <v>74</v>
      </c>
      <c r="AY114" t="s">
        <v>74</v>
      </c>
      <c r="AZ114" t="s">
        <v>74</v>
      </c>
      <c r="BA114" t="s">
        <v>74</v>
      </c>
      <c r="BB114">
        <v>153</v>
      </c>
      <c r="BC114">
        <v>159</v>
      </c>
      <c r="BD114" t="s">
        <v>74</v>
      </c>
      <c r="BE114" t="s">
        <v>2421</v>
      </c>
      <c r="BF114" t="str">
        <f>HYPERLINK("http://dx.doi.org/10.1007/s12080-011-0143-z","http://dx.doi.org/10.1007/s12080-011-0143-z")</f>
        <v>http://dx.doi.org/10.1007/s12080-011-0143-z</v>
      </c>
      <c r="BG114" t="s">
        <v>74</v>
      </c>
      <c r="BH114" t="s">
        <v>74</v>
      </c>
      <c r="BI114">
        <v>7</v>
      </c>
      <c r="BJ114" t="s">
        <v>2422</v>
      </c>
      <c r="BK114" t="s">
        <v>99</v>
      </c>
      <c r="BL114" t="s">
        <v>1259</v>
      </c>
      <c r="BM114" t="s">
        <v>2423</v>
      </c>
      <c r="BN114" t="s">
        <v>74</v>
      </c>
      <c r="BO114" t="s">
        <v>74</v>
      </c>
      <c r="BP114" t="s">
        <v>74</v>
      </c>
      <c r="BQ114" t="s">
        <v>74</v>
      </c>
      <c r="BR114" t="s">
        <v>101</v>
      </c>
      <c r="BS114" t="s">
        <v>2424</v>
      </c>
      <c r="BT114" t="str">
        <f>HYPERLINK("https%3A%2F%2Fwww.webofscience.com%2Fwos%2Fwoscc%2Ffull-record%2FWOS:000302292200001","View Full Record in Web of Science")</f>
        <v>View Full Record in Web of Science</v>
      </c>
    </row>
    <row r="115" spans="1:72" x14ac:dyDescent="0.15">
      <c r="A115" t="s">
        <v>72</v>
      </c>
      <c r="B115" t="s">
        <v>2425</v>
      </c>
      <c r="C115" t="s">
        <v>74</v>
      </c>
      <c r="D115" t="s">
        <v>74</v>
      </c>
      <c r="E115" t="s">
        <v>74</v>
      </c>
      <c r="F115" t="s">
        <v>2426</v>
      </c>
      <c r="G115" t="s">
        <v>74</v>
      </c>
      <c r="H115" t="s">
        <v>74</v>
      </c>
      <c r="I115" t="s">
        <v>2427</v>
      </c>
      <c r="J115" t="s">
        <v>1429</v>
      </c>
      <c r="K115" t="s">
        <v>74</v>
      </c>
      <c r="L115" t="s">
        <v>74</v>
      </c>
      <c r="M115" t="s">
        <v>78</v>
      </c>
      <c r="N115" t="s">
        <v>79</v>
      </c>
      <c r="O115" t="s">
        <v>74</v>
      </c>
      <c r="P115" t="s">
        <v>74</v>
      </c>
      <c r="Q115" t="s">
        <v>74</v>
      </c>
      <c r="R115" t="s">
        <v>74</v>
      </c>
      <c r="S115" t="s">
        <v>74</v>
      </c>
      <c r="T115" t="s">
        <v>2428</v>
      </c>
      <c r="U115" t="s">
        <v>2429</v>
      </c>
      <c r="V115" t="s">
        <v>2430</v>
      </c>
      <c r="W115" t="s">
        <v>2431</v>
      </c>
      <c r="X115" t="s">
        <v>2432</v>
      </c>
      <c r="Y115" t="s">
        <v>2433</v>
      </c>
      <c r="Z115" t="s">
        <v>2434</v>
      </c>
      <c r="AA115" t="s">
        <v>74</v>
      </c>
      <c r="AB115" t="s">
        <v>74</v>
      </c>
      <c r="AC115" t="s">
        <v>74</v>
      </c>
      <c r="AD115" t="s">
        <v>74</v>
      </c>
      <c r="AE115" t="s">
        <v>74</v>
      </c>
      <c r="AF115" t="s">
        <v>74</v>
      </c>
      <c r="AG115">
        <v>49</v>
      </c>
      <c r="AH115">
        <v>28</v>
      </c>
      <c r="AI115">
        <v>32</v>
      </c>
      <c r="AJ115">
        <v>0</v>
      </c>
      <c r="AK115">
        <v>16</v>
      </c>
      <c r="AL115" t="s">
        <v>655</v>
      </c>
      <c r="AM115" t="s">
        <v>1442</v>
      </c>
      <c r="AN115" t="s">
        <v>1443</v>
      </c>
      <c r="AO115" t="s">
        <v>1444</v>
      </c>
      <c r="AP115" t="s">
        <v>1445</v>
      </c>
      <c r="AQ115" t="s">
        <v>74</v>
      </c>
      <c r="AR115" t="s">
        <v>1446</v>
      </c>
      <c r="AS115" t="s">
        <v>1447</v>
      </c>
      <c r="AT115" t="s">
        <v>559</v>
      </c>
      <c r="AU115">
        <v>2012</v>
      </c>
      <c r="AV115">
        <v>28</v>
      </c>
      <c r="AW115">
        <v>5</v>
      </c>
      <c r="AX115" t="s">
        <v>74</v>
      </c>
      <c r="AY115" t="s">
        <v>74</v>
      </c>
      <c r="AZ115" t="s">
        <v>74</v>
      </c>
      <c r="BA115" t="s">
        <v>74</v>
      </c>
      <c r="BB115">
        <v>2069</v>
      </c>
      <c r="BC115">
        <v>2076</v>
      </c>
      <c r="BD115" t="s">
        <v>74</v>
      </c>
      <c r="BE115" t="s">
        <v>2435</v>
      </c>
      <c r="BF115" t="str">
        <f>HYPERLINK("http://dx.doi.org/10.1007/s11274-012-1009-2","http://dx.doi.org/10.1007/s11274-012-1009-2")</f>
        <v>http://dx.doi.org/10.1007/s11274-012-1009-2</v>
      </c>
      <c r="BG115" t="s">
        <v>74</v>
      </c>
      <c r="BH115" t="s">
        <v>74</v>
      </c>
      <c r="BI115">
        <v>8</v>
      </c>
      <c r="BJ115" t="s">
        <v>893</v>
      </c>
      <c r="BK115" t="s">
        <v>99</v>
      </c>
      <c r="BL115" t="s">
        <v>893</v>
      </c>
      <c r="BM115" t="s">
        <v>1449</v>
      </c>
      <c r="BN115">
        <v>22806028</v>
      </c>
      <c r="BO115" t="s">
        <v>156</v>
      </c>
      <c r="BP115" t="s">
        <v>74</v>
      </c>
      <c r="BQ115" t="s">
        <v>74</v>
      </c>
      <c r="BR115" t="s">
        <v>101</v>
      </c>
      <c r="BS115" t="s">
        <v>2436</v>
      </c>
      <c r="BT115" t="str">
        <f>HYPERLINK("https%3A%2F%2Fwww.webofscience.com%2Fwos%2Fwoscc%2Ffull-record%2FWOS:000303385900022","View Full Record in Web of Science")</f>
        <v>View Full Record in Web of Science</v>
      </c>
    </row>
    <row r="116" spans="1:72" x14ac:dyDescent="0.15">
      <c r="A116" t="s">
        <v>72</v>
      </c>
      <c r="B116" t="s">
        <v>2437</v>
      </c>
      <c r="C116" t="s">
        <v>74</v>
      </c>
      <c r="D116" t="s">
        <v>74</v>
      </c>
      <c r="E116" t="s">
        <v>74</v>
      </c>
      <c r="F116" t="s">
        <v>2438</v>
      </c>
      <c r="G116" t="s">
        <v>74</v>
      </c>
      <c r="H116" t="s">
        <v>74</v>
      </c>
      <c r="I116" t="s">
        <v>2439</v>
      </c>
      <c r="J116" t="s">
        <v>1429</v>
      </c>
      <c r="K116" t="s">
        <v>74</v>
      </c>
      <c r="L116" t="s">
        <v>74</v>
      </c>
      <c r="M116" t="s">
        <v>78</v>
      </c>
      <c r="N116" t="s">
        <v>79</v>
      </c>
      <c r="O116" t="s">
        <v>74</v>
      </c>
      <c r="P116" t="s">
        <v>74</v>
      </c>
      <c r="Q116" t="s">
        <v>74</v>
      </c>
      <c r="R116" t="s">
        <v>74</v>
      </c>
      <c r="S116" t="s">
        <v>74</v>
      </c>
      <c r="T116" t="s">
        <v>2440</v>
      </c>
      <c r="U116" t="s">
        <v>2441</v>
      </c>
      <c r="V116" t="s">
        <v>2442</v>
      </c>
      <c r="W116" t="s">
        <v>2443</v>
      </c>
      <c r="X116" t="s">
        <v>2444</v>
      </c>
      <c r="Y116" t="s">
        <v>2445</v>
      </c>
      <c r="Z116" t="s">
        <v>2446</v>
      </c>
      <c r="AA116" t="s">
        <v>74</v>
      </c>
      <c r="AB116" t="s">
        <v>74</v>
      </c>
      <c r="AC116" t="s">
        <v>2447</v>
      </c>
      <c r="AD116" t="s">
        <v>2447</v>
      </c>
      <c r="AE116" t="s">
        <v>2448</v>
      </c>
      <c r="AF116" t="s">
        <v>74</v>
      </c>
      <c r="AG116">
        <v>36</v>
      </c>
      <c r="AH116">
        <v>69</v>
      </c>
      <c r="AI116">
        <v>81</v>
      </c>
      <c r="AJ116">
        <v>4</v>
      </c>
      <c r="AK116">
        <v>130</v>
      </c>
      <c r="AL116" t="s">
        <v>655</v>
      </c>
      <c r="AM116" t="s">
        <v>1442</v>
      </c>
      <c r="AN116" t="s">
        <v>1443</v>
      </c>
      <c r="AO116" t="s">
        <v>1444</v>
      </c>
      <c r="AP116" t="s">
        <v>1445</v>
      </c>
      <c r="AQ116" t="s">
        <v>74</v>
      </c>
      <c r="AR116" t="s">
        <v>1446</v>
      </c>
      <c r="AS116" t="s">
        <v>1447</v>
      </c>
      <c r="AT116" t="s">
        <v>559</v>
      </c>
      <c r="AU116">
        <v>2012</v>
      </c>
      <c r="AV116">
        <v>28</v>
      </c>
      <c r="AW116">
        <v>5</v>
      </c>
      <c r="AX116" t="s">
        <v>74</v>
      </c>
      <c r="AY116" t="s">
        <v>74</v>
      </c>
      <c r="AZ116" t="s">
        <v>74</v>
      </c>
      <c r="BA116" t="s">
        <v>74</v>
      </c>
      <c r="BB116">
        <v>2249</v>
      </c>
      <c r="BC116">
        <v>2256</v>
      </c>
      <c r="BD116" t="s">
        <v>74</v>
      </c>
      <c r="BE116" t="s">
        <v>2449</v>
      </c>
      <c r="BF116" t="str">
        <f>HYPERLINK("http://dx.doi.org/10.1007/s11274-012-1032-3","http://dx.doi.org/10.1007/s11274-012-1032-3")</f>
        <v>http://dx.doi.org/10.1007/s11274-012-1032-3</v>
      </c>
      <c r="BG116" t="s">
        <v>74</v>
      </c>
      <c r="BH116" t="s">
        <v>74</v>
      </c>
      <c r="BI116">
        <v>8</v>
      </c>
      <c r="BJ116" t="s">
        <v>893</v>
      </c>
      <c r="BK116" t="s">
        <v>99</v>
      </c>
      <c r="BL116" t="s">
        <v>893</v>
      </c>
      <c r="BM116" t="s">
        <v>1449</v>
      </c>
      <c r="BN116">
        <v>22806048</v>
      </c>
      <c r="BO116" t="s">
        <v>74</v>
      </c>
      <c r="BP116" t="s">
        <v>74</v>
      </c>
      <c r="BQ116" t="s">
        <v>74</v>
      </c>
      <c r="BR116" t="s">
        <v>101</v>
      </c>
      <c r="BS116" t="s">
        <v>2450</v>
      </c>
      <c r="BT116" t="str">
        <f>HYPERLINK("https%3A%2F%2Fwww.webofscience.com%2Fwos%2Fwoscc%2Ffull-record%2FWOS:000303385900042","View Full Record in Web of Science")</f>
        <v>View Full Record in Web of Science</v>
      </c>
    </row>
    <row r="117" spans="1:72" x14ac:dyDescent="0.15">
      <c r="A117" t="s">
        <v>72</v>
      </c>
      <c r="B117" t="s">
        <v>2451</v>
      </c>
      <c r="C117" t="s">
        <v>74</v>
      </c>
      <c r="D117" t="s">
        <v>74</v>
      </c>
      <c r="E117" t="s">
        <v>74</v>
      </c>
      <c r="F117" t="s">
        <v>2452</v>
      </c>
      <c r="G117" t="s">
        <v>74</v>
      </c>
      <c r="H117" t="s">
        <v>74</v>
      </c>
      <c r="I117" t="s">
        <v>2453</v>
      </c>
      <c r="J117" t="s">
        <v>77</v>
      </c>
      <c r="K117" t="s">
        <v>74</v>
      </c>
      <c r="L117" t="s">
        <v>74</v>
      </c>
      <c r="M117" t="s">
        <v>78</v>
      </c>
      <c r="N117" t="s">
        <v>79</v>
      </c>
      <c r="O117" t="s">
        <v>74</v>
      </c>
      <c r="P117" t="s">
        <v>74</v>
      </c>
      <c r="Q117" t="s">
        <v>74</v>
      </c>
      <c r="R117" t="s">
        <v>74</v>
      </c>
      <c r="S117" t="s">
        <v>74</v>
      </c>
      <c r="T117" t="s">
        <v>2454</v>
      </c>
      <c r="U117" t="s">
        <v>2455</v>
      </c>
      <c r="V117" t="s">
        <v>2456</v>
      </c>
      <c r="W117" t="s">
        <v>2457</v>
      </c>
      <c r="X117" t="s">
        <v>2458</v>
      </c>
      <c r="Y117" t="s">
        <v>2459</v>
      </c>
      <c r="Z117" t="s">
        <v>2460</v>
      </c>
      <c r="AA117" t="s">
        <v>74</v>
      </c>
      <c r="AB117" t="s">
        <v>74</v>
      </c>
      <c r="AC117" t="s">
        <v>2461</v>
      </c>
      <c r="AD117" t="s">
        <v>2462</v>
      </c>
      <c r="AE117" t="s">
        <v>2463</v>
      </c>
      <c r="AF117" t="s">
        <v>74</v>
      </c>
      <c r="AG117">
        <v>114</v>
      </c>
      <c r="AH117">
        <v>20</v>
      </c>
      <c r="AI117">
        <v>21</v>
      </c>
      <c r="AJ117">
        <v>0</v>
      </c>
      <c r="AK117">
        <v>1</v>
      </c>
      <c r="AL117" t="s">
        <v>91</v>
      </c>
      <c r="AM117" t="s">
        <v>92</v>
      </c>
      <c r="AN117" t="s">
        <v>392</v>
      </c>
      <c r="AO117" t="s">
        <v>94</v>
      </c>
      <c r="AP117" t="s">
        <v>95</v>
      </c>
      <c r="AQ117" t="s">
        <v>74</v>
      </c>
      <c r="AR117" t="s">
        <v>77</v>
      </c>
      <c r="AS117" t="s">
        <v>96</v>
      </c>
      <c r="AT117" t="s">
        <v>1064</v>
      </c>
      <c r="AU117">
        <v>2012</v>
      </c>
      <c r="AV117" t="s">
        <v>74</v>
      </c>
      <c r="AW117">
        <v>3296</v>
      </c>
      <c r="AX117" t="s">
        <v>74</v>
      </c>
      <c r="AY117" t="s">
        <v>74</v>
      </c>
      <c r="AZ117" t="s">
        <v>74</v>
      </c>
      <c r="BA117" t="s">
        <v>74</v>
      </c>
      <c r="BB117">
        <v>19</v>
      </c>
      <c r="BC117">
        <v>67</v>
      </c>
      <c r="BD117" t="s">
        <v>74</v>
      </c>
      <c r="BE117" t="s">
        <v>2464</v>
      </c>
      <c r="BF117" t="str">
        <f>HYPERLINK("http://dx.doi.org/10.11646/zootaxa.3296.1.2","http://dx.doi.org/10.11646/zootaxa.3296.1.2")</f>
        <v>http://dx.doi.org/10.11646/zootaxa.3296.1.2</v>
      </c>
      <c r="BG117" t="s">
        <v>74</v>
      </c>
      <c r="BH117" t="s">
        <v>74</v>
      </c>
      <c r="BI117">
        <v>49</v>
      </c>
      <c r="BJ117" t="s">
        <v>98</v>
      </c>
      <c r="BK117" t="s">
        <v>99</v>
      </c>
      <c r="BL117" t="s">
        <v>98</v>
      </c>
      <c r="BM117" t="s">
        <v>2465</v>
      </c>
      <c r="BN117" t="s">
        <v>74</v>
      </c>
      <c r="BO117" t="s">
        <v>74</v>
      </c>
      <c r="BP117" t="s">
        <v>74</v>
      </c>
      <c r="BQ117" t="s">
        <v>74</v>
      </c>
      <c r="BR117" t="s">
        <v>101</v>
      </c>
      <c r="BS117" t="s">
        <v>2466</v>
      </c>
      <c r="BT117" t="str">
        <f>HYPERLINK("https%3A%2F%2Fwww.webofscience.com%2Fwos%2Fwoscc%2Ffull-record%2FWOS:000303884700002","View Full Record in Web of Science")</f>
        <v>View Full Record in Web of Science</v>
      </c>
    </row>
    <row r="118" spans="1:72" x14ac:dyDescent="0.15">
      <c r="A118" t="s">
        <v>72</v>
      </c>
      <c r="B118" t="s">
        <v>2467</v>
      </c>
      <c r="C118" t="s">
        <v>74</v>
      </c>
      <c r="D118" t="s">
        <v>74</v>
      </c>
      <c r="E118" t="s">
        <v>74</v>
      </c>
      <c r="F118" t="s">
        <v>2468</v>
      </c>
      <c r="G118" t="s">
        <v>74</v>
      </c>
      <c r="H118" t="s">
        <v>74</v>
      </c>
      <c r="I118" t="s">
        <v>2469</v>
      </c>
      <c r="J118" t="s">
        <v>77</v>
      </c>
      <c r="K118" t="s">
        <v>74</v>
      </c>
      <c r="L118" t="s">
        <v>74</v>
      </c>
      <c r="M118" t="s">
        <v>78</v>
      </c>
      <c r="N118" t="s">
        <v>79</v>
      </c>
      <c r="O118" t="s">
        <v>74</v>
      </c>
      <c r="P118" t="s">
        <v>74</v>
      </c>
      <c r="Q118" t="s">
        <v>74</v>
      </c>
      <c r="R118" t="s">
        <v>74</v>
      </c>
      <c r="S118" t="s">
        <v>74</v>
      </c>
      <c r="T118" t="s">
        <v>2470</v>
      </c>
      <c r="U118" t="s">
        <v>2471</v>
      </c>
      <c r="V118" t="s">
        <v>2472</v>
      </c>
      <c r="W118" t="s">
        <v>2473</v>
      </c>
      <c r="X118" t="s">
        <v>2474</v>
      </c>
      <c r="Y118" t="s">
        <v>2475</v>
      </c>
      <c r="Z118" t="s">
        <v>2476</v>
      </c>
      <c r="AA118" t="s">
        <v>74</v>
      </c>
      <c r="AB118" t="s">
        <v>74</v>
      </c>
      <c r="AC118" t="s">
        <v>74</v>
      </c>
      <c r="AD118" t="s">
        <v>74</v>
      </c>
      <c r="AE118" t="s">
        <v>74</v>
      </c>
      <c r="AF118" t="s">
        <v>74</v>
      </c>
      <c r="AG118">
        <v>18</v>
      </c>
      <c r="AH118">
        <v>1</v>
      </c>
      <c r="AI118">
        <v>1</v>
      </c>
      <c r="AJ118">
        <v>0</v>
      </c>
      <c r="AK118">
        <v>0</v>
      </c>
      <c r="AL118" t="s">
        <v>91</v>
      </c>
      <c r="AM118" t="s">
        <v>92</v>
      </c>
      <c r="AN118" t="s">
        <v>392</v>
      </c>
      <c r="AO118" t="s">
        <v>94</v>
      </c>
      <c r="AP118" t="s">
        <v>95</v>
      </c>
      <c r="AQ118" t="s">
        <v>74</v>
      </c>
      <c r="AR118" t="s">
        <v>77</v>
      </c>
      <c r="AS118" t="s">
        <v>96</v>
      </c>
      <c r="AT118" t="s">
        <v>1064</v>
      </c>
      <c r="AU118">
        <v>2012</v>
      </c>
      <c r="AV118" t="s">
        <v>74</v>
      </c>
      <c r="AW118">
        <v>3295</v>
      </c>
      <c r="AX118" t="s">
        <v>74</v>
      </c>
      <c r="AY118" t="s">
        <v>74</v>
      </c>
      <c r="AZ118" t="s">
        <v>74</v>
      </c>
      <c r="BA118" t="s">
        <v>74</v>
      </c>
      <c r="BB118">
        <v>65</v>
      </c>
      <c r="BC118">
        <v>68</v>
      </c>
      <c r="BD118" t="s">
        <v>74</v>
      </c>
      <c r="BE118" t="s">
        <v>74</v>
      </c>
      <c r="BF118" t="s">
        <v>74</v>
      </c>
      <c r="BG118" t="s">
        <v>74</v>
      </c>
      <c r="BH118" t="s">
        <v>74</v>
      </c>
      <c r="BI118">
        <v>4</v>
      </c>
      <c r="BJ118" t="s">
        <v>98</v>
      </c>
      <c r="BK118" t="s">
        <v>99</v>
      </c>
      <c r="BL118" t="s">
        <v>98</v>
      </c>
      <c r="BM118" t="s">
        <v>2477</v>
      </c>
      <c r="BN118" t="s">
        <v>74</v>
      </c>
      <c r="BO118" t="s">
        <v>74</v>
      </c>
      <c r="BP118" t="s">
        <v>74</v>
      </c>
      <c r="BQ118" t="s">
        <v>74</v>
      </c>
      <c r="BR118" t="s">
        <v>101</v>
      </c>
      <c r="BS118" t="s">
        <v>2478</v>
      </c>
      <c r="BT118" t="str">
        <f>HYPERLINK("https%3A%2F%2Fwww.webofscience.com%2Fwos%2Fwoscc%2Ffull-record%2FWOS:000303884500004","View Full Record in Web of Science")</f>
        <v>View Full Record in Web of Science</v>
      </c>
    </row>
    <row r="119" spans="1:72" x14ac:dyDescent="0.15">
      <c r="A119" t="s">
        <v>72</v>
      </c>
      <c r="B119" t="s">
        <v>2479</v>
      </c>
      <c r="C119" t="s">
        <v>74</v>
      </c>
      <c r="D119" t="s">
        <v>74</v>
      </c>
      <c r="E119" t="s">
        <v>74</v>
      </c>
      <c r="F119" t="s">
        <v>2480</v>
      </c>
      <c r="G119" t="s">
        <v>74</v>
      </c>
      <c r="H119" t="s">
        <v>74</v>
      </c>
      <c r="I119" t="s">
        <v>2481</v>
      </c>
      <c r="J119" t="s">
        <v>2482</v>
      </c>
      <c r="K119" t="s">
        <v>74</v>
      </c>
      <c r="L119" t="s">
        <v>74</v>
      </c>
      <c r="M119" t="s">
        <v>78</v>
      </c>
      <c r="N119" t="s">
        <v>79</v>
      </c>
      <c r="O119" t="s">
        <v>74</v>
      </c>
      <c r="P119" t="s">
        <v>74</v>
      </c>
      <c r="Q119" t="s">
        <v>74</v>
      </c>
      <c r="R119" t="s">
        <v>74</v>
      </c>
      <c r="S119" t="s">
        <v>74</v>
      </c>
      <c r="T119" t="s">
        <v>2483</v>
      </c>
      <c r="U119" t="s">
        <v>2484</v>
      </c>
      <c r="V119" t="s">
        <v>2485</v>
      </c>
      <c r="W119" t="s">
        <v>2486</v>
      </c>
      <c r="X119" t="s">
        <v>2487</v>
      </c>
      <c r="Y119" t="s">
        <v>2488</v>
      </c>
      <c r="Z119" t="s">
        <v>2489</v>
      </c>
      <c r="AA119" t="s">
        <v>74</v>
      </c>
      <c r="AB119" t="s">
        <v>2490</v>
      </c>
      <c r="AC119" t="s">
        <v>2491</v>
      </c>
      <c r="AD119" t="s">
        <v>2492</v>
      </c>
      <c r="AE119" t="s">
        <v>2493</v>
      </c>
      <c r="AF119" t="s">
        <v>74</v>
      </c>
      <c r="AG119">
        <v>29</v>
      </c>
      <c r="AH119">
        <v>15</v>
      </c>
      <c r="AI119">
        <v>17</v>
      </c>
      <c r="AJ119">
        <v>1</v>
      </c>
      <c r="AK119">
        <v>48</v>
      </c>
      <c r="AL119" t="s">
        <v>1964</v>
      </c>
      <c r="AM119" t="s">
        <v>1965</v>
      </c>
      <c r="AN119" t="s">
        <v>1966</v>
      </c>
      <c r="AO119" t="s">
        <v>2494</v>
      </c>
      <c r="AP119" t="s">
        <v>2495</v>
      </c>
      <c r="AQ119" t="s">
        <v>74</v>
      </c>
      <c r="AR119" t="s">
        <v>2496</v>
      </c>
      <c r="AS119" t="s">
        <v>2497</v>
      </c>
      <c r="AT119" t="s">
        <v>1064</v>
      </c>
      <c r="AU119">
        <v>2012</v>
      </c>
      <c r="AV119">
        <v>79</v>
      </c>
      <c r="AW119" t="s">
        <v>74</v>
      </c>
      <c r="AX119" t="s">
        <v>74</v>
      </c>
      <c r="AY119" t="s">
        <v>74</v>
      </c>
      <c r="AZ119" t="s">
        <v>74</v>
      </c>
      <c r="BA119" t="s">
        <v>74</v>
      </c>
      <c r="BB119">
        <v>35</v>
      </c>
      <c r="BC119">
        <v>41</v>
      </c>
      <c r="BD119" t="s">
        <v>74</v>
      </c>
      <c r="BE119" t="s">
        <v>2498</v>
      </c>
      <c r="BF119" t="str">
        <f>HYPERLINK("http://dx.doi.org/10.1016/j.ecoenv.2012.01.020","http://dx.doi.org/10.1016/j.ecoenv.2012.01.020")</f>
        <v>http://dx.doi.org/10.1016/j.ecoenv.2012.01.020</v>
      </c>
      <c r="BG119" t="s">
        <v>74</v>
      </c>
      <c r="BH119" t="s">
        <v>74</v>
      </c>
      <c r="BI119">
        <v>7</v>
      </c>
      <c r="BJ119" t="s">
        <v>2499</v>
      </c>
      <c r="BK119" t="s">
        <v>99</v>
      </c>
      <c r="BL119" t="s">
        <v>2500</v>
      </c>
      <c r="BM119" t="s">
        <v>2501</v>
      </c>
      <c r="BN119">
        <v>22364843</v>
      </c>
      <c r="BO119" t="s">
        <v>74</v>
      </c>
      <c r="BP119" t="s">
        <v>74</v>
      </c>
      <c r="BQ119" t="s">
        <v>74</v>
      </c>
      <c r="BR119" t="s">
        <v>101</v>
      </c>
      <c r="BS119" t="s">
        <v>2502</v>
      </c>
      <c r="BT119" t="str">
        <f>HYPERLINK("https%3A%2F%2Fwww.webofscience.com%2Fwos%2Fwoscc%2Ffull-record%2FWOS:000302107000005","View Full Record in Web of Science")</f>
        <v>View Full Record in Web of Science</v>
      </c>
    </row>
    <row r="120" spans="1:72" x14ac:dyDescent="0.15">
      <c r="A120" t="s">
        <v>72</v>
      </c>
      <c r="B120" t="s">
        <v>2503</v>
      </c>
      <c r="C120" t="s">
        <v>74</v>
      </c>
      <c r="D120" t="s">
        <v>74</v>
      </c>
      <c r="E120" t="s">
        <v>74</v>
      </c>
      <c r="F120" t="s">
        <v>2504</v>
      </c>
      <c r="G120" t="s">
        <v>74</v>
      </c>
      <c r="H120" t="s">
        <v>74</v>
      </c>
      <c r="I120" t="s">
        <v>2505</v>
      </c>
      <c r="J120" t="s">
        <v>2506</v>
      </c>
      <c r="K120" t="s">
        <v>74</v>
      </c>
      <c r="L120" t="s">
        <v>74</v>
      </c>
      <c r="M120" t="s">
        <v>78</v>
      </c>
      <c r="N120" t="s">
        <v>79</v>
      </c>
      <c r="O120" t="s">
        <v>74</v>
      </c>
      <c r="P120" t="s">
        <v>74</v>
      </c>
      <c r="Q120" t="s">
        <v>74</v>
      </c>
      <c r="R120" t="s">
        <v>74</v>
      </c>
      <c r="S120" t="s">
        <v>74</v>
      </c>
      <c r="T120" t="s">
        <v>2507</v>
      </c>
      <c r="U120" t="s">
        <v>2508</v>
      </c>
      <c r="V120" t="s">
        <v>2509</v>
      </c>
      <c r="W120" t="s">
        <v>2510</v>
      </c>
      <c r="X120" t="s">
        <v>2511</v>
      </c>
      <c r="Y120" t="s">
        <v>2512</v>
      </c>
      <c r="Z120" t="s">
        <v>2513</v>
      </c>
      <c r="AA120" t="s">
        <v>2514</v>
      </c>
      <c r="AB120" t="s">
        <v>2515</v>
      </c>
      <c r="AC120" t="s">
        <v>2516</v>
      </c>
      <c r="AD120" t="s">
        <v>2517</v>
      </c>
      <c r="AE120" t="s">
        <v>2518</v>
      </c>
      <c r="AF120" t="s">
        <v>74</v>
      </c>
      <c r="AG120">
        <v>30</v>
      </c>
      <c r="AH120">
        <v>7</v>
      </c>
      <c r="AI120">
        <v>7</v>
      </c>
      <c r="AJ120">
        <v>1</v>
      </c>
      <c r="AK120">
        <v>22</v>
      </c>
      <c r="AL120" t="s">
        <v>655</v>
      </c>
      <c r="AM120" t="s">
        <v>1442</v>
      </c>
      <c r="AN120" t="s">
        <v>1443</v>
      </c>
      <c r="AO120" t="s">
        <v>2519</v>
      </c>
      <c r="AP120" t="s">
        <v>2520</v>
      </c>
      <c r="AQ120" t="s">
        <v>74</v>
      </c>
      <c r="AR120" t="s">
        <v>2521</v>
      </c>
      <c r="AS120" t="s">
        <v>2522</v>
      </c>
      <c r="AT120" t="s">
        <v>559</v>
      </c>
      <c r="AU120">
        <v>2012</v>
      </c>
      <c r="AV120">
        <v>39</v>
      </c>
      <c r="AW120">
        <v>5</v>
      </c>
      <c r="AX120" t="s">
        <v>74</v>
      </c>
      <c r="AY120" t="s">
        <v>74</v>
      </c>
      <c r="AZ120" t="s">
        <v>74</v>
      </c>
      <c r="BA120" t="s">
        <v>74</v>
      </c>
      <c r="BB120">
        <v>5755</v>
      </c>
      <c r="BC120">
        <v>5760</v>
      </c>
      <c r="BD120" t="s">
        <v>74</v>
      </c>
      <c r="BE120" t="s">
        <v>2523</v>
      </c>
      <c r="BF120" t="str">
        <f>HYPERLINK("http://dx.doi.org/10.1007/s11033-011-1385-y","http://dx.doi.org/10.1007/s11033-011-1385-y")</f>
        <v>http://dx.doi.org/10.1007/s11033-011-1385-y</v>
      </c>
      <c r="BG120" t="s">
        <v>74</v>
      </c>
      <c r="BH120" t="s">
        <v>74</v>
      </c>
      <c r="BI120">
        <v>6</v>
      </c>
      <c r="BJ120" t="s">
        <v>2524</v>
      </c>
      <c r="BK120" t="s">
        <v>99</v>
      </c>
      <c r="BL120" t="s">
        <v>2524</v>
      </c>
      <c r="BM120" t="s">
        <v>2525</v>
      </c>
      <c r="BN120">
        <v>22219085</v>
      </c>
      <c r="BO120" t="s">
        <v>74</v>
      </c>
      <c r="BP120" t="s">
        <v>74</v>
      </c>
      <c r="BQ120" t="s">
        <v>74</v>
      </c>
      <c r="BR120" t="s">
        <v>101</v>
      </c>
      <c r="BS120" t="s">
        <v>2526</v>
      </c>
      <c r="BT120" t="str">
        <f>HYPERLINK("https%3A%2F%2Fwww.webofscience.com%2Fwos%2Fwoscc%2Ffull-record%2FWOS:000302147800082","View Full Record in Web of Science")</f>
        <v>View Full Record in Web of Science</v>
      </c>
    </row>
    <row r="121" spans="1:72" x14ac:dyDescent="0.15">
      <c r="A121" t="s">
        <v>72</v>
      </c>
      <c r="B121" t="s">
        <v>2527</v>
      </c>
      <c r="C121" t="s">
        <v>74</v>
      </c>
      <c r="D121" t="s">
        <v>74</v>
      </c>
      <c r="E121" t="s">
        <v>74</v>
      </c>
      <c r="F121" t="s">
        <v>2528</v>
      </c>
      <c r="G121" t="s">
        <v>74</v>
      </c>
      <c r="H121" t="s">
        <v>74</v>
      </c>
      <c r="I121" t="s">
        <v>2529</v>
      </c>
      <c r="J121" t="s">
        <v>2303</v>
      </c>
      <c r="K121" t="s">
        <v>74</v>
      </c>
      <c r="L121" t="s">
        <v>74</v>
      </c>
      <c r="M121" t="s">
        <v>78</v>
      </c>
      <c r="N121" t="s">
        <v>79</v>
      </c>
      <c r="O121" t="s">
        <v>74</v>
      </c>
      <c r="P121" t="s">
        <v>74</v>
      </c>
      <c r="Q121" t="s">
        <v>74</v>
      </c>
      <c r="R121" t="s">
        <v>74</v>
      </c>
      <c r="S121" t="s">
        <v>74</v>
      </c>
      <c r="T121" t="s">
        <v>2530</v>
      </c>
      <c r="U121" t="s">
        <v>2531</v>
      </c>
      <c r="V121" t="s">
        <v>2532</v>
      </c>
      <c r="W121" t="s">
        <v>2533</v>
      </c>
      <c r="X121" t="s">
        <v>2534</v>
      </c>
      <c r="Y121" t="s">
        <v>2535</v>
      </c>
      <c r="Z121" t="s">
        <v>2536</v>
      </c>
      <c r="AA121" t="s">
        <v>2537</v>
      </c>
      <c r="AB121" t="s">
        <v>2538</v>
      </c>
      <c r="AC121" t="s">
        <v>2539</v>
      </c>
      <c r="AD121" t="s">
        <v>2540</v>
      </c>
      <c r="AE121" t="s">
        <v>2541</v>
      </c>
      <c r="AF121" t="s">
        <v>74</v>
      </c>
      <c r="AG121">
        <v>31</v>
      </c>
      <c r="AH121">
        <v>1</v>
      </c>
      <c r="AI121">
        <v>1</v>
      </c>
      <c r="AJ121">
        <v>0</v>
      </c>
      <c r="AK121">
        <v>16</v>
      </c>
      <c r="AL121" t="s">
        <v>655</v>
      </c>
      <c r="AM121" t="s">
        <v>656</v>
      </c>
      <c r="AN121" t="s">
        <v>657</v>
      </c>
      <c r="AO121" t="s">
        <v>2316</v>
      </c>
      <c r="AP121" t="s">
        <v>74</v>
      </c>
      <c r="AQ121" t="s">
        <v>74</v>
      </c>
      <c r="AR121" t="s">
        <v>2317</v>
      </c>
      <c r="AS121" t="s">
        <v>2318</v>
      </c>
      <c r="AT121" t="s">
        <v>559</v>
      </c>
      <c r="AU121">
        <v>2012</v>
      </c>
      <c r="AV121">
        <v>35</v>
      </c>
      <c r="AW121">
        <v>5</v>
      </c>
      <c r="AX121" t="s">
        <v>74</v>
      </c>
      <c r="AY121" t="s">
        <v>74</v>
      </c>
      <c r="AZ121" t="s">
        <v>74</v>
      </c>
      <c r="BA121" t="s">
        <v>74</v>
      </c>
      <c r="BB121">
        <v>655</v>
      </c>
      <c r="BC121">
        <v>660</v>
      </c>
      <c r="BD121" t="s">
        <v>74</v>
      </c>
      <c r="BE121" t="s">
        <v>2542</v>
      </c>
      <c r="BF121" t="str">
        <f>HYPERLINK("http://dx.doi.org/10.1007/s00300-011-1111-1","http://dx.doi.org/10.1007/s00300-011-1111-1")</f>
        <v>http://dx.doi.org/10.1007/s00300-011-1111-1</v>
      </c>
      <c r="BG121" t="s">
        <v>74</v>
      </c>
      <c r="BH121" t="s">
        <v>74</v>
      </c>
      <c r="BI121">
        <v>6</v>
      </c>
      <c r="BJ121" t="s">
        <v>2320</v>
      </c>
      <c r="BK121" t="s">
        <v>99</v>
      </c>
      <c r="BL121" t="s">
        <v>1784</v>
      </c>
      <c r="BM121" t="s">
        <v>2321</v>
      </c>
      <c r="BN121" t="s">
        <v>74</v>
      </c>
      <c r="BO121" t="s">
        <v>74</v>
      </c>
      <c r="BP121" t="s">
        <v>74</v>
      </c>
      <c r="BQ121" t="s">
        <v>74</v>
      </c>
      <c r="BR121" t="s">
        <v>101</v>
      </c>
      <c r="BS121" t="s">
        <v>2543</v>
      </c>
      <c r="BT121" t="str">
        <f>HYPERLINK("https%3A%2F%2Fwww.webofscience.com%2Fwos%2Fwoscc%2Ffull-record%2FWOS:000302480600002","View Full Record in Web of Science")</f>
        <v>View Full Record in Web of Science</v>
      </c>
    </row>
    <row r="122" spans="1:72" x14ac:dyDescent="0.15">
      <c r="A122" t="s">
        <v>72</v>
      </c>
      <c r="B122" t="s">
        <v>2544</v>
      </c>
      <c r="C122" t="s">
        <v>74</v>
      </c>
      <c r="D122" t="s">
        <v>74</v>
      </c>
      <c r="E122" t="s">
        <v>74</v>
      </c>
      <c r="F122" t="s">
        <v>2545</v>
      </c>
      <c r="G122" t="s">
        <v>74</v>
      </c>
      <c r="H122" t="s">
        <v>74</v>
      </c>
      <c r="I122" t="s">
        <v>2546</v>
      </c>
      <c r="J122" t="s">
        <v>2303</v>
      </c>
      <c r="K122" t="s">
        <v>74</v>
      </c>
      <c r="L122" t="s">
        <v>74</v>
      </c>
      <c r="M122" t="s">
        <v>78</v>
      </c>
      <c r="N122" t="s">
        <v>79</v>
      </c>
      <c r="O122" t="s">
        <v>74</v>
      </c>
      <c r="P122" t="s">
        <v>74</v>
      </c>
      <c r="Q122" t="s">
        <v>74</v>
      </c>
      <c r="R122" t="s">
        <v>74</v>
      </c>
      <c r="S122" t="s">
        <v>74</v>
      </c>
      <c r="T122" t="s">
        <v>2547</v>
      </c>
      <c r="U122" t="s">
        <v>2548</v>
      </c>
      <c r="V122" t="s">
        <v>2549</v>
      </c>
      <c r="W122" t="s">
        <v>2550</v>
      </c>
      <c r="X122" t="s">
        <v>2551</v>
      </c>
      <c r="Y122" t="s">
        <v>2552</v>
      </c>
      <c r="Z122" t="s">
        <v>1203</v>
      </c>
      <c r="AA122" t="s">
        <v>2553</v>
      </c>
      <c r="AB122" t="s">
        <v>2554</v>
      </c>
      <c r="AC122" t="s">
        <v>2555</v>
      </c>
      <c r="AD122" t="s">
        <v>2556</v>
      </c>
      <c r="AE122" t="s">
        <v>2557</v>
      </c>
      <c r="AF122" t="s">
        <v>74</v>
      </c>
      <c r="AG122">
        <v>45</v>
      </c>
      <c r="AH122">
        <v>7</v>
      </c>
      <c r="AI122">
        <v>9</v>
      </c>
      <c r="AJ122">
        <v>0</v>
      </c>
      <c r="AK122">
        <v>32</v>
      </c>
      <c r="AL122" t="s">
        <v>655</v>
      </c>
      <c r="AM122" t="s">
        <v>656</v>
      </c>
      <c r="AN122" t="s">
        <v>657</v>
      </c>
      <c r="AO122" t="s">
        <v>2316</v>
      </c>
      <c r="AP122" t="s">
        <v>74</v>
      </c>
      <c r="AQ122" t="s">
        <v>74</v>
      </c>
      <c r="AR122" t="s">
        <v>2317</v>
      </c>
      <c r="AS122" t="s">
        <v>2318</v>
      </c>
      <c r="AT122" t="s">
        <v>559</v>
      </c>
      <c r="AU122">
        <v>2012</v>
      </c>
      <c r="AV122">
        <v>35</v>
      </c>
      <c r="AW122">
        <v>5</v>
      </c>
      <c r="AX122" t="s">
        <v>74</v>
      </c>
      <c r="AY122" t="s">
        <v>74</v>
      </c>
      <c r="AZ122" t="s">
        <v>74</v>
      </c>
      <c r="BA122" t="s">
        <v>74</v>
      </c>
      <c r="BB122">
        <v>725</v>
      </c>
      <c r="BC122">
        <v>731</v>
      </c>
      <c r="BD122" t="s">
        <v>74</v>
      </c>
      <c r="BE122" t="s">
        <v>2558</v>
      </c>
      <c r="BF122" t="str">
        <f>HYPERLINK("http://dx.doi.org/10.1007/s00300-011-1117-8","http://dx.doi.org/10.1007/s00300-011-1117-8")</f>
        <v>http://dx.doi.org/10.1007/s00300-011-1117-8</v>
      </c>
      <c r="BG122" t="s">
        <v>74</v>
      </c>
      <c r="BH122" t="s">
        <v>74</v>
      </c>
      <c r="BI122">
        <v>7</v>
      </c>
      <c r="BJ122" t="s">
        <v>2320</v>
      </c>
      <c r="BK122" t="s">
        <v>99</v>
      </c>
      <c r="BL122" t="s">
        <v>1784</v>
      </c>
      <c r="BM122" t="s">
        <v>2321</v>
      </c>
      <c r="BN122" t="s">
        <v>74</v>
      </c>
      <c r="BO122" t="s">
        <v>74</v>
      </c>
      <c r="BP122" t="s">
        <v>74</v>
      </c>
      <c r="BQ122" t="s">
        <v>74</v>
      </c>
      <c r="BR122" t="s">
        <v>101</v>
      </c>
      <c r="BS122" t="s">
        <v>2559</v>
      </c>
      <c r="BT122" t="str">
        <f>HYPERLINK("https%3A%2F%2Fwww.webofscience.com%2Fwos%2Fwoscc%2Ffull-record%2FWOS:000302480600008","View Full Record in Web of Science")</f>
        <v>View Full Record in Web of Science</v>
      </c>
    </row>
    <row r="123" spans="1:72" x14ac:dyDescent="0.15">
      <c r="A123" t="s">
        <v>72</v>
      </c>
      <c r="B123" t="s">
        <v>2560</v>
      </c>
      <c r="C123" t="s">
        <v>74</v>
      </c>
      <c r="D123" t="s">
        <v>74</v>
      </c>
      <c r="E123" t="s">
        <v>74</v>
      </c>
      <c r="F123" t="s">
        <v>2561</v>
      </c>
      <c r="G123" t="s">
        <v>74</v>
      </c>
      <c r="H123" t="s">
        <v>74</v>
      </c>
      <c r="I123" t="s">
        <v>2562</v>
      </c>
      <c r="J123" t="s">
        <v>2303</v>
      </c>
      <c r="K123" t="s">
        <v>74</v>
      </c>
      <c r="L123" t="s">
        <v>74</v>
      </c>
      <c r="M123" t="s">
        <v>78</v>
      </c>
      <c r="N123" t="s">
        <v>79</v>
      </c>
      <c r="O123" t="s">
        <v>74</v>
      </c>
      <c r="P123" t="s">
        <v>74</v>
      </c>
      <c r="Q123" t="s">
        <v>74</v>
      </c>
      <c r="R123" t="s">
        <v>74</v>
      </c>
      <c r="S123" t="s">
        <v>74</v>
      </c>
      <c r="T123" t="s">
        <v>2563</v>
      </c>
      <c r="U123" t="s">
        <v>2564</v>
      </c>
      <c r="V123" t="s">
        <v>2565</v>
      </c>
      <c r="W123" t="s">
        <v>2566</v>
      </c>
      <c r="X123" t="s">
        <v>2567</v>
      </c>
      <c r="Y123" t="s">
        <v>2568</v>
      </c>
      <c r="Z123" t="s">
        <v>2569</v>
      </c>
      <c r="AA123" t="s">
        <v>2570</v>
      </c>
      <c r="AB123" t="s">
        <v>2571</v>
      </c>
      <c r="AC123" t="s">
        <v>74</v>
      </c>
      <c r="AD123" t="s">
        <v>74</v>
      </c>
      <c r="AE123" t="s">
        <v>74</v>
      </c>
      <c r="AF123" t="s">
        <v>74</v>
      </c>
      <c r="AG123">
        <v>66</v>
      </c>
      <c r="AH123">
        <v>48</v>
      </c>
      <c r="AI123">
        <v>52</v>
      </c>
      <c r="AJ123">
        <v>0</v>
      </c>
      <c r="AK123">
        <v>30</v>
      </c>
      <c r="AL123" t="s">
        <v>655</v>
      </c>
      <c r="AM123" t="s">
        <v>656</v>
      </c>
      <c r="AN123" t="s">
        <v>1908</v>
      </c>
      <c r="AO123" t="s">
        <v>2316</v>
      </c>
      <c r="AP123" t="s">
        <v>2338</v>
      </c>
      <c r="AQ123" t="s">
        <v>74</v>
      </c>
      <c r="AR123" t="s">
        <v>2317</v>
      </c>
      <c r="AS123" t="s">
        <v>2318</v>
      </c>
      <c r="AT123" t="s">
        <v>559</v>
      </c>
      <c r="AU123">
        <v>2012</v>
      </c>
      <c r="AV123">
        <v>35</v>
      </c>
      <c r="AW123">
        <v>5</v>
      </c>
      <c r="AX123" t="s">
        <v>74</v>
      </c>
      <c r="AY123" t="s">
        <v>74</v>
      </c>
      <c r="AZ123" t="s">
        <v>74</v>
      </c>
      <c r="BA123" t="s">
        <v>74</v>
      </c>
      <c r="BB123">
        <v>749</v>
      </c>
      <c r="BC123">
        <v>757</v>
      </c>
      <c r="BD123" t="s">
        <v>74</v>
      </c>
      <c r="BE123" t="s">
        <v>2572</v>
      </c>
      <c r="BF123" t="str">
        <f>HYPERLINK("http://dx.doi.org/10.1007/s00300-011-1119-6","http://dx.doi.org/10.1007/s00300-011-1119-6")</f>
        <v>http://dx.doi.org/10.1007/s00300-011-1119-6</v>
      </c>
      <c r="BG123" t="s">
        <v>74</v>
      </c>
      <c r="BH123" t="s">
        <v>74</v>
      </c>
      <c r="BI123">
        <v>9</v>
      </c>
      <c r="BJ123" t="s">
        <v>2320</v>
      </c>
      <c r="BK123" t="s">
        <v>99</v>
      </c>
      <c r="BL123" t="s">
        <v>1784</v>
      </c>
      <c r="BM123" t="s">
        <v>2321</v>
      </c>
      <c r="BN123" t="s">
        <v>74</v>
      </c>
      <c r="BO123" t="s">
        <v>74</v>
      </c>
      <c r="BP123" t="s">
        <v>74</v>
      </c>
      <c r="BQ123" t="s">
        <v>74</v>
      </c>
      <c r="BR123" t="s">
        <v>101</v>
      </c>
      <c r="BS123" t="s">
        <v>2573</v>
      </c>
      <c r="BT123" t="str">
        <f>HYPERLINK("https%3A%2F%2Fwww.webofscience.com%2Fwos%2Fwoscc%2Ffull-record%2FWOS:000302480600010","View Full Record in Web of Science")</f>
        <v>View Full Record in Web of Science</v>
      </c>
    </row>
    <row r="124" spans="1:72" x14ac:dyDescent="0.15">
      <c r="A124" t="s">
        <v>72</v>
      </c>
      <c r="B124" t="s">
        <v>2574</v>
      </c>
      <c r="C124" t="s">
        <v>74</v>
      </c>
      <c r="D124" t="s">
        <v>74</v>
      </c>
      <c r="E124" t="s">
        <v>74</v>
      </c>
      <c r="F124" t="s">
        <v>2575</v>
      </c>
      <c r="G124" t="s">
        <v>74</v>
      </c>
      <c r="H124" t="s">
        <v>74</v>
      </c>
      <c r="I124" t="s">
        <v>2576</v>
      </c>
      <c r="J124" t="s">
        <v>2303</v>
      </c>
      <c r="K124" t="s">
        <v>74</v>
      </c>
      <c r="L124" t="s">
        <v>74</v>
      </c>
      <c r="M124" t="s">
        <v>78</v>
      </c>
      <c r="N124" t="s">
        <v>79</v>
      </c>
      <c r="O124" t="s">
        <v>74</v>
      </c>
      <c r="P124" t="s">
        <v>74</v>
      </c>
      <c r="Q124" t="s">
        <v>74</v>
      </c>
      <c r="R124" t="s">
        <v>74</v>
      </c>
      <c r="S124" t="s">
        <v>74</v>
      </c>
      <c r="T124" t="s">
        <v>2577</v>
      </c>
      <c r="U124" t="s">
        <v>2578</v>
      </c>
      <c r="V124" t="s">
        <v>2579</v>
      </c>
      <c r="W124" t="s">
        <v>2580</v>
      </c>
      <c r="X124" t="s">
        <v>2581</v>
      </c>
      <c r="Y124" t="s">
        <v>2582</v>
      </c>
      <c r="Z124" t="s">
        <v>2583</v>
      </c>
      <c r="AA124" t="s">
        <v>2584</v>
      </c>
      <c r="AB124" t="s">
        <v>2585</v>
      </c>
      <c r="AC124" t="s">
        <v>1546</v>
      </c>
      <c r="AD124" t="s">
        <v>1546</v>
      </c>
      <c r="AE124" t="s">
        <v>2586</v>
      </c>
      <c r="AF124" t="s">
        <v>74</v>
      </c>
      <c r="AG124">
        <v>30</v>
      </c>
      <c r="AH124">
        <v>0</v>
      </c>
      <c r="AI124">
        <v>0</v>
      </c>
      <c r="AJ124">
        <v>1</v>
      </c>
      <c r="AK124">
        <v>9</v>
      </c>
      <c r="AL124" t="s">
        <v>655</v>
      </c>
      <c r="AM124" t="s">
        <v>656</v>
      </c>
      <c r="AN124" t="s">
        <v>1908</v>
      </c>
      <c r="AO124" t="s">
        <v>2316</v>
      </c>
      <c r="AP124" t="s">
        <v>2338</v>
      </c>
      <c r="AQ124" t="s">
        <v>74</v>
      </c>
      <c r="AR124" t="s">
        <v>2317</v>
      </c>
      <c r="AS124" t="s">
        <v>2318</v>
      </c>
      <c r="AT124" t="s">
        <v>559</v>
      </c>
      <c r="AU124">
        <v>2012</v>
      </c>
      <c r="AV124">
        <v>35</v>
      </c>
      <c r="AW124">
        <v>5</v>
      </c>
      <c r="AX124" t="s">
        <v>74</v>
      </c>
      <c r="AY124" t="s">
        <v>74</v>
      </c>
      <c r="AZ124" t="s">
        <v>74</v>
      </c>
      <c r="BA124" t="s">
        <v>74</v>
      </c>
      <c r="BB124">
        <v>795</v>
      </c>
      <c r="BC124">
        <v>799</v>
      </c>
      <c r="BD124" t="s">
        <v>74</v>
      </c>
      <c r="BE124" t="s">
        <v>2587</v>
      </c>
      <c r="BF124" t="str">
        <f>HYPERLINK("http://dx.doi.org/10.1007/s00300-011-1129-4","http://dx.doi.org/10.1007/s00300-011-1129-4")</f>
        <v>http://dx.doi.org/10.1007/s00300-011-1129-4</v>
      </c>
      <c r="BG124" t="s">
        <v>74</v>
      </c>
      <c r="BH124" t="s">
        <v>74</v>
      </c>
      <c r="BI124">
        <v>5</v>
      </c>
      <c r="BJ124" t="s">
        <v>2320</v>
      </c>
      <c r="BK124" t="s">
        <v>99</v>
      </c>
      <c r="BL124" t="s">
        <v>1784</v>
      </c>
      <c r="BM124" t="s">
        <v>2321</v>
      </c>
      <c r="BN124" t="s">
        <v>74</v>
      </c>
      <c r="BO124" t="s">
        <v>74</v>
      </c>
      <c r="BP124" t="s">
        <v>74</v>
      </c>
      <c r="BQ124" t="s">
        <v>74</v>
      </c>
      <c r="BR124" t="s">
        <v>101</v>
      </c>
      <c r="BS124" t="s">
        <v>2588</v>
      </c>
      <c r="BT124" t="str">
        <f>HYPERLINK("https%3A%2F%2Fwww.webofscience.com%2Fwos%2Fwoscc%2Ffull-record%2FWOS:000302480600014","View Full Record in Web of Science")</f>
        <v>View Full Record in Web of Science</v>
      </c>
    </row>
    <row r="125" spans="1:72" x14ac:dyDescent="0.15">
      <c r="A125" t="s">
        <v>72</v>
      </c>
      <c r="B125" t="s">
        <v>2589</v>
      </c>
      <c r="C125" t="s">
        <v>74</v>
      </c>
      <c r="D125" t="s">
        <v>74</v>
      </c>
      <c r="E125" t="s">
        <v>74</v>
      </c>
      <c r="F125" t="s">
        <v>2590</v>
      </c>
      <c r="G125" t="s">
        <v>74</v>
      </c>
      <c r="H125" t="s">
        <v>74</v>
      </c>
      <c r="I125" t="s">
        <v>2591</v>
      </c>
      <c r="J125" t="s">
        <v>2303</v>
      </c>
      <c r="K125" t="s">
        <v>74</v>
      </c>
      <c r="L125" t="s">
        <v>74</v>
      </c>
      <c r="M125" t="s">
        <v>78</v>
      </c>
      <c r="N125" t="s">
        <v>79</v>
      </c>
      <c r="O125" t="s">
        <v>74</v>
      </c>
      <c r="P125" t="s">
        <v>74</v>
      </c>
      <c r="Q125" t="s">
        <v>74</v>
      </c>
      <c r="R125" t="s">
        <v>74</v>
      </c>
      <c r="S125" t="s">
        <v>74</v>
      </c>
      <c r="T125" t="s">
        <v>2592</v>
      </c>
      <c r="U125" t="s">
        <v>2593</v>
      </c>
      <c r="V125" t="s">
        <v>2594</v>
      </c>
      <c r="W125" t="s">
        <v>2595</v>
      </c>
      <c r="X125" t="s">
        <v>2596</v>
      </c>
      <c r="Y125" t="s">
        <v>2597</v>
      </c>
      <c r="Z125" t="s">
        <v>2598</v>
      </c>
      <c r="AA125" t="s">
        <v>74</v>
      </c>
      <c r="AB125" t="s">
        <v>74</v>
      </c>
      <c r="AC125" t="s">
        <v>2599</v>
      </c>
      <c r="AD125" t="s">
        <v>2600</v>
      </c>
      <c r="AE125" t="s">
        <v>2601</v>
      </c>
      <c r="AF125" t="s">
        <v>74</v>
      </c>
      <c r="AG125">
        <v>24</v>
      </c>
      <c r="AH125">
        <v>10</v>
      </c>
      <c r="AI125">
        <v>10</v>
      </c>
      <c r="AJ125">
        <v>0</v>
      </c>
      <c r="AK125">
        <v>76</v>
      </c>
      <c r="AL125" t="s">
        <v>655</v>
      </c>
      <c r="AM125" t="s">
        <v>656</v>
      </c>
      <c r="AN125" t="s">
        <v>657</v>
      </c>
      <c r="AO125" t="s">
        <v>2316</v>
      </c>
      <c r="AP125" t="s">
        <v>74</v>
      </c>
      <c r="AQ125" t="s">
        <v>74</v>
      </c>
      <c r="AR125" t="s">
        <v>2317</v>
      </c>
      <c r="AS125" t="s">
        <v>2318</v>
      </c>
      <c r="AT125" t="s">
        <v>559</v>
      </c>
      <c r="AU125">
        <v>2012</v>
      </c>
      <c r="AV125">
        <v>35</v>
      </c>
      <c r="AW125">
        <v>5</v>
      </c>
      <c r="AX125" t="s">
        <v>74</v>
      </c>
      <c r="AY125" t="s">
        <v>74</v>
      </c>
      <c r="AZ125" t="s">
        <v>74</v>
      </c>
      <c r="BA125" t="s">
        <v>74</v>
      </c>
      <c r="BB125">
        <v>801</v>
      </c>
      <c r="BC125">
        <v>806</v>
      </c>
      <c r="BD125" t="s">
        <v>74</v>
      </c>
      <c r="BE125" t="s">
        <v>2602</v>
      </c>
      <c r="BF125" t="str">
        <f>HYPERLINK("http://dx.doi.org/10.1007/s00300-011-1133-8","http://dx.doi.org/10.1007/s00300-011-1133-8")</f>
        <v>http://dx.doi.org/10.1007/s00300-011-1133-8</v>
      </c>
      <c r="BG125" t="s">
        <v>74</v>
      </c>
      <c r="BH125" t="s">
        <v>74</v>
      </c>
      <c r="BI125">
        <v>6</v>
      </c>
      <c r="BJ125" t="s">
        <v>2320</v>
      </c>
      <c r="BK125" t="s">
        <v>99</v>
      </c>
      <c r="BL125" t="s">
        <v>1784</v>
      </c>
      <c r="BM125" t="s">
        <v>2321</v>
      </c>
      <c r="BN125" t="s">
        <v>74</v>
      </c>
      <c r="BO125" t="s">
        <v>156</v>
      </c>
      <c r="BP125" t="s">
        <v>74</v>
      </c>
      <c r="BQ125" t="s">
        <v>74</v>
      </c>
      <c r="BR125" t="s">
        <v>101</v>
      </c>
      <c r="BS125" t="s">
        <v>2603</v>
      </c>
      <c r="BT125" t="str">
        <f>HYPERLINK("https%3A%2F%2Fwww.webofscience.com%2Fwos%2Fwoscc%2Ffull-record%2FWOS:000302480600015","View Full Record in Web of Science")</f>
        <v>View Full Record in Web of Science</v>
      </c>
    </row>
    <row r="126" spans="1:72" x14ac:dyDescent="0.15">
      <c r="A126" t="s">
        <v>72</v>
      </c>
      <c r="B126" t="s">
        <v>1379</v>
      </c>
      <c r="C126" t="s">
        <v>74</v>
      </c>
      <c r="D126" t="s">
        <v>74</v>
      </c>
      <c r="E126" t="s">
        <v>74</v>
      </c>
      <c r="F126" t="s">
        <v>1380</v>
      </c>
      <c r="G126" t="s">
        <v>74</v>
      </c>
      <c r="H126" t="s">
        <v>74</v>
      </c>
      <c r="I126" t="s">
        <v>2604</v>
      </c>
      <c r="J126" t="s">
        <v>2605</v>
      </c>
      <c r="K126" t="s">
        <v>74</v>
      </c>
      <c r="L126" t="s">
        <v>74</v>
      </c>
      <c r="M126" t="s">
        <v>78</v>
      </c>
      <c r="N126" t="s">
        <v>2606</v>
      </c>
      <c r="O126" t="s">
        <v>2607</v>
      </c>
      <c r="P126" t="s">
        <v>2608</v>
      </c>
      <c r="Q126" t="s">
        <v>2609</v>
      </c>
      <c r="R126" t="s">
        <v>74</v>
      </c>
      <c r="S126" t="s">
        <v>2610</v>
      </c>
      <c r="T126" t="s">
        <v>2611</v>
      </c>
      <c r="U126" t="s">
        <v>2612</v>
      </c>
      <c r="V126" t="s">
        <v>2613</v>
      </c>
      <c r="W126" t="s">
        <v>2614</v>
      </c>
      <c r="X126" t="s">
        <v>1386</v>
      </c>
      <c r="Y126" t="s">
        <v>2615</v>
      </c>
      <c r="Z126" t="s">
        <v>1388</v>
      </c>
      <c r="AA126" t="s">
        <v>2616</v>
      </c>
      <c r="AB126" t="s">
        <v>2617</v>
      </c>
      <c r="AC126" t="s">
        <v>74</v>
      </c>
      <c r="AD126" t="s">
        <v>74</v>
      </c>
      <c r="AE126" t="s">
        <v>74</v>
      </c>
      <c r="AF126" t="s">
        <v>74</v>
      </c>
      <c r="AG126">
        <v>63</v>
      </c>
      <c r="AH126">
        <v>36</v>
      </c>
      <c r="AI126">
        <v>37</v>
      </c>
      <c r="AJ126">
        <v>0</v>
      </c>
      <c r="AK126">
        <v>63</v>
      </c>
      <c r="AL126" t="s">
        <v>935</v>
      </c>
      <c r="AM126" t="s">
        <v>369</v>
      </c>
      <c r="AN126" t="s">
        <v>936</v>
      </c>
      <c r="AO126" t="s">
        <v>2618</v>
      </c>
      <c r="AP126" t="s">
        <v>2619</v>
      </c>
      <c r="AQ126" t="s">
        <v>74</v>
      </c>
      <c r="AR126" t="s">
        <v>2620</v>
      </c>
      <c r="AS126" t="s">
        <v>2621</v>
      </c>
      <c r="AT126" t="s">
        <v>559</v>
      </c>
      <c r="AU126">
        <v>2012</v>
      </c>
      <c r="AV126">
        <v>16</v>
      </c>
      <c r="AW126" t="s">
        <v>74</v>
      </c>
      <c r="AX126" t="s">
        <v>74</v>
      </c>
      <c r="AY126" t="s">
        <v>74</v>
      </c>
      <c r="AZ126" t="s">
        <v>1913</v>
      </c>
      <c r="BA126" t="s">
        <v>74</v>
      </c>
      <c r="BB126">
        <v>76</v>
      </c>
      <c r="BC126">
        <v>83</v>
      </c>
      <c r="BD126" t="s">
        <v>74</v>
      </c>
      <c r="BE126" t="s">
        <v>2622</v>
      </c>
      <c r="BF126" t="str">
        <f>HYPERLINK("http://dx.doi.org/10.1016/j.ecolind.2011.06.015","http://dx.doi.org/10.1016/j.ecolind.2011.06.015")</f>
        <v>http://dx.doi.org/10.1016/j.ecolind.2011.06.015</v>
      </c>
      <c r="BG126" t="s">
        <v>74</v>
      </c>
      <c r="BH126" t="s">
        <v>74</v>
      </c>
      <c r="BI126">
        <v>8</v>
      </c>
      <c r="BJ126" t="s">
        <v>2623</v>
      </c>
      <c r="BK126" t="s">
        <v>2624</v>
      </c>
      <c r="BL126" t="s">
        <v>1784</v>
      </c>
      <c r="BM126" t="s">
        <v>2625</v>
      </c>
      <c r="BN126" t="s">
        <v>74</v>
      </c>
      <c r="BO126" t="s">
        <v>74</v>
      </c>
      <c r="BP126" t="s">
        <v>74</v>
      </c>
      <c r="BQ126" t="s">
        <v>74</v>
      </c>
      <c r="BR126" t="s">
        <v>101</v>
      </c>
      <c r="BS126" t="s">
        <v>2626</v>
      </c>
      <c r="BT126" t="str">
        <f>HYPERLINK("https%3A%2F%2Fwww.webofscience.com%2Fwos%2Fwoscc%2Ffull-record%2FWOS:000299984700011","View Full Record in Web of Science")</f>
        <v>View Full Record in Web of Science</v>
      </c>
    </row>
    <row r="127" spans="1:72" x14ac:dyDescent="0.15">
      <c r="A127" t="s">
        <v>72</v>
      </c>
      <c r="B127" t="s">
        <v>2627</v>
      </c>
      <c r="C127" t="s">
        <v>74</v>
      </c>
      <c r="D127" t="s">
        <v>74</v>
      </c>
      <c r="E127" t="s">
        <v>74</v>
      </c>
      <c r="F127" t="s">
        <v>2628</v>
      </c>
      <c r="G127" t="s">
        <v>74</v>
      </c>
      <c r="H127" t="s">
        <v>74</v>
      </c>
      <c r="I127" t="s">
        <v>2629</v>
      </c>
      <c r="J127" t="s">
        <v>2176</v>
      </c>
      <c r="K127" t="s">
        <v>74</v>
      </c>
      <c r="L127" t="s">
        <v>74</v>
      </c>
      <c r="M127" t="s">
        <v>78</v>
      </c>
      <c r="N127" t="s">
        <v>79</v>
      </c>
      <c r="O127" t="s">
        <v>74</v>
      </c>
      <c r="P127" t="s">
        <v>74</v>
      </c>
      <c r="Q127" t="s">
        <v>74</v>
      </c>
      <c r="R127" t="s">
        <v>74</v>
      </c>
      <c r="S127" t="s">
        <v>74</v>
      </c>
      <c r="T127" t="s">
        <v>2630</v>
      </c>
      <c r="U127" t="s">
        <v>2631</v>
      </c>
      <c r="V127" t="s">
        <v>2632</v>
      </c>
      <c r="W127" t="s">
        <v>2633</v>
      </c>
      <c r="X127" t="s">
        <v>2634</v>
      </c>
      <c r="Y127" t="s">
        <v>2635</v>
      </c>
      <c r="Z127" t="s">
        <v>2636</v>
      </c>
      <c r="AA127" t="s">
        <v>2637</v>
      </c>
      <c r="AB127" t="s">
        <v>2638</v>
      </c>
      <c r="AC127" t="s">
        <v>74</v>
      </c>
      <c r="AD127" t="s">
        <v>74</v>
      </c>
      <c r="AE127" t="s">
        <v>74</v>
      </c>
      <c r="AF127" t="s">
        <v>74</v>
      </c>
      <c r="AG127">
        <v>55</v>
      </c>
      <c r="AH127">
        <v>68</v>
      </c>
      <c r="AI127">
        <v>72</v>
      </c>
      <c r="AJ127">
        <v>2</v>
      </c>
      <c r="AK127">
        <v>76</v>
      </c>
      <c r="AL127" t="s">
        <v>1595</v>
      </c>
      <c r="AM127" t="s">
        <v>278</v>
      </c>
      <c r="AN127" t="s">
        <v>1596</v>
      </c>
      <c r="AO127" t="s">
        <v>2186</v>
      </c>
      <c r="AP127" t="s">
        <v>2187</v>
      </c>
      <c r="AQ127" t="s">
        <v>74</v>
      </c>
      <c r="AR127" t="s">
        <v>2188</v>
      </c>
      <c r="AS127" t="s">
        <v>2189</v>
      </c>
      <c r="AT127" t="s">
        <v>559</v>
      </c>
      <c r="AU127">
        <v>2012</v>
      </c>
      <c r="AV127">
        <v>36</v>
      </c>
      <c r="AW127">
        <v>3</v>
      </c>
      <c r="AX127" t="s">
        <v>74</v>
      </c>
      <c r="AY127" t="s">
        <v>74</v>
      </c>
      <c r="AZ127" t="s">
        <v>74</v>
      </c>
      <c r="BA127" t="s">
        <v>74</v>
      </c>
      <c r="BB127">
        <v>753</v>
      </c>
      <c r="BC127">
        <v>759</v>
      </c>
      <c r="BD127" t="s">
        <v>74</v>
      </c>
      <c r="BE127" t="s">
        <v>2639</v>
      </c>
      <c r="BF127" t="str">
        <f>HYPERLINK("http://dx.doi.org/10.1016/j.marpol.2011.10.015","http://dx.doi.org/10.1016/j.marpol.2011.10.015")</f>
        <v>http://dx.doi.org/10.1016/j.marpol.2011.10.015</v>
      </c>
      <c r="BG127" t="s">
        <v>74</v>
      </c>
      <c r="BH127" t="s">
        <v>74</v>
      </c>
      <c r="BI127">
        <v>7</v>
      </c>
      <c r="BJ127" t="s">
        <v>2191</v>
      </c>
      <c r="BK127" t="s">
        <v>2192</v>
      </c>
      <c r="BL127" t="s">
        <v>2193</v>
      </c>
      <c r="BM127" t="s">
        <v>2194</v>
      </c>
      <c r="BN127" t="s">
        <v>74</v>
      </c>
      <c r="BO127" t="s">
        <v>74</v>
      </c>
      <c r="BP127" t="s">
        <v>74</v>
      </c>
      <c r="BQ127" t="s">
        <v>74</v>
      </c>
      <c r="BR127" t="s">
        <v>101</v>
      </c>
      <c r="BS127" t="s">
        <v>2640</v>
      </c>
      <c r="BT127" t="str">
        <f>HYPERLINK("https%3A%2F%2Fwww.webofscience.com%2Fwos%2Fwoscc%2Ffull-record%2FWOS:000300201100024","View Full Record in Web of Science")</f>
        <v>View Full Record in Web of Science</v>
      </c>
    </row>
    <row r="128" spans="1:72" x14ac:dyDescent="0.15">
      <c r="A128" t="s">
        <v>72</v>
      </c>
      <c r="B128" t="s">
        <v>2641</v>
      </c>
      <c r="C128" t="s">
        <v>74</v>
      </c>
      <c r="D128" t="s">
        <v>74</v>
      </c>
      <c r="E128" t="s">
        <v>74</v>
      </c>
      <c r="F128" t="s">
        <v>2642</v>
      </c>
      <c r="G128" t="s">
        <v>74</v>
      </c>
      <c r="H128" t="s">
        <v>74</v>
      </c>
      <c r="I128" t="s">
        <v>2643</v>
      </c>
      <c r="J128" t="s">
        <v>77</v>
      </c>
      <c r="K128" t="s">
        <v>74</v>
      </c>
      <c r="L128" t="s">
        <v>74</v>
      </c>
      <c r="M128" t="s">
        <v>78</v>
      </c>
      <c r="N128" t="s">
        <v>79</v>
      </c>
      <c r="O128" t="s">
        <v>74</v>
      </c>
      <c r="P128" t="s">
        <v>74</v>
      </c>
      <c r="Q128" t="s">
        <v>74</v>
      </c>
      <c r="R128" t="s">
        <v>74</v>
      </c>
      <c r="S128" t="s">
        <v>74</v>
      </c>
      <c r="T128" t="s">
        <v>2644</v>
      </c>
      <c r="U128" t="s">
        <v>2645</v>
      </c>
      <c r="V128" t="s">
        <v>2646</v>
      </c>
      <c r="W128" t="s">
        <v>2647</v>
      </c>
      <c r="X128" t="s">
        <v>1957</v>
      </c>
      <c r="Y128" t="s">
        <v>2648</v>
      </c>
      <c r="Z128" t="s">
        <v>2649</v>
      </c>
      <c r="AA128" t="s">
        <v>74</v>
      </c>
      <c r="AB128" t="s">
        <v>74</v>
      </c>
      <c r="AC128" t="s">
        <v>2650</v>
      </c>
      <c r="AD128" t="s">
        <v>2651</v>
      </c>
      <c r="AE128" t="s">
        <v>2652</v>
      </c>
      <c r="AF128" t="s">
        <v>74</v>
      </c>
      <c r="AG128">
        <v>92</v>
      </c>
      <c r="AH128">
        <v>10</v>
      </c>
      <c r="AI128">
        <v>10</v>
      </c>
      <c r="AJ128">
        <v>0</v>
      </c>
      <c r="AK128">
        <v>6</v>
      </c>
      <c r="AL128" t="s">
        <v>91</v>
      </c>
      <c r="AM128" t="s">
        <v>92</v>
      </c>
      <c r="AN128" t="s">
        <v>392</v>
      </c>
      <c r="AO128" t="s">
        <v>94</v>
      </c>
      <c r="AP128" t="s">
        <v>95</v>
      </c>
      <c r="AQ128" t="s">
        <v>74</v>
      </c>
      <c r="AR128" t="s">
        <v>77</v>
      </c>
      <c r="AS128" t="s">
        <v>96</v>
      </c>
      <c r="AT128" t="s">
        <v>2653</v>
      </c>
      <c r="AU128">
        <v>2012</v>
      </c>
      <c r="AV128" t="s">
        <v>74</v>
      </c>
      <c r="AW128">
        <v>3285</v>
      </c>
      <c r="AX128" t="s">
        <v>74</v>
      </c>
      <c r="AY128" t="s">
        <v>74</v>
      </c>
      <c r="AZ128" t="s">
        <v>74</v>
      </c>
      <c r="BA128" t="s">
        <v>74</v>
      </c>
      <c r="BB128">
        <v>1</v>
      </c>
      <c r="BC128">
        <v>120</v>
      </c>
      <c r="BD128" t="s">
        <v>74</v>
      </c>
      <c r="BE128" t="s">
        <v>74</v>
      </c>
      <c r="BF128" t="s">
        <v>74</v>
      </c>
      <c r="BG128" t="s">
        <v>74</v>
      </c>
      <c r="BH128" t="s">
        <v>74</v>
      </c>
      <c r="BI128">
        <v>120</v>
      </c>
      <c r="BJ128" t="s">
        <v>98</v>
      </c>
      <c r="BK128" t="s">
        <v>99</v>
      </c>
      <c r="BL128" t="s">
        <v>98</v>
      </c>
      <c r="BM128" t="s">
        <v>2654</v>
      </c>
      <c r="BN128" t="s">
        <v>74</v>
      </c>
      <c r="BO128" t="s">
        <v>74</v>
      </c>
      <c r="BP128" t="s">
        <v>74</v>
      </c>
      <c r="BQ128" t="s">
        <v>74</v>
      </c>
      <c r="BR128" t="s">
        <v>101</v>
      </c>
      <c r="BS128" t="s">
        <v>2655</v>
      </c>
      <c r="BT128" t="str">
        <f>HYPERLINK("https%3A%2F%2Fwww.webofscience.com%2Fwos%2Fwoscc%2Ffull-record%2FWOS:000303879900001","View Full Record in Web of Science")</f>
        <v>View Full Record in Web of Science</v>
      </c>
    </row>
    <row r="129" spans="1:72" x14ac:dyDescent="0.15">
      <c r="A129" t="s">
        <v>72</v>
      </c>
      <c r="B129" t="s">
        <v>2656</v>
      </c>
      <c r="C129" t="s">
        <v>74</v>
      </c>
      <c r="D129" t="s">
        <v>74</v>
      </c>
      <c r="E129" t="s">
        <v>74</v>
      </c>
      <c r="F129" t="s">
        <v>2657</v>
      </c>
      <c r="G129" t="s">
        <v>74</v>
      </c>
      <c r="H129" t="s">
        <v>74</v>
      </c>
      <c r="I129" t="s">
        <v>2658</v>
      </c>
      <c r="J129" t="s">
        <v>106</v>
      </c>
      <c r="K129" t="s">
        <v>74</v>
      </c>
      <c r="L129" t="s">
        <v>74</v>
      </c>
      <c r="M129" t="s">
        <v>78</v>
      </c>
      <c r="N129" t="s">
        <v>79</v>
      </c>
      <c r="O129" t="s">
        <v>74</v>
      </c>
      <c r="P129" t="s">
        <v>74</v>
      </c>
      <c r="Q129" t="s">
        <v>74</v>
      </c>
      <c r="R129" t="s">
        <v>74</v>
      </c>
      <c r="S129" t="s">
        <v>74</v>
      </c>
      <c r="T129" t="s">
        <v>74</v>
      </c>
      <c r="U129" t="s">
        <v>2659</v>
      </c>
      <c r="V129" t="s">
        <v>2660</v>
      </c>
      <c r="W129" t="s">
        <v>2661</v>
      </c>
      <c r="X129" t="s">
        <v>2662</v>
      </c>
      <c r="Y129" t="s">
        <v>2663</v>
      </c>
      <c r="Z129" t="s">
        <v>2664</v>
      </c>
      <c r="AA129" t="s">
        <v>2665</v>
      </c>
      <c r="AB129" t="s">
        <v>2666</v>
      </c>
      <c r="AC129" t="s">
        <v>2667</v>
      </c>
      <c r="AD129" t="s">
        <v>2668</v>
      </c>
      <c r="AE129" t="s">
        <v>2669</v>
      </c>
      <c r="AF129" t="s">
        <v>74</v>
      </c>
      <c r="AG129">
        <v>25</v>
      </c>
      <c r="AH129">
        <v>19</v>
      </c>
      <c r="AI129">
        <v>20</v>
      </c>
      <c r="AJ129">
        <v>0</v>
      </c>
      <c r="AK129">
        <v>8</v>
      </c>
      <c r="AL129" t="s">
        <v>118</v>
      </c>
      <c r="AM129" t="s">
        <v>119</v>
      </c>
      <c r="AN129" t="s">
        <v>120</v>
      </c>
      <c r="AO129" t="s">
        <v>121</v>
      </c>
      <c r="AP129" t="s">
        <v>74</v>
      </c>
      <c r="AQ129" t="s">
        <v>74</v>
      </c>
      <c r="AR129" t="s">
        <v>123</v>
      </c>
      <c r="AS129" t="s">
        <v>124</v>
      </c>
      <c r="AT129" t="s">
        <v>2670</v>
      </c>
      <c r="AU129">
        <v>2012</v>
      </c>
      <c r="AV129">
        <v>117</v>
      </c>
      <c r="AW129" t="s">
        <v>74</v>
      </c>
      <c r="AX129" t="s">
        <v>74</v>
      </c>
      <c r="AY129" t="s">
        <v>74</v>
      </c>
      <c r="AZ129" t="s">
        <v>74</v>
      </c>
      <c r="BA129" t="s">
        <v>74</v>
      </c>
      <c r="BB129" t="s">
        <v>74</v>
      </c>
      <c r="BC129" t="s">
        <v>74</v>
      </c>
      <c r="BD129" t="s">
        <v>2671</v>
      </c>
      <c r="BE129" t="s">
        <v>2672</v>
      </c>
      <c r="BF129" t="str">
        <f>HYPERLINK("http://dx.doi.org/10.1029/2011JD016865","http://dx.doi.org/10.1029/2011JD016865")</f>
        <v>http://dx.doi.org/10.1029/2011JD016865</v>
      </c>
      <c r="BG129" t="s">
        <v>74</v>
      </c>
      <c r="BH129" t="s">
        <v>74</v>
      </c>
      <c r="BI129">
        <v>14</v>
      </c>
      <c r="BJ129" t="s">
        <v>128</v>
      </c>
      <c r="BK129" t="s">
        <v>99</v>
      </c>
      <c r="BL129" t="s">
        <v>128</v>
      </c>
      <c r="BM129" t="s">
        <v>2673</v>
      </c>
      <c r="BN129" t="s">
        <v>74</v>
      </c>
      <c r="BO129" t="s">
        <v>822</v>
      </c>
      <c r="BP129" t="s">
        <v>74</v>
      </c>
      <c r="BQ129" t="s">
        <v>74</v>
      </c>
      <c r="BR129" t="s">
        <v>101</v>
      </c>
      <c r="BS129" t="s">
        <v>2674</v>
      </c>
      <c r="BT129" t="str">
        <f>HYPERLINK("https%3A%2F%2Fwww.webofscience.com%2Fwos%2Fwoscc%2Ffull-record%2FWOS:000303316000001","View Full Record in Web of Science")</f>
        <v>View Full Record in Web of Science</v>
      </c>
    </row>
    <row r="130" spans="1:72" x14ac:dyDescent="0.15">
      <c r="A130" t="s">
        <v>72</v>
      </c>
      <c r="B130" t="s">
        <v>2675</v>
      </c>
      <c r="C130" t="s">
        <v>74</v>
      </c>
      <c r="D130" t="s">
        <v>74</v>
      </c>
      <c r="E130" t="s">
        <v>74</v>
      </c>
      <c r="F130" t="s">
        <v>2676</v>
      </c>
      <c r="G130" t="s">
        <v>74</v>
      </c>
      <c r="H130" t="s">
        <v>74</v>
      </c>
      <c r="I130" t="s">
        <v>2677</v>
      </c>
      <c r="J130" t="s">
        <v>176</v>
      </c>
      <c r="K130" t="s">
        <v>74</v>
      </c>
      <c r="L130" t="s">
        <v>74</v>
      </c>
      <c r="M130" t="s">
        <v>78</v>
      </c>
      <c r="N130" t="s">
        <v>79</v>
      </c>
      <c r="O130" t="s">
        <v>74</v>
      </c>
      <c r="P130" t="s">
        <v>74</v>
      </c>
      <c r="Q130" t="s">
        <v>74</v>
      </c>
      <c r="R130" t="s">
        <v>74</v>
      </c>
      <c r="S130" t="s">
        <v>74</v>
      </c>
      <c r="T130" t="s">
        <v>74</v>
      </c>
      <c r="U130" t="s">
        <v>2678</v>
      </c>
      <c r="V130" t="s">
        <v>2679</v>
      </c>
      <c r="W130" t="s">
        <v>2680</v>
      </c>
      <c r="X130" t="s">
        <v>2681</v>
      </c>
      <c r="Y130" t="s">
        <v>2682</v>
      </c>
      <c r="Z130" t="s">
        <v>2683</v>
      </c>
      <c r="AA130" t="s">
        <v>2684</v>
      </c>
      <c r="AB130" t="s">
        <v>2685</v>
      </c>
      <c r="AC130" t="s">
        <v>2686</v>
      </c>
      <c r="AD130" t="s">
        <v>2687</v>
      </c>
      <c r="AE130" t="s">
        <v>2688</v>
      </c>
      <c r="AF130" t="s">
        <v>74</v>
      </c>
      <c r="AG130">
        <v>31</v>
      </c>
      <c r="AH130">
        <v>75</v>
      </c>
      <c r="AI130">
        <v>78</v>
      </c>
      <c r="AJ130">
        <v>0</v>
      </c>
      <c r="AK130">
        <v>24</v>
      </c>
      <c r="AL130" t="s">
        <v>118</v>
      </c>
      <c r="AM130" t="s">
        <v>119</v>
      </c>
      <c r="AN130" t="s">
        <v>120</v>
      </c>
      <c r="AO130" t="s">
        <v>187</v>
      </c>
      <c r="AP130" t="s">
        <v>74</v>
      </c>
      <c r="AQ130" t="s">
        <v>74</v>
      </c>
      <c r="AR130" t="s">
        <v>189</v>
      </c>
      <c r="AS130" t="s">
        <v>190</v>
      </c>
      <c r="AT130" t="s">
        <v>2670</v>
      </c>
      <c r="AU130">
        <v>2012</v>
      </c>
      <c r="AV130">
        <v>39</v>
      </c>
      <c r="AW130" t="s">
        <v>74</v>
      </c>
      <c r="AX130" t="s">
        <v>74</v>
      </c>
      <c r="AY130" t="s">
        <v>74</v>
      </c>
      <c r="AZ130" t="s">
        <v>74</v>
      </c>
      <c r="BA130" t="s">
        <v>74</v>
      </c>
      <c r="BB130" t="s">
        <v>74</v>
      </c>
      <c r="BC130" t="s">
        <v>74</v>
      </c>
      <c r="BD130" t="s">
        <v>2689</v>
      </c>
      <c r="BE130" t="s">
        <v>2690</v>
      </c>
      <c r="BF130" t="str">
        <f>HYPERLINK("http://dx.doi.org/10.1029/2012GL051603","http://dx.doi.org/10.1029/2012GL051603")</f>
        <v>http://dx.doi.org/10.1029/2012GL051603</v>
      </c>
      <c r="BG130" t="s">
        <v>74</v>
      </c>
      <c r="BH130" t="s">
        <v>74</v>
      </c>
      <c r="BI130">
        <v>5</v>
      </c>
      <c r="BJ130" t="s">
        <v>194</v>
      </c>
      <c r="BK130" t="s">
        <v>99</v>
      </c>
      <c r="BL130" t="s">
        <v>195</v>
      </c>
      <c r="BM130" t="s">
        <v>2691</v>
      </c>
      <c r="BN130" t="s">
        <v>74</v>
      </c>
      <c r="BO130" t="s">
        <v>2692</v>
      </c>
      <c r="BP130" t="s">
        <v>74</v>
      </c>
      <c r="BQ130" t="s">
        <v>74</v>
      </c>
      <c r="BR130" t="s">
        <v>101</v>
      </c>
      <c r="BS130" t="s">
        <v>2693</v>
      </c>
      <c r="BT130" t="str">
        <f>HYPERLINK("https%3A%2F%2Fwww.webofscience.com%2Fwos%2Fwoscc%2Ffull-record%2FWOS:000303331600007","View Full Record in Web of Science")</f>
        <v>View Full Record in Web of Science</v>
      </c>
    </row>
    <row r="131" spans="1:72" x14ac:dyDescent="0.15">
      <c r="A131" t="s">
        <v>72</v>
      </c>
      <c r="B131" t="s">
        <v>2694</v>
      </c>
      <c r="C131" t="s">
        <v>74</v>
      </c>
      <c r="D131" t="s">
        <v>74</v>
      </c>
      <c r="E131" t="s">
        <v>74</v>
      </c>
      <c r="F131" t="s">
        <v>2695</v>
      </c>
      <c r="G131" t="s">
        <v>74</v>
      </c>
      <c r="H131" t="s">
        <v>74</v>
      </c>
      <c r="I131" t="s">
        <v>2696</v>
      </c>
      <c r="J131" t="s">
        <v>2697</v>
      </c>
      <c r="K131" t="s">
        <v>74</v>
      </c>
      <c r="L131" t="s">
        <v>74</v>
      </c>
      <c r="M131" t="s">
        <v>78</v>
      </c>
      <c r="N131" t="s">
        <v>79</v>
      </c>
      <c r="O131" t="s">
        <v>74</v>
      </c>
      <c r="P131" t="s">
        <v>74</v>
      </c>
      <c r="Q131" t="s">
        <v>74</v>
      </c>
      <c r="R131" t="s">
        <v>74</v>
      </c>
      <c r="S131" t="s">
        <v>74</v>
      </c>
      <c r="T131" t="s">
        <v>74</v>
      </c>
      <c r="U131" t="s">
        <v>2698</v>
      </c>
      <c r="V131" t="s">
        <v>2699</v>
      </c>
      <c r="W131" t="s">
        <v>2700</v>
      </c>
      <c r="X131" t="s">
        <v>2701</v>
      </c>
      <c r="Y131" t="s">
        <v>2702</v>
      </c>
      <c r="Z131" t="s">
        <v>2703</v>
      </c>
      <c r="AA131" t="s">
        <v>2704</v>
      </c>
      <c r="AB131" t="s">
        <v>2705</v>
      </c>
      <c r="AC131" t="s">
        <v>2706</v>
      </c>
      <c r="AD131" t="s">
        <v>2707</v>
      </c>
      <c r="AE131" t="s">
        <v>2708</v>
      </c>
      <c r="AF131" t="s">
        <v>74</v>
      </c>
      <c r="AG131">
        <v>31</v>
      </c>
      <c r="AH131">
        <v>708</v>
      </c>
      <c r="AI131">
        <v>781</v>
      </c>
      <c r="AJ131">
        <v>17</v>
      </c>
      <c r="AK131">
        <v>376</v>
      </c>
      <c r="AL131" t="s">
        <v>2709</v>
      </c>
      <c r="AM131" t="s">
        <v>119</v>
      </c>
      <c r="AN131" t="s">
        <v>2710</v>
      </c>
      <c r="AO131" t="s">
        <v>2711</v>
      </c>
      <c r="AP131" t="s">
        <v>2712</v>
      </c>
      <c r="AQ131" t="s">
        <v>74</v>
      </c>
      <c r="AR131" t="s">
        <v>2697</v>
      </c>
      <c r="AS131" t="s">
        <v>2713</v>
      </c>
      <c r="AT131" t="s">
        <v>2714</v>
      </c>
      <c r="AU131">
        <v>2012</v>
      </c>
      <c r="AV131">
        <v>336</v>
      </c>
      <c r="AW131">
        <v>6080</v>
      </c>
      <c r="AX131" t="s">
        <v>74</v>
      </c>
      <c r="AY131" t="s">
        <v>74</v>
      </c>
      <c r="AZ131" t="s">
        <v>74</v>
      </c>
      <c r="BA131" t="s">
        <v>74</v>
      </c>
      <c r="BB131">
        <v>455</v>
      </c>
      <c r="BC131">
        <v>458</v>
      </c>
      <c r="BD131" t="s">
        <v>74</v>
      </c>
      <c r="BE131" t="s">
        <v>2715</v>
      </c>
      <c r="BF131" t="str">
        <f>HYPERLINK("http://dx.doi.org/10.1126/science.1212222","http://dx.doi.org/10.1126/science.1212222")</f>
        <v>http://dx.doi.org/10.1126/science.1212222</v>
      </c>
      <c r="BG131" t="s">
        <v>74</v>
      </c>
      <c r="BH131" t="s">
        <v>74</v>
      </c>
      <c r="BI131">
        <v>4</v>
      </c>
      <c r="BJ131" t="s">
        <v>153</v>
      </c>
      <c r="BK131" t="s">
        <v>99</v>
      </c>
      <c r="BL131" t="s">
        <v>154</v>
      </c>
      <c r="BM131" t="s">
        <v>2716</v>
      </c>
      <c r="BN131">
        <v>22539717</v>
      </c>
      <c r="BO131" t="s">
        <v>156</v>
      </c>
      <c r="BP131" t="s">
        <v>74</v>
      </c>
      <c r="BQ131" t="s">
        <v>74</v>
      </c>
      <c r="BR131" t="s">
        <v>101</v>
      </c>
      <c r="BS131" t="s">
        <v>2717</v>
      </c>
      <c r="BT131" t="str">
        <f>HYPERLINK("https%3A%2F%2Fwww.webofscience.com%2Fwos%2Fwoscc%2Ffull-record%2FWOS:000303233400042","View Full Record in Web of Science")</f>
        <v>View Full Record in Web of Science</v>
      </c>
    </row>
    <row r="132" spans="1:72" x14ac:dyDescent="0.15">
      <c r="A132" t="s">
        <v>72</v>
      </c>
      <c r="B132" t="s">
        <v>2718</v>
      </c>
      <c r="C132" t="s">
        <v>74</v>
      </c>
      <c r="D132" t="s">
        <v>74</v>
      </c>
      <c r="E132" t="s">
        <v>74</v>
      </c>
      <c r="F132" t="s">
        <v>2719</v>
      </c>
      <c r="G132" t="s">
        <v>74</v>
      </c>
      <c r="H132" t="s">
        <v>74</v>
      </c>
      <c r="I132" t="s">
        <v>2720</v>
      </c>
      <c r="J132" t="s">
        <v>135</v>
      </c>
      <c r="K132" t="s">
        <v>74</v>
      </c>
      <c r="L132" t="s">
        <v>74</v>
      </c>
      <c r="M132" t="s">
        <v>78</v>
      </c>
      <c r="N132" t="s">
        <v>79</v>
      </c>
      <c r="O132" t="s">
        <v>74</v>
      </c>
      <c r="P132" t="s">
        <v>74</v>
      </c>
      <c r="Q132" t="s">
        <v>74</v>
      </c>
      <c r="R132" t="s">
        <v>74</v>
      </c>
      <c r="S132" t="s">
        <v>74</v>
      </c>
      <c r="T132" t="s">
        <v>74</v>
      </c>
      <c r="U132" t="s">
        <v>2721</v>
      </c>
      <c r="V132" t="s">
        <v>2722</v>
      </c>
      <c r="W132" t="s">
        <v>2723</v>
      </c>
      <c r="X132" t="s">
        <v>2724</v>
      </c>
      <c r="Y132" t="s">
        <v>2725</v>
      </c>
      <c r="Z132" t="s">
        <v>2726</v>
      </c>
      <c r="AA132" t="s">
        <v>2727</v>
      </c>
      <c r="AB132" t="s">
        <v>2728</v>
      </c>
      <c r="AC132" t="s">
        <v>2729</v>
      </c>
      <c r="AD132" t="s">
        <v>2730</v>
      </c>
      <c r="AE132" t="s">
        <v>2731</v>
      </c>
      <c r="AF132" t="s">
        <v>74</v>
      </c>
      <c r="AG132">
        <v>31</v>
      </c>
      <c r="AH132">
        <v>915</v>
      </c>
      <c r="AI132">
        <v>1029</v>
      </c>
      <c r="AJ132">
        <v>19</v>
      </c>
      <c r="AK132">
        <v>441</v>
      </c>
      <c r="AL132" t="s">
        <v>2732</v>
      </c>
      <c r="AM132" t="s">
        <v>2733</v>
      </c>
      <c r="AN132" t="s">
        <v>2734</v>
      </c>
      <c r="AO132" t="s">
        <v>149</v>
      </c>
      <c r="AP132" t="s">
        <v>150</v>
      </c>
      <c r="AQ132" t="s">
        <v>74</v>
      </c>
      <c r="AR132" t="s">
        <v>135</v>
      </c>
      <c r="AS132" t="s">
        <v>151</v>
      </c>
      <c r="AT132" t="s">
        <v>2735</v>
      </c>
      <c r="AU132">
        <v>2012</v>
      </c>
      <c r="AV132">
        <v>484</v>
      </c>
      <c r="AW132">
        <v>7395</v>
      </c>
      <c r="AX132" t="s">
        <v>74</v>
      </c>
      <c r="AY132" t="s">
        <v>74</v>
      </c>
      <c r="AZ132" t="s">
        <v>74</v>
      </c>
      <c r="BA132" t="s">
        <v>74</v>
      </c>
      <c r="BB132">
        <v>502</v>
      </c>
      <c r="BC132">
        <v>505</v>
      </c>
      <c r="BD132" t="s">
        <v>74</v>
      </c>
      <c r="BE132" t="s">
        <v>2736</v>
      </c>
      <c r="BF132" t="str">
        <f>HYPERLINK("http://dx.doi.org/10.1038/nature10968","http://dx.doi.org/10.1038/nature10968")</f>
        <v>http://dx.doi.org/10.1038/nature10968</v>
      </c>
      <c r="BG132" t="s">
        <v>74</v>
      </c>
      <c r="BH132" t="s">
        <v>74</v>
      </c>
      <c r="BI132">
        <v>4</v>
      </c>
      <c r="BJ132" t="s">
        <v>153</v>
      </c>
      <c r="BK132" t="s">
        <v>99</v>
      </c>
      <c r="BL132" t="s">
        <v>154</v>
      </c>
      <c r="BM132" t="s">
        <v>2737</v>
      </c>
      <c r="BN132">
        <v>22538614</v>
      </c>
      <c r="BO132" t="s">
        <v>74</v>
      </c>
      <c r="BP132" t="s">
        <v>74</v>
      </c>
      <c r="BQ132" t="s">
        <v>74</v>
      </c>
      <c r="BR132" t="s">
        <v>101</v>
      </c>
      <c r="BS132" t="s">
        <v>2738</v>
      </c>
      <c r="BT132" t="str">
        <f>HYPERLINK("https%3A%2F%2Fwww.webofscience.com%2Fwos%2Fwoscc%2Ffull-record%2FWOS:000303200400048","View Full Record in Web of Science")</f>
        <v>View Full Record in Web of Science</v>
      </c>
    </row>
    <row r="133" spans="1:72" x14ac:dyDescent="0.15">
      <c r="A133" t="s">
        <v>72</v>
      </c>
      <c r="B133" t="s">
        <v>2739</v>
      </c>
      <c r="C133" t="s">
        <v>74</v>
      </c>
      <c r="D133" t="s">
        <v>74</v>
      </c>
      <c r="E133" t="s">
        <v>74</v>
      </c>
      <c r="F133" t="s">
        <v>2740</v>
      </c>
      <c r="G133" t="s">
        <v>74</v>
      </c>
      <c r="H133" t="s">
        <v>74</v>
      </c>
      <c r="I133" t="s">
        <v>2741</v>
      </c>
      <c r="J133" t="s">
        <v>176</v>
      </c>
      <c r="K133" t="s">
        <v>74</v>
      </c>
      <c r="L133" t="s">
        <v>74</v>
      </c>
      <c r="M133" t="s">
        <v>78</v>
      </c>
      <c r="N133" t="s">
        <v>79</v>
      </c>
      <c r="O133" t="s">
        <v>74</v>
      </c>
      <c r="P133" t="s">
        <v>74</v>
      </c>
      <c r="Q133" t="s">
        <v>74</v>
      </c>
      <c r="R133" t="s">
        <v>74</v>
      </c>
      <c r="S133" t="s">
        <v>74</v>
      </c>
      <c r="T133" t="s">
        <v>74</v>
      </c>
      <c r="U133" t="s">
        <v>2742</v>
      </c>
      <c r="V133" t="s">
        <v>2743</v>
      </c>
      <c r="W133" t="s">
        <v>2744</v>
      </c>
      <c r="X133" t="s">
        <v>2745</v>
      </c>
      <c r="Y133" t="s">
        <v>2746</v>
      </c>
      <c r="Z133" t="s">
        <v>2747</v>
      </c>
      <c r="AA133" t="s">
        <v>2748</v>
      </c>
      <c r="AB133" t="s">
        <v>2749</v>
      </c>
      <c r="AC133" t="s">
        <v>2750</v>
      </c>
      <c r="AD133" t="s">
        <v>2751</v>
      </c>
      <c r="AE133" t="s">
        <v>2752</v>
      </c>
      <c r="AF133" t="s">
        <v>74</v>
      </c>
      <c r="AG133">
        <v>15</v>
      </c>
      <c r="AH133">
        <v>72</v>
      </c>
      <c r="AI133">
        <v>76</v>
      </c>
      <c r="AJ133">
        <v>1</v>
      </c>
      <c r="AK133">
        <v>10</v>
      </c>
      <c r="AL133" t="s">
        <v>118</v>
      </c>
      <c r="AM133" t="s">
        <v>119</v>
      </c>
      <c r="AN133" t="s">
        <v>120</v>
      </c>
      <c r="AO133" t="s">
        <v>187</v>
      </c>
      <c r="AP133" t="s">
        <v>188</v>
      </c>
      <c r="AQ133" t="s">
        <v>74</v>
      </c>
      <c r="AR133" t="s">
        <v>189</v>
      </c>
      <c r="AS133" t="s">
        <v>190</v>
      </c>
      <c r="AT133" t="s">
        <v>2753</v>
      </c>
      <c r="AU133">
        <v>2012</v>
      </c>
      <c r="AV133">
        <v>39</v>
      </c>
      <c r="AW133" t="s">
        <v>74</v>
      </c>
      <c r="AX133" t="s">
        <v>74</v>
      </c>
      <c r="AY133" t="s">
        <v>74</v>
      </c>
      <c r="AZ133" t="s">
        <v>74</v>
      </c>
      <c r="BA133" t="s">
        <v>74</v>
      </c>
      <c r="BB133" t="s">
        <v>74</v>
      </c>
      <c r="BC133" t="s">
        <v>74</v>
      </c>
      <c r="BD133" t="s">
        <v>2754</v>
      </c>
      <c r="BE133" t="s">
        <v>2755</v>
      </c>
      <c r="BF133" t="str">
        <f>HYPERLINK("http://dx.doi.org/10.1029/2012GL051599","http://dx.doi.org/10.1029/2012GL051599")</f>
        <v>http://dx.doi.org/10.1029/2012GL051599</v>
      </c>
      <c r="BG133" t="s">
        <v>74</v>
      </c>
      <c r="BH133" t="s">
        <v>74</v>
      </c>
      <c r="BI133">
        <v>5</v>
      </c>
      <c r="BJ133" t="s">
        <v>194</v>
      </c>
      <c r="BK133" t="s">
        <v>99</v>
      </c>
      <c r="BL133" t="s">
        <v>195</v>
      </c>
      <c r="BM133" t="s">
        <v>2756</v>
      </c>
      <c r="BN133" t="s">
        <v>74</v>
      </c>
      <c r="BO133" t="s">
        <v>217</v>
      </c>
      <c r="BP133" t="s">
        <v>74</v>
      </c>
      <c r="BQ133" t="s">
        <v>74</v>
      </c>
      <c r="BR133" t="s">
        <v>101</v>
      </c>
      <c r="BS133" t="s">
        <v>2757</v>
      </c>
      <c r="BT133" t="str">
        <f>HYPERLINK("https%3A%2F%2Fwww.webofscience.com%2Fwos%2Fwoscc%2Ffull-record%2FWOS:000303330900006","View Full Record in Web of Science")</f>
        <v>View Full Record in Web of Science</v>
      </c>
    </row>
    <row r="134" spans="1:72" x14ac:dyDescent="0.15">
      <c r="A134" t="s">
        <v>72</v>
      </c>
      <c r="B134" t="s">
        <v>2758</v>
      </c>
      <c r="C134" t="s">
        <v>74</v>
      </c>
      <c r="D134" t="s">
        <v>74</v>
      </c>
      <c r="E134" t="s">
        <v>74</v>
      </c>
      <c r="F134" t="s">
        <v>2759</v>
      </c>
      <c r="G134" t="s">
        <v>74</v>
      </c>
      <c r="H134" t="s">
        <v>74</v>
      </c>
      <c r="I134" t="s">
        <v>2760</v>
      </c>
      <c r="J134" t="s">
        <v>106</v>
      </c>
      <c r="K134" t="s">
        <v>74</v>
      </c>
      <c r="L134" t="s">
        <v>74</v>
      </c>
      <c r="M134" t="s">
        <v>78</v>
      </c>
      <c r="N134" t="s">
        <v>79</v>
      </c>
      <c r="O134" t="s">
        <v>74</v>
      </c>
      <c r="P134" t="s">
        <v>74</v>
      </c>
      <c r="Q134" t="s">
        <v>74</v>
      </c>
      <c r="R134" t="s">
        <v>74</v>
      </c>
      <c r="S134" t="s">
        <v>74</v>
      </c>
      <c r="T134" t="s">
        <v>74</v>
      </c>
      <c r="U134" t="s">
        <v>2761</v>
      </c>
      <c r="V134" t="s">
        <v>2762</v>
      </c>
      <c r="W134" t="s">
        <v>2763</v>
      </c>
      <c r="X134" t="s">
        <v>2764</v>
      </c>
      <c r="Y134" t="s">
        <v>2765</v>
      </c>
      <c r="Z134" t="s">
        <v>2766</v>
      </c>
      <c r="AA134" t="s">
        <v>2767</v>
      </c>
      <c r="AB134" t="s">
        <v>74</v>
      </c>
      <c r="AC134" t="s">
        <v>2768</v>
      </c>
      <c r="AD134" t="s">
        <v>2769</v>
      </c>
      <c r="AE134" t="s">
        <v>2770</v>
      </c>
      <c r="AF134" t="s">
        <v>74</v>
      </c>
      <c r="AG134">
        <v>56</v>
      </c>
      <c r="AH134">
        <v>122</v>
      </c>
      <c r="AI134">
        <v>130</v>
      </c>
      <c r="AJ134">
        <v>5</v>
      </c>
      <c r="AK134">
        <v>104</v>
      </c>
      <c r="AL134" t="s">
        <v>118</v>
      </c>
      <c r="AM134" t="s">
        <v>119</v>
      </c>
      <c r="AN134" t="s">
        <v>120</v>
      </c>
      <c r="AO134" t="s">
        <v>121</v>
      </c>
      <c r="AP134" t="s">
        <v>122</v>
      </c>
      <c r="AQ134" t="s">
        <v>74</v>
      </c>
      <c r="AR134" t="s">
        <v>123</v>
      </c>
      <c r="AS134" t="s">
        <v>124</v>
      </c>
      <c r="AT134" t="s">
        <v>2753</v>
      </c>
      <c r="AU134">
        <v>2012</v>
      </c>
      <c r="AV134">
        <v>117</v>
      </c>
      <c r="AW134" t="s">
        <v>74</v>
      </c>
      <c r="AX134" t="s">
        <v>74</v>
      </c>
      <c r="AY134" t="s">
        <v>74</v>
      </c>
      <c r="AZ134" t="s">
        <v>74</v>
      </c>
      <c r="BA134" t="s">
        <v>74</v>
      </c>
      <c r="BB134" t="s">
        <v>74</v>
      </c>
      <c r="BC134" t="s">
        <v>74</v>
      </c>
      <c r="BD134" t="s">
        <v>2771</v>
      </c>
      <c r="BE134" t="s">
        <v>2772</v>
      </c>
      <c r="BF134" t="str">
        <f>HYPERLINK("http://dx.doi.org/10.1029/2012JD017482","http://dx.doi.org/10.1029/2012JD017482")</f>
        <v>http://dx.doi.org/10.1029/2012JD017482</v>
      </c>
      <c r="BG134" t="s">
        <v>74</v>
      </c>
      <c r="BH134" t="s">
        <v>74</v>
      </c>
      <c r="BI134">
        <v>12</v>
      </c>
      <c r="BJ134" t="s">
        <v>128</v>
      </c>
      <c r="BK134" t="s">
        <v>99</v>
      </c>
      <c r="BL134" t="s">
        <v>128</v>
      </c>
      <c r="BM134" t="s">
        <v>2773</v>
      </c>
      <c r="BN134" t="s">
        <v>74</v>
      </c>
      <c r="BO134" t="s">
        <v>74</v>
      </c>
      <c r="BP134" t="s">
        <v>74</v>
      </c>
      <c r="BQ134" t="s">
        <v>74</v>
      </c>
      <c r="BR134" t="s">
        <v>101</v>
      </c>
      <c r="BS134" t="s">
        <v>2774</v>
      </c>
      <c r="BT134" t="str">
        <f>HYPERLINK("https%3A%2F%2Fwww.webofscience.com%2Fwos%2Fwoscc%2Ffull-record%2FWOS:000303315300003","View Full Record in Web of Science")</f>
        <v>View Full Record in Web of Science</v>
      </c>
    </row>
    <row r="135" spans="1:72" x14ac:dyDescent="0.15">
      <c r="A135" t="s">
        <v>72</v>
      </c>
      <c r="B135" t="s">
        <v>2775</v>
      </c>
      <c r="C135" t="s">
        <v>74</v>
      </c>
      <c r="D135" t="s">
        <v>74</v>
      </c>
      <c r="E135" t="s">
        <v>74</v>
      </c>
      <c r="F135" t="s">
        <v>2776</v>
      </c>
      <c r="G135" t="s">
        <v>74</v>
      </c>
      <c r="H135" t="s">
        <v>74</v>
      </c>
      <c r="I135" t="s">
        <v>2777</v>
      </c>
      <c r="J135" t="s">
        <v>502</v>
      </c>
      <c r="K135" t="s">
        <v>74</v>
      </c>
      <c r="L135" t="s">
        <v>74</v>
      </c>
      <c r="M135" t="s">
        <v>78</v>
      </c>
      <c r="N135" t="s">
        <v>1073</v>
      </c>
      <c r="O135" t="s">
        <v>74</v>
      </c>
      <c r="P135" t="s">
        <v>74</v>
      </c>
      <c r="Q135" t="s">
        <v>74</v>
      </c>
      <c r="R135" t="s">
        <v>74</v>
      </c>
      <c r="S135" t="s">
        <v>74</v>
      </c>
      <c r="T135" t="s">
        <v>74</v>
      </c>
      <c r="U135" t="s">
        <v>2778</v>
      </c>
      <c r="V135" t="s">
        <v>2779</v>
      </c>
      <c r="W135" t="s">
        <v>2780</v>
      </c>
      <c r="X135" t="s">
        <v>2781</v>
      </c>
      <c r="Y135" t="s">
        <v>2782</v>
      </c>
      <c r="Z135" t="s">
        <v>2783</v>
      </c>
      <c r="AA135" t="s">
        <v>74</v>
      </c>
      <c r="AB135" t="s">
        <v>74</v>
      </c>
      <c r="AC135" t="s">
        <v>74</v>
      </c>
      <c r="AD135" t="s">
        <v>74</v>
      </c>
      <c r="AE135" t="s">
        <v>74</v>
      </c>
      <c r="AF135" t="s">
        <v>74</v>
      </c>
      <c r="AG135">
        <v>88</v>
      </c>
      <c r="AH135">
        <v>108</v>
      </c>
      <c r="AI135">
        <v>117</v>
      </c>
      <c r="AJ135">
        <v>0</v>
      </c>
      <c r="AK135">
        <v>48</v>
      </c>
      <c r="AL135" t="s">
        <v>513</v>
      </c>
      <c r="AM135" t="s">
        <v>514</v>
      </c>
      <c r="AN135" t="s">
        <v>515</v>
      </c>
      <c r="AO135" t="s">
        <v>516</v>
      </c>
      <c r="AP135" t="s">
        <v>74</v>
      </c>
      <c r="AQ135" t="s">
        <v>74</v>
      </c>
      <c r="AR135" t="s">
        <v>502</v>
      </c>
      <c r="AS135" t="s">
        <v>517</v>
      </c>
      <c r="AT135" t="s">
        <v>2753</v>
      </c>
      <c r="AU135">
        <v>2012</v>
      </c>
      <c r="AV135">
        <v>7</v>
      </c>
      <c r="AW135">
        <v>4</v>
      </c>
      <c r="AX135" t="s">
        <v>74</v>
      </c>
      <c r="AY135" t="s">
        <v>74</v>
      </c>
      <c r="AZ135" t="s">
        <v>74</v>
      </c>
      <c r="BA135" t="s">
        <v>74</v>
      </c>
      <c r="BB135" t="s">
        <v>74</v>
      </c>
      <c r="BC135" t="s">
        <v>74</v>
      </c>
      <c r="BD135" t="s">
        <v>2784</v>
      </c>
      <c r="BE135" t="s">
        <v>2785</v>
      </c>
      <c r="BF135" t="str">
        <f>HYPERLINK("http://dx.doi.org/10.1371/journal.pone.0035350","http://dx.doi.org/10.1371/journal.pone.0035350")</f>
        <v>http://dx.doi.org/10.1371/journal.pone.0035350</v>
      </c>
      <c r="BG135" t="s">
        <v>74</v>
      </c>
      <c r="BH135" t="s">
        <v>74</v>
      </c>
      <c r="BI135">
        <v>9</v>
      </c>
      <c r="BJ135" t="s">
        <v>153</v>
      </c>
      <c r="BK135" t="s">
        <v>99</v>
      </c>
      <c r="BL135" t="s">
        <v>154</v>
      </c>
      <c r="BM135" t="s">
        <v>2786</v>
      </c>
      <c r="BN135">
        <v>22558143</v>
      </c>
      <c r="BO135" t="s">
        <v>2787</v>
      </c>
      <c r="BP135" t="s">
        <v>74</v>
      </c>
      <c r="BQ135" t="s">
        <v>74</v>
      </c>
      <c r="BR135" t="s">
        <v>101</v>
      </c>
      <c r="BS135" t="s">
        <v>2788</v>
      </c>
      <c r="BT135" t="str">
        <f>HYPERLINK("https%3A%2F%2Fwww.webofscience.com%2Fwos%2Fwoscc%2Ffull-record%2FWOS:000305345200034","View Full Record in Web of Science")</f>
        <v>View Full Record in Web of Science</v>
      </c>
    </row>
    <row r="136" spans="1:72" x14ac:dyDescent="0.15">
      <c r="A136" t="s">
        <v>72</v>
      </c>
      <c r="B136" t="s">
        <v>2789</v>
      </c>
      <c r="C136" t="s">
        <v>74</v>
      </c>
      <c r="D136" t="s">
        <v>74</v>
      </c>
      <c r="E136" t="s">
        <v>74</v>
      </c>
      <c r="F136" t="s">
        <v>2790</v>
      </c>
      <c r="G136" t="s">
        <v>74</v>
      </c>
      <c r="H136" t="s">
        <v>74</v>
      </c>
      <c r="I136" t="s">
        <v>2791</v>
      </c>
      <c r="J136" t="s">
        <v>2792</v>
      </c>
      <c r="K136" t="s">
        <v>74</v>
      </c>
      <c r="L136" t="s">
        <v>74</v>
      </c>
      <c r="M136" t="s">
        <v>78</v>
      </c>
      <c r="N136" t="s">
        <v>79</v>
      </c>
      <c r="O136" t="s">
        <v>74</v>
      </c>
      <c r="P136" t="s">
        <v>74</v>
      </c>
      <c r="Q136" t="s">
        <v>74</v>
      </c>
      <c r="R136" t="s">
        <v>74</v>
      </c>
      <c r="S136" t="s">
        <v>74</v>
      </c>
      <c r="T136" t="s">
        <v>74</v>
      </c>
      <c r="U136" t="s">
        <v>2793</v>
      </c>
      <c r="V136" t="s">
        <v>2794</v>
      </c>
      <c r="W136" t="s">
        <v>2795</v>
      </c>
      <c r="X136" t="s">
        <v>2796</v>
      </c>
      <c r="Y136" t="s">
        <v>2797</v>
      </c>
      <c r="Z136" t="s">
        <v>2798</v>
      </c>
      <c r="AA136" t="s">
        <v>2799</v>
      </c>
      <c r="AB136" t="s">
        <v>2800</v>
      </c>
      <c r="AC136" t="s">
        <v>2801</v>
      </c>
      <c r="AD136" t="s">
        <v>2802</v>
      </c>
      <c r="AE136" t="s">
        <v>2803</v>
      </c>
      <c r="AF136" t="s">
        <v>74</v>
      </c>
      <c r="AG136">
        <v>55</v>
      </c>
      <c r="AH136">
        <v>52</v>
      </c>
      <c r="AI136">
        <v>54</v>
      </c>
      <c r="AJ136">
        <v>0</v>
      </c>
      <c r="AK136">
        <v>10</v>
      </c>
      <c r="AL136" t="s">
        <v>118</v>
      </c>
      <c r="AM136" t="s">
        <v>119</v>
      </c>
      <c r="AN136" t="s">
        <v>120</v>
      </c>
      <c r="AO136" t="s">
        <v>2804</v>
      </c>
      <c r="AP136" t="s">
        <v>2805</v>
      </c>
      <c r="AQ136" t="s">
        <v>74</v>
      </c>
      <c r="AR136" t="s">
        <v>2806</v>
      </c>
      <c r="AS136" t="s">
        <v>2807</v>
      </c>
      <c r="AT136" t="s">
        <v>2753</v>
      </c>
      <c r="AU136">
        <v>2012</v>
      </c>
      <c r="AV136">
        <v>47</v>
      </c>
      <c r="AW136" t="s">
        <v>74</v>
      </c>
      <c r="AX136" t="s">
        <v>74</v>
      </c>
      <c r="AY136" t="s">
        <v>74</v>
      </c>
      <c r="AZ136" t="s">
        <v>74</v>
      </c>
      <c r="BA136" t="s">
        <v>74</v>
      </c>
      <c r="BB136" t="s">
        <v>74</v>
      </c>
      <c r="BC136" t="s">
        <v>74</v>
      </c>
      <c r="BD136" t="s">
        <v>2808</v>
      </c>
      <c r="BE136" t="s">
        <v>2809</v>
      </c>
      <c r="BF136" t="str">
        <f>HYPERLINK("http://dx.doi.org/10.1029/2011RS004971","http://dx.doi.org/10.1029/2011RS004971")</f>
        <v>http://dx.doi.org/10.1029/2011RS004971</v>
      </c>
      <c r="BG136" t="s">
        <v>74</v>
      </c>
      <c r="BH136" t="s">
        <v>74</v>
      </c>
      <c r="BI136">
        <v>13</v>
      </c>
      <c r="BJ136" t="s">
        <v>2810</v>
      </c>
      <c r="BK136" t="s">
        <v>99</v>
      </c>
      <c r="BL136" t="s">
        <v>2810</v>
      </c>
      <c r="BM136" t="s">
        <v>2811</v>
      </c>
      <c r="BN136" t="s">
        <v>74</v>
      </c>
      <c r="BO136" t="s">
        <v>2812</v>
      </c>
      <c r="BP136" t="s">
        <v>74</v>
      </c>
      <c r="BQ136" t="s">
        <v>74</v>
      </c>
      <c r="BR136" t="s">
        <v>101</v>
      </c>
      <c r="BS136" t="s">
        <v>2813</v>
      </c>
      <c r="BT136" t="str">
        <f>HYPERLINK("https%3A%2F%2Fwww.webofscience.com%2Fwos%2Fwoscc%2Ffull-record%2FWOS:000303319300002","View Full Record in Web of Science")</f>
        <v>View Full Record in Web of Science</v>
      </c>
    </row>
    <row r="137" spans="1:72" x14ac:dyDescent="0.15">
      <c r="A137" t="s">
        <v>72</v>
      </c>
      <c r="B137" t="s">
        <v>2814</v>
      </c>
      <c r="C137" t="s">
        <v>74</v>
      </c>
      <c r="D137" t="s">
        <v>74</v>
      </c>
      <c r="E137" t="s">
        <v>74</v>
      </c>
      <c r="F137" t="s">
        <v>2815</v>
      </c>
      <c r="G137" t="s">
        <v>74</v>
      </c>
      <c r="H137" t="s">
        <v>74</v>
      </c>
      <c r="I137" t="s">
        <v>2816</v>
      </c>
      <c r="J137" t="s">
        <v>2817</v>
      </c>
      <c r="K137" t="s">
        <v>74</v>
      </c>
      <c r="L137" t="s">
        <v>74</v>
      </c>
      <c r="M137" t="s">
        <v>78</v>
      </c>
      <c r="N137" t="s">
        <v>79</v>
      </c>
      <c r="O137" t="s">
        <v>74</v>
      </c>
      <c r="P137" t="s">
        <v>74</v>
      </c>
      <c r="Q137" t="s">
        <v>74</v>
      </c>
      <c r="R137" t="s">
        <v>74</v>
      </c>
      <c r="S137" t="s">
        <v>74</v>
      </c>
      <c r="T137" t="s">
        <v>74</v>
      </c>
      <c r="U137" t="s">
        <v>2818</v>
      </c>
      <c r="V137" t="s">
        <v>2819</v>
      </c>
      <c r="W137" t="s">
        <v>2820</v>
      </c>
      <c r="X137" t="s">
        <v>2821</v>
      </c>
      <c r="Y137" t="s">
        <v>2822</v>
      </c>
      <c r="Z137" t="s">
        <v>2823</v>
      </c>
      <c r="AA137" t="s">
        <v>74</v>
      </c>
      <c r="AB137" t="s">
        <v>2824</v>
      </c>
      <c r="AC137" t="s">
        <v>2825</v>
      </c>
      <c r="AD137" t="s">
        <v>2826</v>
      </c>
      <c r="AE137" t="s">
        <v>2827</v>
      </c>
      <c r="AF137" t="s">
        <v>74</v>
      </c>
      <c r="AG137">
        <v>55</v>
      </c>
      <c r="AH137">
        <v>77</v>
      </c>
      <c r="AI137">
        <v>86</v>
      </c>
      <c r="AJ137">
        <v>0</v>
      </c>
      <c r="AK137">
        <v>22</v>
      </c>
      <c r="AL137" t="s">
        <v>118</v>
      </c>
      <c r="AM137" t="s">
        <v>119</v>
      </c>
      <c r="AN137" t="s">
        <v>120</v>
      </c>
      <c r="AO137" t="s">
        <v>2828</v>
      </c>
      <c r="AP137" t="s">
        <v>2829</v>
      </c>
      <c r="AQ137" t="s">
        <v>74</v>
      </c>
      <c r="AR137" t="s">
        <v>2817</v>
      </c>
      <c r="AS137" t="s">
        <v>2830</v>
      </c>
      <c r="AT137" t="s">
        <v>2831</v>
      </c>
      <c r="AU137">
        <v>2012</v>
      </c>
      <c r="AV137">
        <v>27</v>
      </c>
      <c r="AW137" t="s">
        <v>74</v>
      </c>
      <c r="AX137" t="s">
        <v>74</v>
      </c>
      <c r="AY137" t="s">
        <v>74</v>
      </c>
      <c r="AZ137" t="s">
        <v>74</v>
      </c>
      <c r="BA137" t="s">
        <v>74</v>
      </c>
      <c r="BB137" t="s">
        <v>74</v>
      </c>
      <c r="BC137" t="s">
        <v>74</v>
      </c>
      <c r="BD137" t="s">
        <v>2832</v>
      </c>
      <c r="BE137" t="s">
        <v>2833</v>
      </c>
      <c r="BF137" t="str">
        <f>HYPERLINK("http://dx.doi.org/10.1029/2011PA002271","http://dx.doi.org/10.1029/2011PA002271")</f>
        <v>http://dx.doi.org/10.1029/2011PA002271</v>
      </c>
      <c r="BG137" t="s">
        <v>74</v>
      </c>
      <c r="BH137" t="s">
        <v>74</v>
      </c>
      <c r="BI137">
        <v>13</v>
      </c>
      <c r="BJ137" t="s">
        <v>2834</v>
      </c>
      <c r="BK137" t="s">
        <v>99</v>
      </c>
      <c r="BL137" t="s">
        <v>2835</v>
      </c>
      <c r="BM137" t="s">
        <v>2836</v>
      </c>
      <c r="BN137" t="s">
        <v>74</v>
      </c>
      <c r="BO137" t="s">
        <v>217</v>
      </c>
      <c r="BP137" t="s">
        <v>74</v>
      </c>
      <c r="BQ137" t="s">
        <v>74</v>
      </c>
      <c r="BR137" t="s">
        <v>101</v>
      </c>
      <c r="BS137" t="s">
        <v>2837</v>
      </c>
      <c r="BT137" t="str">
        <f>HYPERLINK("https%3A%2F%2Fwww.webofscience.com%2Fwos%2Fwoscc%2Ffull-record%2FWOS:000303318900001","View Full Record in Web of Science")</f>
        <v>View Full Record in Web of Science</v>
      </c>
    </row>
    <row r="138" spans="1:72" x14ac:dyDescent="0.15">
      <c r="A138" t="s">
        <v>72</v>
      </c>
      <c r="B138" t="s">
        <v>2838</v>
      </c>
      <c r="C138" t="s">
        <v>74</v>
      </c>
      <c r="D138" t="s">
        <v>74</v>
      </c>
      <c r="E138" t="s">
        <v>74</v>
      </c>
      <c r="F138" t="s">
        <v>2839</v>
      </c>
      <c r="G138" t="s">
        <v>74</v>
      </c>
      <c r="H138" t="s">
        <v>74</v>
      </c>
      <c r="I138" t="s">
        <v>2840</v>
      </c>
      <c r="J138" t="s">
        <v>239</v>
      </c>
      <c r="K138" t="s">
        <v>74</v>
      </c>
      <c r="L138" t="s">
        <v>74</v>
      </c>
      <c r="M138" t="s">
        <v>78</v>
      </c>
      <c r="N138" t="s">
        <v>79</v>
      </c>
      <c r="O138" t="s">
        <v>74</v>
      </c>
      <c r="P138" t="s">
        <v>74</v>
      </c>
      <c r="Q138" t="s">
        <v>74</v>
      </c>
      <c r="R138" t="s">
        <v>74</v>
      </c>
      <c r="S138" t="s">
        <v>74</v>
      </c>
      <c r="T138" t="s">
        <v>2841</v>
      </c>
      <c r="U138" t="s">
        <v>2842</v>
      </c>
      <c r="V138" t="s">
        <v>2843</v>
      </c>
      <c r="W138" t="s">
        <v>2844</v>
      </c>
      <c r="X138" t="s">
        <v>2845</v>
      </c>
      <c r="Y138" t="s">
        <v>2846</v>
      </c>
      <c r="Z138" t="s">
        <v>2847</v>
      </c>
      <c r="AA138" t="s">
        <v>2848</v>
      </c>
      <c r="AB138" t="s">
        <v>2849</v>
      </c>
      <c r="AC138" t="s">
        <v>2850</v>
      </c>
      <c r="AD138" t="s">
        <v>2851</v>
      </c>
      <c r="AE138" t="s">
        <v>2852</v>
      </c>
      <c r="AF138" t="s">
        <v>74</v>
      </c>
      <c r="AG138">
        <v>69</v>
      </c>
      <c r="AH138">
        <v>144</v>
      </c>
      <c r="AI138">
        <v>158</v>
      </c>
      <c r="AJ138">
        <v>1</v>
      </c>
      <c r="AK138">
        <v>78</v>
      </c>
      <c r="AL138" t="s">
        <v>252</v>
      </c>
      <c r="AM138" t="s">
        <v>119</v>
      </c>
      <c r="AN138" t="s">
        <v>253</v>
      </c>
      <c r="AO138" t="s">
        <v>254</v>
      </c>
      <c r="AP138" t="s">
        <v>2853</v>
      </c>
      <c r="AQ138" t="s">
        <v>74</v>
      </c>
      <c r="AR138" t="s">
        <v>255</v>
      </c>
      <c r="AS138" t="s">
        <v>256</v>
      </c>
      <c r="AT138" t="s">
        <v>2831</v>
      </c>
      <c r="AU138">
        <v>2012</v>
      </c>
      <c r="AV138">
        <v>109</v>
      </c>
      <c r="AW138">
        <v>17</v>
      </c>
      <c r="AX138" t="s">
        <v>74</v>
      </c>
      <c r="AY138" t="s">
        <v>74</v>
      </c>
      <c r="AZ138" t="s">
        <v>74</v>
      </c>
      <c r="BA138" t="s">
        <v>74</v>
      </c>
      <c r="BB138">
        <v>6423</v>
      </c>
      <c r="BC138">
        <v>6428</v>
      </c>
      <c r="BD138" t="s">
        <v>74</v>
      </c>
      <c r="BE138" t="s">
        <v>2854</v>
      </c>
      <c r="BF138" t="str">
        <f>HYPERLINK("http://dx.doi.org/10.1073/pnas.1112248109","http://dx.doi.org/10.1073/pnas.1112248109")</f>
        <v>http://dx.doi.org/10.1073/pnas.1112248109</v>
      </c>
      <c r="BG138" t="s">
        <v>74</v>
      </c>
      <c r="BH138" t="s">
        <v>74</v>
      </c>
      <c r="BI138">
        <v>6</v>
      </c>
      <c r="BJ138" t="s">
        <v>153</v>
      </c>
      <c r="BK138" t="s">
        <v>99</v>
      </c>
      <c r="BL138" t="s">
        <v>154</v>
      </c>
      <c r="BM138" t="s">
        <v>2855</v>
      </c>
      <c r="BN138">
        <v>22496594</v>
      </c>
      <c r="BO138" t="s">
        <v>308</v>
      </c>
      <c r="BP138" t="s">
        <v>74</v>
      </c>
      <c r="BQ138" t="s">
        <v>74</v>
      </c>
      <c r="BR138" t="s">
        <v>101</v>
      </c>
      <c r="BS138" t="s">
        <v>2856</v>
      </c>
      <c r="BT138" t="str">
        <f>HYPERLINK("https%3A%2F%2Fwww.webofscience.com%2Fwos%2Fwoscc%2Ffull-record%2FWOS:000303249100024","View Full Record in Web of Science")</f>
        <v>View Full Record in Web of Science</v>
      </c>
    </row>
    <row r="139" spans="1:72" x14ac:dyDescent="0.15">
      <c r="A139" t="s">
        <v>72</v>
      </c>
      <c r="B139" t="s">
        <v>2857</v>
      </c>
      <c r="C139" t="s">
        <v>74</v>
      </c>
      <c r="D139" t="s">
        <v>74</v>
      </c>
      <c r="E139" t="s">
        <v>74</v>
      </c>
      <c r="F139" t="s">
        <v>2858</v>
      </c>
      <c r="G139" t="s">
        <v>74</v>
      </c>
      <c r="H139" t="s">
        <v>74</v>
      </c>
      <c r="I139" t="s">
        <v>2859</v>
      </c>
      <c r="J139" t="s">
        <v>77</v>
      </c>
      <c r="K139" t="s">
        <v>74</v>
      </c>
      <c r="L139" t="s">
        <v>74</v>
      </c>
      <c r="M139" t="s">
        <v>78</v>
      </c>
      <c r="N139" t="s">
        <v>79</v>
      </c>
      <c r="O139" t="s">
        <v>74</v>
      </c>
      <c r="P139" t="s">
        <v>74</v>
      </c>
      <c r="Q139" t="s">
        <v>74</v>
      </c>
      <c r="R139" t="s">
        <v>74</v>
      </c>
      <c r="S139" t="s">
        <v>74</v>
      </c>
      <c r="T139" t="s">
        <v>2860</v>
      </c>
      <c r="U139" t="s">
        <v>2861</v>
      </c>
      <c r="V139" t="s">
        <v>2862</v>
      </c>
      <c r="W139" t="s">
        <v>2863</v>
      </c>
      <c r="X139" t="s">
        <v>546</v>
      </c>
      <c r="Y139" t="s">
        <v>2864</v>
      </c>
      <c r="Z139" t="s">
        <v>2865</v>
      </c>
      <c r="AA139" t="s">
        <v>2866</v>
      </c>
      <c r="AB139" t="s">
        <v>2867</v>
      </c>
      <c r="AC139" t="s">
        <v>2868</v>
      </c>
      <c r="AD139" t="s">
        <v>2868</v>
      </c>
      <c r="AE139" t="s">
        <v>2869</v>
      </c>
      <c r="AF139" t="s">
        <v>74</v>
      </c>
      <c r="AG139">
        <v>25</v>
      </c>
      <c r="AH139">
        <v>17</v>
      </c>
      <c r="AI139">
        <v>20</v>
      </c>
      <c r="AJ139">
        <v>0</v>
      </c>
      <c r="AK139">
        <v>3</v>
      </c>
      <c r="AL139" t="s">
        <v>91</v>
      </c>
      <c r="AM139" t="s">
        <v>92</v>
      </c>
      <c r="AN139" t="s">
        <v>392</v>
      </c>
      <c r="AO139" t="s">
        <v>94</v>
      </c>
      <c r="AP139" t="s">
        <v>95</v>
      </c>
      <c r="AQ139" t="s">
        <v>74</v>
      </c>
      <c r="AR139" t="s">
        <v>77</v>
      </c>
      <c r="AS139" t="s">
        <v>96</v>
      </c>
      <c r="AT139" t="s">
        <v>2831</v>
      </c>
      <c r="AU139">
        <v>2012</v>
      </c>
      <c r="AV139" t="s">
        <v>74</v>
      </c>
      <c r="AW139">
        <v>3276</v>
      </c>
      <c r="AX139" t="s">
        <v>74</v>
      </c>
      <c r="AY139" t="s">
        <v>74</v>
      </c>
      <c r="AZ139" t="s">
        <v>74</v>
      </c>
      <c r="BA139" t="s">
        <v>74</v>
      </c>
      <c r="BB139">
        <v>1</v>
      </c>
      <c r="BC139">
        <v>37</v>
      </c>
      <c r="BD139" t="s">
        <v>74</v>
      </c>
      <c r="BE139" t="s">
        <v>74</v>
      </c>
      <c r="BF139" t="s">
        <v>74</v>
      </c>
      <c r="BG139" t="s">
        <v>74</v>
      </c>
      <c r="BH139" t="s">
        <v>74</v>
      </c>
      <c r="BI139">
        <v>37</v>
      </c>
      <c r="BJ139" t="s">
        <v>98</v>
      </c>
      <c r="BK139" t="s">
        <v>99</v>
      </c>
      <c r="BL139" t="s">
        <v>98</v>
      </c>
      <c r="BM139" t="s">
        <v>2870</v>
      </c>
      <c r="BN139" t="s">
        <v>74</v>
      </c>
      <c r="BO139" t="s">
        <v>74</v>
      </c>
      <c r="BP139" t="s">
        <v>74</v>
      </c>
      <c r="BQ139" t="s">
        <v>74</v>
      </c>
      <c r="BR139" t="s">
        <v>101</v>
      </c>
      <c r="BS139" t="s">
        <v>2871</v>
      </c>
      <c r="BT139" t="str">
        <f>HYPERLINK("https%3A%2F%2Fwww.webofscience.com%2Fwos%2Fwoscc%2Ffull-record%2FWOS:000303865100001","View Full Record in Web of Science")</f>
        <v>View Full Record in Web of Science</v>
      </c>
    </row>
    <row r="140" spans="1:72" x14ac:dyDescent="0.15">
      <c r="A140" t="s">
        <v>72</v>
      </c>
      <c r="B140" t="s">
        <v>2872</v>
      </c>
      <c r="C140" t="s">
        <v>74</v>
      </c>
      <c r="D140" t="s">
        <v>74</v>
      </c>
      <c r="E140" t="s">
        <v>74</v>
      </c>
      <c r="F140" t="s">
        <v>2873</v>
      </c>
      <c r="G140" t="s">
        <v>74</v>
      </c>
      <c r="H140" t="s">
        <v>74</v>
      </c>
      <c r="I140" t="s">
        <v>2874</v>
      </c>
      <c r="J140" t="s">
        <v>2875</v>
      </c>
      <c r="K140" t="s">
        <v>74</v>
      </c>
      <c r="L140" t="s">
        <v>74</v>
      </c>
      <c r="M140" t="s">
        <v>78</v>
      </c>
      <c r="N140" t="s">
        <v>79</v>
      </c>
      <c r="O140" t="s">
        <v>74</v>
      </c>
      <c r="P140" t="s">
        <v>74</v>
      </c>
      <c r="Q140" t="s">
        <v>74</v>
      </c>
      <c r="R140" t="s">
        <v>74</v>
      </c>
      <c r="S140" t="s">
        <v>74</v>
      </c>
      <c r="T140" t="s">
        <v>2876</v>
      </c>
      <c r="U140" t="s">
        <v>2877</v>
      </c>
      <c r="V140" t="s">
        <v>2878</v>
      </c>
      <c r="W140" t="s">
        <v>2879</v>
      </c>
      <c r="X140" t="s">
        <v>2596</v>
      </c>
      <c r="Y140" t="s">
        <v>2880</v>
      </c>
      <c r="Z140" t="s">
        <v>2881</v>
      </c>
      <c r="AA140" t="s">
        <v>74</v>
      </c>
      <c r="AB140" t="s">
        <v>74</v>
      </c>
      <c r="AC140" t="s">
        <v>2882</v>
      </c>
      <c r="AD140" t="s">
        <v>2882</v>
      </c>
      <c r="AE140" t="s">
        <v>2883</v>
      </c>
      <c r="AF140" t="s">
        <v>74</v>
      </c>
      <c r="AG140">
        <v>16</v>
      </c>
      <c r="AH140">
        <v>98</v>
      </c>
      <c r="AI140">
        <v>103</v>
      </c>
      <c r="AJ140">
        <v>3</v>
      </c>
      <c r="AK140">
        <v>82</v>
      </c>
      <c r="AL140" t="s">
        <v>2884</v>
      </c>
      <c r="AM140" t="s">
        <v>147</v>
      </c>
      <c r="AN140" t="s">
        <v>2885</v>
      </c>
      <c r="AO140" t="s">
        <v>2886</v>
      </c>
      <c r="AP140" t="s">
        <v>74</v>
      </c>
      <c r="AQ140" t="s">
        <v>74</v>
      </c>
      <c r="AR140" t="s">
        <v>2887</v>
      </c>
      <c r="AS140" t="s">
        <v>2888</v>
      </c>
      <c r="AT140" t="s">
        <v>2889</v>
      </c>
      <c r="AU140">
        <v>2012</v>
      </c>
      <c r="AV140">
        <v>8</v>
      </c>
      <c r="AW140">
        <v>2</v>
      </c>
      <c r="AX140" t="s">
        <v>74</v>
      </c>
      <c r="AY140" t="s">
        <v>74</v>
      </c>
      <c r="AZ140" t="s">
        <v>74</v>
      </c>
      <c r="BA140" t="s">
        <v>74</v>
      </c>
      <c r="BB140">
        <v>274</v>
      </c>
      <c r="BC140">
        <v>277</v>
      </c>
      <c r="BD140" t="s">
        <v>74</v>
      </c>
      <c r="BE140" t="s">
        <v>2890</v>
      </c>
      <c r="BF140" t="str">
        <f>HYPERLINK("http://dx.doi.org/10.1098/rsbl.2011.0875","http://dx.doi.org/10.1098/rsbl.2011.0875")</f>
        <v>http://dx.doi.org/10.1098/rsbl.2011.0875</v>
      </c>
      <c r="BG140" t="s">
        <v>74</v>
      </c>
      <c r="BH140" t="s">
        <v>74</v>
      </c>
      <c r="BI140">
        <v>4</v>
      </c>
      <c r="BJ140" t="s">
        <v>2891</v>
      </c>
      <c r="BK140" t="s">
        <v>99</v>
      </c>
      <c r="BL140" t="s">
        <v>2892</v>
      </c>
      <c r="BM140" t="s">
        <v>2893</v>
      </c>
      <c r="BN140">
        <v>22031725</v>
      </c>
      <c r="BO140" t="s">
        <v>2894</v>
      </c>
      <c r="BP140" t="s">
        <v>74</v>
      </c>
      <c r="BQ140" t="s">
        <v>74</v>
      </c>
      <c r="BR140" t="s">
        <v>101</v>
      </c>
      <c r="BS140" t="s">
        <v>2895</v>
      </c>
      <c r="BT140" t="str">
        <f>HYPERLINK("https%3A%2F%2Fwww.webofscience.com%2Fwos%2Fwoscc%2Ffull-record%2FWOS:000301304000031","View Full Record in Web of Science")</f>
        <v>View Full Record in Web of Science</v>
      </c>
    </row>
    <row r="141" spans="1:72" x14ac:dyDescent="0.15">
      <c r="A141" t="s">
        <v>72</v>
      </c>
      <c r="B141" t="s">
        <v>2896</v>
      </c>
      <c r="C141" t="s">
        <v>74</v>
      </c>
      <c r="D141" t="s">
        <v>74</v>
      </c>
      <c r="E141" t="s">
        <v>74</v>
      </c>
      <c r="F141" t="s">
        <v>2897</v>
      </c>
      <c r="G141" t="s">
        <v>74</v>
      </c>
      <c r="H141" t="s">
        <v>74</v>
      </c>
      <c r="I141" t="s">
        <v>2898</v>
      </c>
      <c r="J141" t="s">
        <v>2899</v>
      </c>
      <c r="K141" t="s">
        <v>74</v>
      </c>
      <c r="L141" t="s">
        <v>74</v>
      </c>
      <c r="M141" t="s">
        <v>78</v>
      </c>
      <c r="N141" t="s">
        <v>79</v>
      </c>
      <c r="O141" t="s">
        <v>74</v>
      </c>
      <c r="P141" t="s">
        <v>74</v>
      </c>
      <c r="Q141" t="s">
        <v>74</v>
      </c>
      <c r="R141" t="s">
        <v>74</v>
      </c>
      <c r="S141" t="s">
        <v>74</v>
      </c>
      <c r="T141" t="s">
        <v>2900</v>
      </c>
      <c r="U141" t="s">
        <v>2901</v>
      </c>
      <c r="V141" t="s">
        <v>2902</v>
      </c>
      <c r="W141" t="s">
        <v>2903</v>
      </c>
      <c r="X141" t="s">
        <v>2904</v>
      </c>
      <c r="Y141" t="s">
        <v>2905</v>
      </c>
      <c r="Z141" t="s">
        <v>2906</v>
      </c>
      <c r="AA141" t="s">
        <v>74</v>
      </c>
      <c r="AB141" t="s">
        <v>2907</v>
      </c>
      <c r="AC141" t="s">
        <v>2908</v>
      </c>
      <c r="AD141" t="s">
        <v>2908</v>
      </c>
      <c r="AE141" t="s">
        <v>2909</v>
      </c>
      <c r="AF141" t="s">
        <v>74</v>
      </c>
      <c r="AG141">
        <v>48</v>
      </c>
      <c r="AH141">
        <v>25</v>
      </c>
      <c r="AI141">
        <v>30</v>
      </c>
      <c r="AJ141">
        <v>2</v>
      </c>
      <c r="AK141">
        <v>41</v>
      </c>
      <c r="AL141" t="s">
        <v>368</v>
      </c>
      <c r="AM141" t="s">
        <v>369</v>
      </c>
      <c r="AN141" t="s">
        <v>370</v>
      </c>
      <c r="AO141" t="s">
        <v>2910</v>
      </c>
      <c r="AP141" t="s">
        <v>2911</v>
      </c>
      <c r="AQ141" t="s">
        <v>74</v>
      </c>
      <c r="AR141" t="s">
        <v>2912</v>
      </c>
      <c r="AS141" t="s">
        <v>2913</v>
      </c>
      <c r="AT141" t="s">
        <v>2914</v>
      </c>
      <c r="AU141">
        <v>2012</v>
      </c>
      <c r="AV141">
        <v>134</v>
      </c>
      <c r="AW141" t="s">
        <v>74</v>
      </c>
      <c r="AX141" t="s">
        <v>74</v>
      </c>
      <c r="AY141" t="s">
        <v>74</v>
      </c>
      <c r="AZ141" t="s">
        <v>74</v>
      </c>
      <c r="BA141" t="s">
        <v>74</v>
      </c>
      <c r="BB141">
        <v>47</v>
      </c>
      <c r="BC141">
        <v>58</v>
      </c>
      <c r="BD141" t="s">
        <v>74</v>
      </c>
      <c r="BE141" t="s">
        <v>2915</v>
      </c>
      <c r="BF141" t="str">
        <f>HYPERLINK("http://dx.doi.org/10.1016/j.marchem.2012.03.001","http://dx.doi.org/10.1016/j.marchem.2012.03.001")</f>
        <v>http://dx.doi.org/10.1016/j.marchem.2012.03.001</v>
      </c>
      <c r="BG141" t="s">
        <v>74</v>
      </c>
      <c r="BH141" t="s">
        <v>74</v>
      </c>
      <c r="BI141">
        <v>12</v>
      </c>
      <c r="BJ141" t="s">
        <v>2916</v>
      </c>
      <c r="BK141" t="s">
        <v>99</v>
      </c>
      <c r="BL141" t="s">
        <v>2917</v>
      </c>
      <c r="BM141" t="s">
        <v>2918</v>
      </c>
      <c r="BN141" t="s">
        <v>74</v>
      </c>
      <c r="BO141" t="s">
        <v>74</v>
      </c>
      <c r="BP141" t="s">
        <v>74</v>
      </c>
      <c r="BQ141" t="s">
        <v>74</v>
      </c>
      <c r="BR141" t="s">
        <v>101</v>
      </c>
      <c r="BS141" t="s">
        <v>2919</v>
      </c>
      <c r="BT141" t="str">
        <f>HYPERLINK("https%3A%2F%2Fwww.webofscience.com%2Fwos%2Fwoscc%2Ffull-record%2FWOS:000305374500007","View Full Record in Web of Science")</f>
        <v>View Full Record in Web of Science</v>
      </c>
    </row>
    <row r="142" spans="1:72" x14ac:dyDescent="0.15">
      <c r="A142" t="s">
        <v>72</v>
      </c>
      <c r="B142" t="s">
        <v>2920</v>
      </c>
      <c r="C142" t="s">
        <v>74</v>
      </c>
      <c r="D142" t="s">
        <v>74</v>
      </c>
      <c r="E142" t="s">
        <v>74</v>
      </c>
      <c r="F142" t="s">
        <v>2921</v>
      </c>
      <c r="G142" t="s">
        <v>74</v>
      </c>
      <c r="H142" t="s">
        <v>74</v>
      </c>
      <c r="I142" t="s">
        <v>2922</v>
      </c>
      <c r="J142" t="s">
        <v>2923</v>
      </c>
      <c r="K142" t="s">
        <v>74</v>
      </c>
      <c r="L142" t="s">
        <v>74</v>
      </c>
      <c r="M142" t="s">
        <v>78</v>
      </c>
      <c r="N142" t="s">
        <v>79</v>
      </c>
      <c r="O142" t="s">
        <v>74</v>
      </c>
      <c r="P142" t="s">
        <v>74</v>
      </c>
      <c r="Q142" t="s">
        <v>74</v>
      </c>
      <c r="R142" t="s">
        <v>74</v>
      </c>
      <c r="S142" t="s">
        <v>74</v>
      </c>
      <c r="T142" t="s">
        <v>74</v>
      </c>
      <c r="U142" t="s">
        <v>2924</v>
      </c>
      <c r="V142" t="s">
        <v>2925</v>
      </c>
      <c r="W142" t="s">
        <v>2926</v>
      </c>
      <c r="X142" t="s">
        <v>2927</v>
      </c>
      <c r="Y142" t="s">
        <v>2928</v>
      </c>
      <c r="Z142" t="s">
        <v>2929</v>
      </c>
      <c r="AA142" t="s">
        <v>2930</v>
      </c>
      <c r="AB142" t="s">
        <v>2931</v>
      </c>
      <c r="AC142" t="s">
        <v>2932</v>
      </c>
      <c r="AD142" t="s">
        <v>2932</v>
      </c>
      <c r="AE142" t="s">
        <v>2933</v>
      </c>
      <c r="AF142" t="s">
        <v>74</v>
      </c>
      <c r="AG142">
        <v>22</v>
      </c>
      <c r="AH142">
        <v>10</v>
      </c>
      <c r="AI142">
        <v>14</v>
      </c>
      <c r="AJ142">
        <v>1</v>
      </c>
      <c r="AK142">
        <v>24</v>
      </c>
      <c r="AL142" t="s">
        <v>2934</v>
      </c>
      <c r="AM142" t="s">
        <v>2935</v>
      </c>
      <c r="AN142" t="s">
        <v>2936</v>
      </c>
      <c r="AO142" t="s">
        <v>2937</v>
      </c>
      <c r="AP142" t="s">
        <v>2938</v>
      </c>
      <c r="AQ142" t="s">
        <v>74</v>
      </c>
      <c r="AR142" t="s">
        <v>2939</v>
      </c>
      <c r="AS142" t="s">
        <v>2940</v>
      </c>
      <c r="AT142" t="s">
        <v>2914</v>
      </c>
      <c r="AU142">
        <v>2012</v>
      </c>
      <c r="AV142">
        <v>49</v>
      </c>
      <c r="AW142" t="s">
        <v>2941</v>
      </c>
      <c r="AX142" t="s">
        <v>74</v>
      </c>
      <c r="AY142" t="s">
        <v>74</v>
      </c>
      <c r="AZ142" t="s">
        <v>74</v>
      </c>
      <c r="BA142" t="s">
        <v>74</v>
      </c>
      <c r="BB142">
        <v>18</v>
      </c>
      <c r="BC142">
        <v>22</v>
      </c>
      <c r="BD142" t="s">
        <v>74</v>
      </c>
      <c r="BE142" t="s">
        <v>2942</v>
      </c>
      <c r="BF142" t="str">
        <f>HYPERLINK("http://dx.doi.org/10.5735/086.049.0102","http://dx.doi.org/10.5735/086.049.0102")</f>
        <v>http://dx.doi.org/10.5735/086.049.0102</v>
      </c>
      <c r="BG142" t="s">
        <v>74</v>
      </c>
      <c r="BH142" t="s">
        <v>74</v>
      </c>
      <c r="BI142">
        <v>5</v>
      </c>
      <c r="BJ142" t="s">
        <v>2943</v>
      </c>
      <c r="BK142" t="s">
        <v>99</v>
      </c>
      <c r="BL142" t="s">
        <v>2944</v>
      </c>
      <c r="BM142" t="s">
        <v>2945</v>
      </c>
      <c r="BN142" t="s">
        <v>74</v>
      </c>
      <c r="BO142" t="s">
        <v>74</v>
      </c>
      <c r="BP142" t="s">
        <v>74</v>
      </c>
      <c r="BQ142" t="s">
        <v>74</v>
      </c>
      <c r="BR142" t="s">
        <v>101</v>
      </c>
      <c r="BS142" t="s">
        <v>2946</v>
      </c>
      <c r="BT142" t="str">
        <f>HYPERLINK("https%3A%2F%2Fwww.webofscience.com%2Fwos%2Fwoscc%2Ffull-record%2FWOS:000303355600002","View Full Record in Web of Science")</f>
        <v>View Full Record in Web of Science</v>
      </c>
    </row>
    <row r="143" spans="1:72" x14ac:dyDescent="0.15">
      <c r="A143" t="s">
        <v>72</v>
      </c>
      <c r="B143" t="s">
        <v>2947</v>
      </c>
      <c r="C143" t="s">
        <v>74</v>
      </c>
      <c r="D143" t="s">
        <v>74</v>
      </c>
      <c r="E143" t="s">
        <v>74</v>
      </c>
      <c r="F143" t="s">
        <v>2948</v>
      </c>
      <c r="G143" t="s">
        <v>74</v>
      </c>
      <c r="H143" t="s">
        <v>74</v>
      </c>
      <c r="I143" t="s">
        <v>2949</v>
      </c>
      <c r="J143" t="s">
        <v>2950</v>
      </c>
      <c r="K143" t="s">
        <v>74</v>
      </c>
      <c r="L143" t="s">
        <v>74</v>
      </c>
      <c r="M143" t="s">
        <v>78</v>
      </c>
      <c r="N143" t="s">
        <v>79</v>
      </c>
      <c r="O143" t="s">
        <v>74</v>
      </c>
      <c r="P143" t="s">
        <v>74</v>
      </c>
      <c r="Q143" t="s">
        <v>74</v>
      </c>
      <c r="R143" t="s">
        <v>74</v>
      </c>
      <c r="S143" t="s">
        <v>74</v>
      </c>
      <c r="T143" t="s">
        <v>2951</v>
      </c>
      <c r="U143" t="s">
        <v>2952</v>
      </c>
      <c r="V143" t="s">
        <v>2953</v>
      </c>
      <c r="W143" t="s">
        <v>2954</v>
      </c>
      <c r="X143" t="s">
        <v>2955</v>
      </c>
      <c r="Y143" t="s">
        <v>2956</v>
      </c>
      <c r="Z143" t="s">
        <v>2957</v>
      </c>
      <c r="AA143" t="s">
        <v>2958</v>
      </c>
      <c r="AB143" t="s">
        <v>2959</v>
      </c>
      <c r="AC143" t="s">
        <v>2960</v>
      </c>
      <c r="AD143" t="s">
        <v>2961</v>
      </c>
      <c r="AE143" t="s">
        <v>2962</v>
      </c>
      <c r="AF143" t="s">
        <v>74</v>
      </c>
      <c r="AG143">
        <v>46</v>
      </c>
      <c r="AH143">
        <v>14</v>
      </c>
      <c r="AI143">
        <v>14</v>
      </c>
      <c r="AJ143">
        <v>0</v>
      </c>
      <c r="AK143">
        <v>18</v>
      </c>
      <c r="AL143" t="s">
        <v>368</v>
      </c>
      <c r="AM143" t="s">
        <v>369</v>
      </c>
      <c r="AN143" t="s">
        <v>370</v>
      </c>
      <c r="AO143" t="s">
        <v>2963</v>
      </c>
      <c r="AP143" t="s">
        <v>2964</v>
      </c>
      <c r="AQ143" t="s">
        <v>74</v>
      </c>
      <c r="AR143" t="s">
        <v>2965</v>
      </c>
      <c r="AS143" t="s">
        <v>2966</v>
      </c>
      <c r="AT143" t="s">
        <v>2967</v>
      </c>
      <c r="AU143">
        <v>2012</v>
      </c>
      <c r="AV143">
        <v>75</v>
      </c>
      <c r="AW143">
        <v>8</v>
      </c>
      <c r="AX143" t="s">
        <v>74</v>
      </c>
      <c r="AY143" t="s">
        <v>74</v>
      </c>
      <c r="AZ143" t="s">
        <v>74</v>
      </c>
      <c r="BA143" t="s">
        <v>74</v>
      </c>
      <c r="BB143">
        <v>2488</v>
      </c>
      <c r="BC143">
        <v>2499</v>
      </c>
      <c r="BD143" t="s">
        <v>74</v>
      </c>
      <c r="BE143" t="s">
        <v>2968</v>
      </c>
      <c r="BF143" t="str">
        <f>HYPERLINK("http://dx.doi.org/10.1016/j.jprot.2012.02.033","http://dx.doi.org/10.1016/j.jprot.2012.02.033")</f>
        <v>http://dx.doi.org/10.1016/j.jprot.2012.02.033</v>
      </c>
      <c r="BG143" t="s">
        <v>74</v>
      </c>
      <c r="BH143" t="s">
        <v>74</v>
      </c>
      <c r="BI143">
        <v>12</v>
      </c>
      <c r="BJ143" t="s">
        <v>2969</v>
      </c>
      <c r="BK143" t="s">
        <v>99</v>
      </c>
      <c r="BL143" t="s">
        <v>2524</v>
      </c>
      <c r="BM143" t="s">
        <v>2970</v>
      </c>
      <c r="BN143">
        <v>22418587</v>
      </c>
      <c r="BO143" t="s">
        <v>74</v>
      </c>
      <c r="BP143" t="s">
        <v>74</v>
      </c>
      <c r="BQ143" t="s">
        <v>74</v>
      </c>
      <c r="BR143" t="s">
        <v>101</v>
      </c>
      <c r="BS143" t="s">
        <v>2971</v>
      </c>
      <c r="BT143" t="str">
        <f>HYPERLINK("https%3A%2F%2Fwww.webofscience.com%2Fwos%2Fwoscc%2Ffull-record%2FWOS:000303974800019","View Full Record in Web of Science")</f>
        <v>View Full Record in Web of Science</v>
      </c>
    </row>
    <row r="144" spans="1:72" x14ac:dyDescent="0.15">
      <c r="A144" t="s">
        <v>72</v>
      </c>
      <c r="B144" t="s">
        <v>2972</v>
      </c>
      <c r="C144" t="s">
        <v>74</v>
      </c>
      <c r="D144" t="s">
        <v>74</v>
      </c>
      <c r="E144" t="s">
        <v>74</v>
      </c>
      <c r="F144" t="s">
        <v>2973</v>
      </c>
      <c r="G144" t="s">
        <v>74</v>
      </c>
      <c r="H144" t="s">
        <v>74</v>
      </c>
      <c r="I144" t="s">
        <v>2974</v>
      </c>
      <c r="J144" t="s">
        <v>2975</v>
      </c>
      <c r="K144" t="s">
        <v>74</v>
      </c>
      <c r="L144" t="s">
        <v>74</v>
      </c>
      <c r="M144" t="s">
        <v>78</v>
      </c>
      <c r="N144" t="s">
        <v>79</v>
      </c>
      <c r="O144" t="s">
        <v>74</v>
      </c>
      <c r="P144" t="s">
        <v>74</v>
      </c>
      <c r="Q144" t="s">
        <v>74</v>
      </c>
      <c r="R144" t="s">
        <v>74</v>
      </c>
      <c r="S144" t="s">
        <v>74</v>
      </c>
      <c r="T144" t="s">
        <v>2976</v>
      </c>
      <c r="U144" t="s">
        <v>2977</v>
      </c>
      <c r="V144" t="s">
        <v>2978</v>
      </c>
      <c r="W144" t="s">
        <v>2979</v>
      </c>
      <c r="X144" t="s">
        <v>2980</v>
      </c>
      <c r="Y144" t="s">
        <v>2981</v>
      </c>
      <c r="Z144" t="s">
        <v>2982</v>
      </c>
      <c r="AA144" t="s">
        <v>2983</v>
      </c>
      <c r="AB144" t="s">
        <v>2984</v>
      </c>
      <c r="AC144" t="s">
        <v>2985</v>
      </c>
      <c r="AD144" t="s">
        <v>2986</v>
      </c>
      <c r="AE144" t="s">
        <v>2987</v>
      </c>
      <c r="AF144" t="s">
        <v>74</v>
      </c>
      <c r="AG144">
        <v>68</v>
      </c>
      <c r="AH144">
        <v>30</v>
      </c>
      <c r="AI144">
        <v>37</v>
      </c>
      <c r="AJ144">
        <v>0</v>
      </c>
      <c r="AK144">
        <v>32</v>
      </c>
      <c r="AL144" t="s">
        <v>277</v>
      </c>
      <c r="AM144" t="s">
        <v>278</v>
      </c>
      <c r="AN144" t="s">
        <v>279</v>
      </c>
      <c r="AO144" t="s">
        <v>2988</v>
      </c>
      <c r="AP144" t="s">
        <v>74</v>
      </c>
      <c r="AQ144" t="s">
        <v>74</v>
      </c>
      <c r="AR144" t="s">
        <v>2989</v>
      </c>
      <c r="AS144" t="s">
        <v>2990</v>
      </c>
      <c r="AT144" t="s">
        <v>2991</v>
      </c>
      <c r="AU144">
        <v>2012</v>
      </c>
      <c r="AV144">
        <v>39</v>
      </c>
      <c r="AW144" t="s">
        <v>74</v>
      </c>
      <c r="AX144" t="s">
        <v>74</v>
      </c>
      <c r="AY144" t="s">
        <v>74</v>
      </c>
      <c r="AZ144" t="s">
        <v>74</v>
      </c>
      <c r="BA144" t="s">
        <v>74</v>
      </c>
      <c r="BB144">
        <v>60</v>
      </c>
      <c r="BC144">
        <v>72</v>
      </c>
      <c r="BD144" t="s">
        <v>74</v>
      </c>
      <c r="BE144" t="s">
        <v>2992</v>
      </c>
      <c r="BF144" t="str">
        <f>HYPERLINK("http://dx.doi.org/10.1016/j.quascirev.2012.01.024","http://dx.doi.org/10.1016/j.quascirev.2012.01.024")</f>
        <v>http://dx.doi.org/10.1016/j.quascirev.2012.01.024</v>
      </c>
      <c r="BG144" t="s">
        <v>74</v>
      </c>
      <c r="BH144" t="s">
        <v>74</v>
      </c>
      <c r="BI144">
        <v>13</v>
      </c>
      <c r="BJ144" t="s">
        <v>943</v>
      </c>
      <c r="BK144" t="s">
        <v>99</v>
      </c>
      <c r="BL144" t="s">
        <v>944</v>
      </c>
      <c r="BM144" t="s">
        <v>2993</v>
      </c>
      <c r="BN144" t="s">
        <v>74</v>
      </c>
      <c r="BO144" t="s">
        <v>74</v>
      </c>
      <c r="BP144" t="s">
        <v>74</v>
      </c>
      <c r="BQ144" t="s">
        <v>74</v>
      </c>
      <c r="BR144" t="s">
        <v>101</v>
      </c>
      <c r="BS144" t="s">
        <v>2994</v>
      </c>
      <c r="BT144" t="str">
        <f>HYPERLINK("https%3A%2F%2Fwww.webofscience.com%2Fwos%2Fwoscc%2Ffull-record%2FWOS:000303550200005","View Full Record in Web of Science")</f>
        <v>View Full Record in Web of Science</v>
      </c>
    </row>
    <row r="145" spans="1:72" x14ac:dyDescent="0.15">
      <c r="A145" t="s">
        <v>72</v>
      </c>
      <c r="B145" t="s">
        <v>2995</v>
      </c>
      <c r="C145" t="s">
        <v>74</v>
      </c>
      <c r="D145" t="s">
        <v>74</v>
      </c>
      <c r="E145" t="s">
        <v>74</v>
      </c>
      <c r="F145" t="s">
        <v>2996</v>
      </c>
      <c r="G145" t="s">
        <v>74</v>
      </c>
      <c r="H145" t="s">
        <v>74</v>
      </c>
      <c r="I145" t="s">
        <v>2997</v>
      </c>
      <c r="J145" t="s">
        <v>2998</v>
      </c>
      <c r="K145" t="s">
        <v>74</v>
      </c>
      <c r="L145" t="s">
        <v>74</v>
      </c>
      <c r="M145" t="s">
        <v>78</v>
      </c>
      <c r="N145" t="s">
        <v>79</v>
      </c>
      <c r="O145" t="s">
        <v>74</v>
      </c>
      <c r="P145" t="s">
        <v>74</v>
      </c>
      <c r="Q145" t="s">
        <v>74</v>
      </c>
      <c r="R145" t="s">
        <v>74</v>
      </c>
      <c r="S145" t="s">
        <v>74</v>
      </c>
      <c r="T145" t="s">
        <v>2999</v>
      </c>
      <c r="U145" t="s">
        <v>3000</v>
      </c>
      <c r="V145" t="s">
        <v>3001</v>
      </c>
      <c r="W145" t="s">
        <v>3002</v>
      </c>
      <c r="X145" t="s">
        <v>3003</v>
      </c>
      <c r="Y145" t="s">
        <v>3004</v>
      </c>
      <c r="Z145" t="s">
        <v>3005</v>
      </c>
      <c r="AA145" t="s">
        <v>3006</v>
      </c>
      <c r="AB145" t="s">
        <v>3007</v>
      </c>
      <c r="AC145" t="s">
        <v>74</v>
      </c>
      <c r="AD145" t="s">
        <v>74</v>
      </c>
      <c r="AE145" t="s">
        <v>74</v>
      </c>
      <c r="AF145" t="s">
        <v>74</v>
      </c>
      <c r="AG145">
        <v>55</v>
      </c>
      <c r="AH145">
        <v>29</v>
      </c>
      <c r="AI145">
        <v>33</v>
      </c>
      <c r="AJ145">
        <v>3</v>
      </c>
      <c r="AK145">
        <v>40</v>
      </c>
      <c r="AL145" t="s">
        <v>1548</v>
      </c>
      <c r="AM145" t="s">
        <v>656</v>
      </c>
      <c r="AN145" t="s">
        <v>1549</v>
      </c>
      <c r="AO145" t="s">
        <v>3008</v>
      </c>
      <c r="AP145" t="s">
        <v>3009</v>
      </c>
      <c r="AQ145" t="s">
        <v>74</v>
      </c>
      <c r="AR145" t="s">
        <v>3010</v>
      </c>
      <c r="AS145" t="s">
        <v>3011</v>
      </c>
      <c r="AT145" t="s">
        <v>2991</v>
      </c>
      <c r="AU145">
        <v>2012</v>
      </c>
      <c r="AV145">
        <v>119</v>
      </c>
      <c r="AW145" t="s">
        <v>74</v>
      </c>
      <c r="AX145" t="s">
        <v>74</v>
      </c>
      <c r="AY145" t="s">
        <v>74</v>
      </c>
      <c r="AZ145" t="s">
        <v>74</v>
      </c>
      <c r="BA145" t="s">
        <v>74</v>
      </c>
      <c r="BB145">
        <v>158</v>
      </c>
      <c r="BC145">
        <v>172</v>
      </c>
      <c r="BD145" t="s">
        <v>74</v>
      </c>
      <c r="BE145" t="s">
        <v>3012</v>
      </c>
      <c r="BF145" t="str">
        <f>HYPERLINK("http://dx.doi.org/10.1016/j.rse.2011.12.017","http://dx.doi.org/10.1016/j.rse.2011.12.017")</f>
        <v>http://dx.doi.org/10.1016/j.rse.2011.12.017</v>
      </c>
      <c r="BG145" t="s">
        <v>74</v>
      </c>
      <c r="BH145" t="s">
        <v>74</v>
      </c>
      <c r="BI145">
        <v>15</v>
      </c>
      <c r="BJ145" t="s">
        <v>3013</v>
      </c>
      <c r="BK145" t="s">
        <v>99</v>
      </c>
      <c r="BL145" t="s">
        <v>3014</v>
      </c>
      <c r="BM145" t="s">
        <v>3015</v>
      </c>
      <c r="BN145" t="s">
        <v>74</v>
      </c>
      <c r="BO145" t="s">
        <v>74</v>
      </c>
      <c r="BP145" t="s">
        <v>74</v>
      </c>
      <c r="BQ145" t="s">
        <v>74</v>
      </c>
      <c r="BR145" t="s">
        <v>101</v>
      </c>
      <c r="BS145" t="s">
        <v>3016</v>
      </c>
      <c r="BT145" t="str">
        <f>HYPERLINK("https%3A%2F%2Fwww.webofscience.com%2Fwos%2Fwoscc%2Ffull-record%2FWOS:000301892200015","View Full Record in Web of Science")</f>
        <v>View Full Record in Web of Science</v>
      </c>
    </row>
    <row r="146" spans="1:72" x14ac:dyDescent="0.15">
      <c r="A146" t="s">
        <v>72</v>
      </c>
      <c r="B146" t="s">
        <v>3017</v>
      </c>
      <c r="C146" t="s">
        <v>74</v>
      </c>
      <c r="D146" t="s">
        <v>74</v>
      </c>
      <c r="E146" t="s">
        <v>74</v>
      </c>
      <c r="F146" t="s">
        <v>3018</v>
      </c>
      <c r="G146" t="s">
        <v>74</v>
      </c>
      <c r="H146" t="s">
        <v>74</v>
      </c>
      <c r="I146" t="s">
        <v>3019</v>
      </c>
      <c r="J146" t="s">
        <v>3020</v>
      </c>
      <c r="K146" t="s">
        <v>74</v>
      </c>
      <c r="L146" t="s">
        <v>74</v>
      </c>
      <c r="M146" t="s">
        <v>78</v>
      </c>
      <c r="N146" t="s">
        <v>79</v>
      </c>
      <c r="O146" t="s">
        <v>74</v>
      </c>
      <c r="P146" t="s">
        <v>74</v>
      </c>
      <c r="Q146" t="s">
        <v>74</v>
      </c>
      <c r="R146" t="s">
        <v>74</v>
      </c>
      <c r="S146" t="s">
        <v>74</v>
      </c>
      <c r="T146" t="s">
        <v>3021</v>
      </c>
      <c r="U146" t="s">
        <v>3022</v>
      </c>
      <c r="V146" t="s">
        <v>3023</v>
      </c>
      <c r="W146" t="s">
        <v>3024</v>
      </c>
      <c r="X146" t="s">
        <v>3025</v>
      </c>
      <c r="Y146" t="s">
        <v>3026</v>
      </c>
      <c r="Z146" t="s">
        <v>3027</v>
      </c>
      <c r="AA146" t="s">
        <v>74</v>
      </c>
      <c r="AB146" t="s">
        <v>74</v>
      </c>
      <c r="AC146" t="s">
        <v>3028</v>
      </c>
      <c r="AD146" t="s">
        <v>3029</v>
      </c>
      <c r="AE146" t="s">
        <v>3030</v>
      </c>
      <c r="AF146" t="s">
        <v>74</v>
      </c>
      <c r="AG146">
        <v>88</v>
      </c>
      <c r="AH146">
        <v>26</v>
      </c>
      <c r="AI146">
        <v>29</v>
      </c>
      <c r="AJ146">
        <v>0</v>
      </c>
      <c r="AK146">
        <v>27</v>
      </c>
      <c r="AL146" t="s">
        <v>368</v>
      </c>
      <c r="AM146" t="s">
        <v>369</v>
      </c>
      <c r="AN146" t="s">
        <v>370</v>
      </c>
      <c r="AO146" t="s">
        <v>3031</v>
      </c>
      <c r="AP146" t="s">
        <v>74</v>
      </c>
      <c r="AQ146" t="s">
        <v>74</v>
      </c>
      <c r="AR146" t="s">
        <v>3032</v>
      </c>
      <c r="AS146" t="s">
        <v>3033</v>
      </c>
      <c r="AT146" t="s">
        <v>3034</v>
      </c>
      <c r="AU146">
        <v>2012</v>
      </c>
      <c r="AV146">
        <v>223</v>
      </c>
      <c r="AW146" t="s">
        <v>74</v>
      </c>
      <c r="AX146" t="s">
        <v>74</v>
      </c>
      <c r="AY146" t="s">
        <v>74</v>
      </c>
      <c r="AZ146" t="s">
        <v>74</v>
      </c>
      <c r="BA146" t="s">
        <v>74</v>
      </c>
      <c r="BB146">
        <v>11</v>
      </c>
      <c r="BC146">
        <v>28</v>
      </c>
      <c r="BD146" t="s">
        <v>74</v>
      </c>
      <c r="BE146" t="s">
        <v>3035</v>
      </c>
      <c r="BF146" t="str">
        <f>HYPERLINK("http://dx.doi.org/10.1016/j.jvolgeores.2012.01.009","http://dx.doi.org/10.1016/j.jvolgeores.2012.01.009")</f>
        <v>http://dx.doi.org/10.1016/j.jvolgeores.2012.01.009</v>
      </c>
      <c r="BG146" t="s">
        <v>74</v>
      </c>
      <c r="BH146" t="s">
        <v>74</v>
      </c>
      <c r="BI146">
        <v>18</v>
      </c>
      <c r="BJ146" t="s">
        <v>194</v>
      </c>
      <c r="BK146" t="s">
        <v>99</v>
      </c>
      <c r="BL146" t="s">
        <v>195</v>
      </c>
      <c r="BM146" t="s">
        <v>3036</v>
      </c>
      <c r="BN146" t="s">
        <v>74</v>
      </c>
      <c r="BO146" t="s">
        <v>74</v>
      </c>
      <c r="BP146" t="s">
        <v>74</v>
      </c>
      <c r="BQ146" t="s">
        <v>74</v>
      </c>
      <c r="BR146" t="s">
        <v>101</v>
      </c>
      <c r="BS146" t="s">
        <v>3037</v>
      </c>
      <c r="BT146" t="str">
        <f>HYPERLINK("https%3A%2F%2Fwww.webofscience.com%2Fwos%2Fwoscc%2Ffull-record%2FWOS:000303551100002","View Full Record in Web of Science")</f>
        <v>View Full Record in Web of Science</v>
      </c>
    </row>
    <row r="147" spans="1:72" x14ac:dyDescent="0.15">
      <c r="A147" t="s">
        <v>72</v>
      </c>
      <c r="B147" t="s">
        <v>3038</v>
      </c>
      <c r="C147" t="s">
        <v>74</v>
      </c>
      <c r="D147" t="s">
        <v>74</v>
      </c>
      <c r="E147" t="s">
        <v>74</v>
      </c>
      <c r="F147" t="s">
        <v>3039</v>
      </c>
      <c r="G147" t="s">
        <v>74</v>
      </c>
      <c r="H147" t="s">
        <v>74</v>
      </c>
      <c r="I147" t="s">
        <v>3040</v>
      </c>
      <c r="J147" t="s">
        <v>3041</v>
      </c>
      <c r="K147" t="s">
        <v>74</v>
      </c>
      <c r="L147" t="s">
        <v>74</v>
      </c>
      <c r="M147" t="s">
        <v>78</v>
      </c>
      <c r="N147" t="s">
        <v>79</v>
      </c>
      <c r="O147" t="s">
        <v>74</v>
      </c>
      <c r="P147" t="s">
        <v>74</v>
      </c>
      <c r="Q147" t="s">
        <v>74</v>
      </c>
      <c r="R147" t="s">
        <v>74</v>
      </c>
      <c r="S147" t="s">
        <v>74</v>
      </c>
      <c r="T147" t="s">
        <v>3042</v>
      </c>
      <c r="U147" t="s">
        <v>3043</v>
      </c>
      <c r="V147" t="s">
        <v>3044</v>
      </c>
      <c r="W147" t="s">
        <v>3045</v>
      </c>
      <c r="X147" t="s">
        <v>3046</v>
      </c>
      <c r="Y147" t="s">
        <v>3047</v>
      </c>
      <c r="Z147" t="s">
        <v>3048</v>
      </c>
      <c r="AA147" t="s">
        <v>3049</v>
      </c>
      <c r="AB147" t="s">
        <v>3050</v>
      </c>
      <c r="AC147" t="s">
        <v>3051</v>
      </c>
      <c r="AD147" t="s">
        <v>3051</v>
      </c>
      <c r="AE147" t="s">
        <v>3052</v>
      </c>
      <c r="AF147" t="s">
        <v>74</v>
      </c>
      <c r="AG147">
        <v>117</v>
      </c>
      <c r="AH147">
        <v>63</v>
      </c>
      <c r="AI147">
        <v>67</v>
      </c>
      <c r="AJ147">
        <v>3</v>
      </c>
      <c r="AK147">
        <v>64</v>
      </c>
      <c r="AL147" t="s">
        <v>935</v>
      </c>
      <c r="AM147" t="s">
        <v>369</v>
      </c>
      <c r="AN147" t="s">
        <v>936</v>
      </c>
      <c r="AO147" t="s">
        <v>3053</v>
      </c>
      <c r="AP147" t="s">
        <v>3054</v>
      </c>
      <c r="AQ147" t="s">
        <v>74</v>
      </c>
      <c r="AR147" t="s">
        <v>3055</v>
      </c>
      <c r="AS147" t="s">
        <v>3056</v>
      </c>
      <c r="AT147" t="s">
        <v>3034</v>
      </c>
      <c r="AU147">
        <v>2012</v>
      </c>
      <c r="AV147">
        <v>329</v>
      </c>
      <c r="AW147" t="s">
        <v>74</v>
      </c>
      <c r="AX147" t="s">
        <v>74</v>
      </c>
      <c r="AY147" t="s">
        <v>74</v>
      </c>
      <c r="AZ147" t="s">
        <v>74</v>
      </c>
      <c r="BA147" t="s">
        <v>74</v>
      </c>
      <c r="BB147">
        <v>22</v>
      </c>
      <c r="BC147">
        <v>36</v>
      </c>
      <c r="BD147" t="s">
        <v>74</v>
      </c>
      <c r="BE147" t="s">
        <v>3057</v>
      </c>
      <c r="BF147" t="str">
        <f>HYPERLINK("http://dx.doi.org/10.1016/j.palaeo.2012.02.003","http://dx.doi.org/10.1016/j.palaeo.2012.02.003")</f>
        <v>http://dx.doi.org/10.1016/j.palaeo.2012.02.003</v>
      </c>
      <c r="BG147" t="s">
        <v>74</v>
      </c>
      <c r="BH147" t="s">
        <v>74</v>
      </c>
      <c r="BI147">
        <v>15</v>
      </c>
      <c r="BJ147" t="s">
        <v>3058</v>
      </c>
      <c r="BK147" t="s">
        <v>99</v>
      </c>
      <c r="BL147" t="s">
        <v>3059</v>
      </c>
      <c r="BM147" t="s">
        <v>3060</v>
      </c>
      <c r="BN147" t="s">
        <v>74</v>
      </c>
      <c r="BO147" t="s">
        <v>74</v>
      </c>
      <c r="BP147" t="s">
        <v>74</v>
      </c>
      <c r="BQ147" t="s">
        <v>74</v>
      </c>
      <c r="BR147" t="s">
        <v>101</v>
      </c>
      <c r="BS147" t="s">
        <v>3061</v>
      </c>
      <c r="BT147" t="str">
        <f>HYPERLINK("https%3A%2F%2Fwww.webofscience.com%2Fwos%2Fwoscc%2Ffull-record%2FWOS:000303221500003","View Full Record in Web of Science")</f>
        <v>View Full Record in Web of Science</v>
      </c>
    </row>
    <row r="148" spans="1:72" x14ac:dyDescent="0.15">
      <c r="A148" t="s">
        <v>72</v>
      </c>
      <c r="B148" t="s">
        <v>3062</v>
      </c>
      <c r="C148" t="s">
        <v>74</v>
      </c>
      <c r="D148" t="s">
        <v>74</v>
      </c>
      <c r="E148" t="s">
        <v>74</v>
      </c>
      <c r="F148" t="s">
        <v>3063</v>
      </c>
      <c r="G148" t="s">
        <v>74</v>
      </c>
      <c r="H148" t="s">
        <v>74</v>
      </c>
      <c r="I148" t="s">
        <v>3064</v>
      </c>
      <c r="J148" t="s">
        <v>3065</v>
      </c>
      <c r="K148" t="s">
        <v>74</v>
      </c>
      <c r="L148" t="s">
        <v>74</v>
      </c>
      <c r="M148" t="s">
        <v>78</v>
      </c>
      <c r="N148" t="s">
        <v>1073</v>
      </c>
      <c r="O148" t="s">
        <v>74</v>
      </c>
      <c r="P148" t="s">
        <v>74</v>
      </c>
      <c r="Q148" t="s">
        <v>74</v>
      </c>
      <c r="R148" t="s">
        <v>74</v>
      </c>
      <c r="S148" t="s">
        <v>74</v>
      </c>
      <c r="T148" t="s">
        <v>3066</v>
      </c>
      <c r="U148" t="s">
        <v>3067</v>
      </c>
      <c r="V148" t="s">
        <v>3068</v>
      </c>
      <c r="W148" t="s">
        <v>3069</v>
      </c>
      <c r="X148" t="s">
        <v>3070</v>
      </c>
      <c r="Y148" t="s">
        <v>3071</v>
      </c>
      <c r="Z148" t="s">
        <v>3072</v>
      </c>
      <c r="AA148" t="s">
        <v>3073</v>
      </c>
      <c r="AB148" t="s">
        <v>3074</v>
      </c>
      <c r="AC148" t="s">
        <v>3075</v>
      </c>
      <c r="AD148" t="s">
        <v>3076</v>
      </c>
      <c r="AE148" t="s">
        <v>3077</v>
      </c>
      <c r="AF148" t="s">
        <v>74</v>
      </c>
      <c r="AG148">
        <v>238</v>
      </c>
      <c r="AH148">
        <v>87</v>
      </c>
      <c r="AI148">
        <v>100</v>
      </c>
      <c r="AJ148">
        <v>0</v>
      </c>
      <c r="AK148">
        <v>67</v>
      </c>
      <c r="AL148" t="s">
        <v>935</v>
      </c>
      <c r="AM148" t="s">
        <v>369</v>
      </c>
      <c r="AN148" t="s">
        <v>936</v>
      </c>
      <c r="AO148" t="s">
        <v>3078</v>
      </c>
      <c r="AP148" t="s">
        <v>3079</v>
      </c>
      <c r="AQ148" t="s">
        <v>74</v>
      </c>
      <c r="AR148" t="s">
        <v>3080</v>
      </c>
      <c r="AS148" t="s">
        <v>3081</v>
      </c>
      <c r="AT148" t="s">
        <v>3034</v>
      </c>
      <c r="AU148">
        <v>2012</v>
      </c>
      <c r="AV148">
        <v>251</v>
      </c>
      <c r="AW148" t="s">
        <v>74</v>
      </c>
      <c r="AX148" t="s">
        <v>74</v>
      </c>
      <c r="AY148" t="s">
        <v>74</v>
      </c>
      <c r="AZ148" t="s">
        <v>74</v>
      </c>
      <c r="BA148" t="s">
        <v>74</v>
      </c>
      <c r="BB148">
        <v>1</v>
      </c>
      <c r="BC148">
        <v>33</v>
      </c>
      <c r="BD148" t="s">
        <v>74</v>
      </c>
      <c r="BE148" t="s">
        <v>3082</v>
      </c>
      <c r="BF148" t="str">
        <f>HYPERLINK("http://dx.doi.org/10.1016/j.sedgeo.2012.01.008","http://dx.doi.org/10.1016/j.sedgeo.2012.01.008")</f>
        <v>http://dx.doi.org/10.1016/j.sedgeo.2012.01.008</v>
      </c>
      <c r="BG148" t="s">
        <v>74</v>
      </c>
      <c r="BH148" t="s">
        <v>74</v>
      </c>
      <c r="BI148">
        <v>33</v>
      </c>
      <c r="BJ148" t="s">
        <v>195</v>
      </c>
      <c r="BK148" t="s">
        <v>99</v>
      </c>
      <c r="BL148" t="s">
        <v>195</v>
      </c>
      <c r="BM148" t="s">
        <v>3083</v>
      </c>
      <c r="BN148" t="s">
        <v>74</v>
      </c>
      <c r="BO148" t="s">
        <v>74</v>
      </c>
      <c r="BP148" t="s">
        <v>74</v>
      </c>
      <c r="BQ148" t="s">
        <v>74</v>
      </c>
      <c r="BR148" t="s">
        <v>101</v>
      </c>
      <c r="BS148" t="s">
        <v>3084</v>
      </c>
      <c r="BT148" t="str">
        <f>HYPERLINK("https%3A%2F%2Fwww.webofscience.com%2Fwos%2Fwoscc%2Ffull-record%2FWOS:000302451600001","View Full Record in Web of Science")</f>
        <v>View Full Record in Web of Science</v>
      </c>
    </row>
    <row r="149" spans="1:72" x14ac:dyDescent="0.15">
      <c r="A149" t="s">
        <v>72</v>
      </c>
      <c r="B149" t="s">
        <v>3085</v>
      </c>
      <c r="C149" t="s">
        <v>74</v>
      </c>
      <c r="D149" t="s">
        <v>74</v>
      </c>
      <c r="E149" t="s">
        <v>74</v>
      </c>
      <c r="F149" t="s">
        <v>3086</v>
      </c>
      <c r="G149" t="s">
        <v>74</v>
      </c>
      <c r="H149" t="s">
        <v>74</v>
      </c>
      <c r="I149" t="s">
        <v>3087</v>
      </c>
      <c r="J149" t="s">
        <v>3088</v>
      </c>
      <c r="K149" t="s">
        <v>74</v>
      </c>
      <c r="L149" t="s">
        <v>74</v>
      </c>
      <c r="M149" t="s">
        <v>78</v>
      </c>
      <c r="N149" t="s">
        <v>79</v>
      </c>
      <c r="O149" t="s">
        <v>74</v>
      </c>
      <c r="P149" t="s">
        <v>74</v>
      </c>
      <c r="Q149" t="s">
        <v>74</v>
      </c>
      <c r="R149" t="s">
        <v>74</v>
      </c>
      <c r="S149" t="s">
        <v>74</v>
      </c>
      <c r="T149" t="s">
        <v>3089</v>
      </c>
      <c r="U149" t="s">
        <v>3090</v>
      </c>
      <c r="V149" t="s">
        <v>3091</v>
      </c>
      <c r="W149" t="s">
        <v>3092</v>
      </c>
      <c r="X149" t="s">
        <v>3093</v>
      </c>
      <c r="Y149" t="s">
        <v>3094</v>
      </c>
      <c r="Z149" t="s">
        <v>3095</v>
      </c>
      <c r="AA149" t="s">
        <v>3096</v>
      </c>
      <c r="AB149" t="s">
        <v>3097</v>
      </c>
      <c r="AC149" t="s">
        <v>3098</v>
      </c>
      <c r="AD149" t="s">
        <v>3099</v>
      </c>
      <c r="AE149" t="s">
        <v>3100</v>
      </c>
      <c r="AF149" t="s">
        <v>74</v>
      </c>
      <c r="AG149">
        <v>32</v>
      </c>
      <c r="AH149">
        <v>14</v>
      </c>
      <c r="AI149">
        <v>16</v>
      </c>
      <c r="AJ149">
        <v>0</v>
      </c>
      <c r="AK149">
        <v>16</v>
      </c>
      <c r="AL149" t="s">
        <v>1964</v>
      </c>
      <c r="AM149" t="s">
        <v>1965</v>
      </c>
      <c r="AN149" t="s">
        <v>1966</v>
      </c>
      <c r="AO149" t="s">
        <v>3101</v>
      </c>
      <c r="AP149" t="s">
        <v>3102</v>
      </c>
      <c r="AQ149" t="s">
        <v>74</v>
      </c>
      <c r="AR149" t="s">
        <v>3103</v>
      </c>
      <c r="AS149" t="s">
        <v>3104</v>
      </c>
      <c r="AT149" t="s">
        <v>3105</v>
      </c>
      <c r="AU149">
        <v>2012</v>
      </c>
      <c r="AV149">
        <v>420</v>
      </c>
      <c r="AW149">
        <v>3</v>
      </c>
      <c r="AX149" t="s">
        <v>74</v>
      </c>
      <c r="AY149" t="s">
        <v>74</v>
      </c>
      <c r="AZ149" t="s">
        <v>74</v>
      </c>
      <c r="BA149" t="s">
        <v>74</v>
      </c>
      <c r="BB149">
        <v>542</v>
      </c>
      <c r="BC149">
        <v>546</v>
      </c>
      <c r="BD149" t="s">
        <v>74</v>
      </c>
      <c r="BE149" t="s">
        <v>3106</v>
      </c>
      <c r="BF149" t="str">
        <f>HYPERLINK("http://dx.doi.org/10.1016/j.bbrc.2012.03.028","http://dx.doi.org/10.1016/j.bbrc.2012.03.028")</f>
        <v>http://dx.doi.org/10.1016/j.bbrc.2012.03.028</v>
      </c>
      <c r="BG149" t="s">
        <v>74</v>
      </c>
      <c r="BH149" t="s">
        <v>74</v>
      </c>
      <c r="BI149">
        <v>5</v>
      </c>
      <c r="BJ149" t="s">
        <v>3107</v>
      </c>
      <c r="BK149" t="s">
        <v>99</v>
      </c>
      <c r="BL149" t="s">
        <v>3107</v>
      </c>
      <c r="BM149" t="s">
        <v>3108</v>
      </c>
      <c r="BN149">
        <v>22440394</v>
      </c>
      <c r="BO149" t="s">
        <v>74</v>
      </c>
      <c r="BP149" t="s">
        <v>74</v>
      </c>
      <c r="BQ149" t="s">
        <v>74</v>
      </c>
      <c r="BR149" t="s">
        <v>101</v>
      </c>
      <c r="BS149" t="s">
        <v>3109</v>
      </c>
      <c r="BT149" t="str">
        <f>HYPERLINK("https%3A%2F%2Fwww.webofscience.com%2Fwos%2Fwoscc%2Ffull-record%2FWOS:000303274100010","View Full Record in Web of Science")</f>
        <v>View Full Record in Web of Science</v>
      </c>
    </row>
    <row r="150" spans="1:72" x14ac:dyDescent="0.15">
      <c r="A150" t="s">
        <v>72</v>
      </c>
      <c r="B150" t="s">
        <v>3110</v>
      </c>
      <c r="C150" t="s">
        <v>74</v>
      </c>
      <c r="D150" t="s">
        <v>74</v>
      </c>
      <c r="E150" t="s">
        <v>74</v>
      </c>
      <c r="F150" t="s">
        <v>3111</v>
      </c>
      <c r="G150" t="s">
        <v>74</v>
      </c>
      <c r="H150" t="s">
        <v>74</v>
      </c>
      <c r="I150" t="s">
        <v>3112</v>
      </c>
      <c r="J150" t="s">
        <v>106</v>
      </c>
      <c r="K150" t="s">
        <v>74</v>
      </c>
      <c r="L150" t="s">
        <v>74</v>
      </c>
      <c r="M150" t="s">
        <v>78</v>
      </c>
      <c r="N150" t="s">
        <v>79</v>
      </c>
      <c r="O150" t="s">
        <v>74</v>
      </c>
      <c r="P150" t="s">
        <v>74</v>
      </c>
      <c r="Q150" t="s">
        <v>74</v>
      </c>
      <c r="R150" t="s">
        <v>74</v>
      </c>
      <c r="S150" t="s">
        <v>74</v>
      </c>
      <c r="T150" t="s">
        <v>74</v>
      </c>
      <c r="U150" t="s">
        <v>3113</v>
      </c>
      <c r="V150" t="s">
        <v>3114</v>
      </c>
      <c r="W150" t="s">
        <v>3115</v>
      </c>
      <c r="X150" t="s">
        <v>3116</v>
      </c>
      <c r="Y150" t="s">
        <v>3117</v>
      </c>
      <c r="Z150" t="s">
        <v>3118</v>
      </c>
      <c r="AA150" t="s">
        <v>3119</v>
      </c>
      <c r="AB150" t="s">
        <v>3120</v>
      </c>
      <c r="AC150" t="s">
        <v>3121</v>
      </c>
      <c r="AD150" t="s">
        <v>3122</v>
      </c>
      <c r="AE150" t="s">
        <v>3123</v>
      </c>
      <c r="AF150" t="s">
        <v>74</v>
      </c>
      <c r="AG150">
        <v>65</v>
      </c>
      <c r="AH150">
        <v>117</v>
      </c>
      <c r="AI150">
        <v>127</v>
      </c>
      <c r="AJ150">
        <v>3</v>
      </c>
      <c r="AK150">
        <v>50</v>
      </c>
      <c r="AL150" t="s">
        <v>118</v>
      </c>
      <c r="AM150" t="s">
        <v>119</v>
      </c>
      <c r="AN150" t="s">
        <v>120</v>
      </c>
      <c r="AO150" t="s">
        <v>121</v>
      </c>
      <c r="AP150" t="s">
        <v>122</v>
      </c>
      <c r="AQ150" t="s">
        <v>74</v>
      </c>
      <c r="AR150" t="s">
        <v>123</v>
      </c>
      <c r="AS150" t="s">
        <v>124</v>
      </c>
      <c r="AT150" t="s">
        <v>3105</v>
      </c>
      <c r="AU150">
        <v>2012</v>
      </c>
      <c r="AV150">
        <v>117</v>
      </c>
      <c r="AW150" t="s">
        <v>74</v>
      </c>
      <c r="AX150" t="s">
        <v>74</v>
      </c>
      <c r="AY150" t="s">
        <v>74</v>
      </c>
      <c r="AZ150" t="s">
        <v>74</v>
      </c>
      <c r="BA150" t="s">
        <v>74</v>
      </c>
      <c r="BB150" t="s">
        <v>74</v>
      </c>
      <c r="BC150" t="s">
        <v>74</v>
      </c>
      <c r="BD150" t="s">
        <v>3124</v>
      </c>
      <c r="BE150" t="s">
        <v>3125</v>
      </c>
      <c r="BF150" t="str">
        <f>HYPERLINK("http://dx.doi.org/10.1029/2011JD017337","http://dx.doi.org/10.1029/2011JD017337")</f>
        <v>http://dx.doi.org/10.1029/2011JD017337</v>
      </c>
      <c r="BG150" t="s">
        <v>74</v>
      </c>
      <c r="BH150" t="s">
        <v>74</v>
      </c>
      <c r="BI150">
        <v>22</v>
      </c>
      <c r="BJ150" t="s">
        <v>128</v>
      </c>
      <c r="BK150" t="s">
        <v>99</v>
      </c>
      <c r="BL150" t="s">
        <v>128</v>
      </c>
      <c r="BM150" t="s">
        <v>3126</v>
      </c>
      <c r="BN150" t="s">
        <v>74</v>
      </c>
      <c r="BO150" t="s">
        <v>822</v>
      </c>
      <c r="BP150" t="s">
        <v>74</v>
      </c>
      <c r="BQ150" t="s">
        <v>74</v>
      </c>
      <c r="BR150" t="s">
        <v>101</v>
      </c>
      <c r="BS150" t="s">
        <v>3127</v>
      </c>
      <c r="BT150" t="str">
        <f>HYPERLINK("https%3A%2F%2Fwww.webofscience.com%2Fwos%2Fwoscc%2Ffull-record%2FWOS:000302876800004","View Full Record in Web of Science")</f>
        <v>View Full Record in Web of Science</v>
      </c>
    </row>
    <row r="151" spans="1:72" x14ac:dyDescent="0.15">
      <c r="A151" t="s">
        <v>72</v>
      </c>
      <c r="B151" t="s">
        <v>3128</v>
      </c>
      <c r="C151" t="s">
        <v>74</v>
      </c>
      <c r="D151" t="s">
        <v>74</v>
      </c>
      <c r="E151" t="s">
        <v>74</v>
      </c>
      <c r="F151" t="s">
        <v>3129</v>
      </c>
      <c r="G151" t="s">
        <v>74</v>
      </c>
      <c r="H151" t="s">
        <v>74</v>
      </c>
      <c r="I151" t="s">
        <v>3130</v>
      </c>
      <c r="J151" t="s">
        <v>502</v>
      </c>
      <c r="K151" t="s">
        <v>74</v>
      </c>
      <c r="L151" t="s">
        <v>74</v>
      </c>
      <c r="M151" t="s">
        <v>78</v>
      </c>
      <c r="N151" t="s">
        <v>79</v>
      </c>
      <c r="O151" t="s">
        <v>74</v>
      </c>
      <c r="P151" t="s">
        <v>74</v>
      </c>
      <c r="Q151" t="s">
        <v>74</v>
      </c>
      <c r="R151" t="s">
        <v>74</v>
      </c>
      <c r="S151" t="s">
        <v>74</v>
      </c>
      <c r="T151" t="s">
        <v>74</v>
      </c>
      <c r="U151" t="s">
        <v>3131</v>
      </c>
      <c r="V151" t="s">
        <v>3132</v>
      </c>
      <c r="W151" t="s">
        <v>3133</v>
      </c>
      <c r="X151" t="s">
        <v>3134</v>
      </c>
      <c r="Y151" t="s">
        <v>3135</v>
      </c>
      <c r="Z151" t="s">
        <v>3136</v>
      </c>
      <c r="AA151" t="s">
        <v>74</v>
      </c>
      <c r="AB151" t="s">
        <v>3137</v>
      </c>
      <c r="AC151" t="s">
        <v>3138</v>
      </c>
      <c r="AD151" t="s">
        <v>3139</v>
      </c>
      <c r="AE151" t="s">
        <v>3140</v>
      </c>
      <c r="AF151" t="s">
        <v>74</v>
      </c>
      <c r="AG151">
        <v>39</v>
      </c>
      <c r="AH151">
        <v>201</v>
      </c>
      <c r="AI151">
        <v>237</v>
      </c>
      <c r="AJ151">
        <v>4</v>
      </c>
      <c r="AK151">
        <v>121</v>
      </c>
      <c r="AL151" t="s">
        <v>513</v>
      </c>
      <c r="AM151" t="s">
        <v>514</v>
      </c>
      <c r="AN151" t="s">
        <v>515</v>
      </c>
      <c r="AO151" t="s">
        <v>516</v>
      </c>
      <c r="AP151" t="s">
        <v>74</v>
      </c>
      <c r="AQ151" t="s">
        <v>74</v>
      </c>
      <c r="AR151" t="s">
        <v>502</v>
      </c>
      <c r="AS151" t="s">
        <v>517</v>
      </c>
      <c r="AT151" t="s">
        <v>3105</v>
      </c>
      <c r="AU151">
        <v>2012</v>
      </c>
      <c r="AV151">
        <v>7</v>
      </c>
      <c r="AW151">
        <v>4</v>
      </c>
      <c r="AX151" t="s">
        <v>74</v>
      </c>
      <c r="AY151" t="s">
        <v>74</v>
      </c>
      <c r="AZ151" t="s">
        <v>74</v>
      </c>
      <c r="BA151" t="s">
        <v>74</v>
      </c>
      <c r="BB151" t="s">
        <v>74</v>
      </c>
      <c r="BC151" t="s">
        <v>74</v>
      </c>
      <c r="BD151" t="s">
        <v>3141</v>
      </c>
      <c r="BE151" t="s">
        <v>3142</v>
      </c>
      <c r="BF151" t="str">
        <f>HYPERLINK("http://dx.doi.org/10.1371/journal.pone.0033751","http://dx.doi.org/10.1371/journal.pone.0033751")</f>
        <v>http://dx.doi.org/10.1371/journal.pone.0033751</v>
      </c>
      <c r="BG151" t="s">
        <v>74</v>
      </c>
      <c r="BH151" t="s">
        <v>74</v>
      </c>
      <c r="BI151">
        <v>11</v>
      </c>
      <c r="BJ151" t="s">
        <v>153</v>
      </c>
      <c r="BK151" t="s">
        <v>99</v>
      </c>
      <c r="BL151" t="s">
        <v>154</v>
      </c>
      <c r="BM151" t="s">
        <v>3143</v>
      </c>
      <c r="BN151">
        <v>22514609</v>
      </c>
      <c r="BO151" t="s">
        <v>3144</v>
      </c>
      <c r="BP151" t="s">
        <v>74</v>
      </c>
      <c r="BQ151" t="s">
        <v>74</v>
      </c>
      <c r="BR151" t="s">
        <v>101</v>
      </c>
      <c r="BS151" t="s">
        <v>3145</v>
      </c>
      <c r="BT151" t="str">
        <f>HYPERLINK("https%3A%2F%2Fwww.webofscience.com%2Fwos%2Fwoscc%2Ffull-record%2FWOS:000305341600014","View Full Record in Web of Science")</f>
        <v>View Full Record in Web of Science</v>
      </c>
    </row>
    <row r="152" spans="1:72" x14ac:dyDescent="0.15">
      <c r="A152" t="s">
        <v>72</v>
      </c>
      <c r="B152" t="s">
        <v>3146</v>
      </c>
      <c r="C152" t="s">
        <v>74</v>
      </c>
      <c r="D152" t="s">
        <v>74</v>
      </c>
      <c r="E152" t="s">
        <v>74</v>
      </c>
      <c r="F152" t="s">
        <v>3147</v>
      </c>
      <c r="G152" t="s">
        <v>74</v>
      </c>
      <c r="H152" t="s">
        <v>74</v>
      </c>
      <c r="I152" t="s">
        <v>3148</v>
      </c>
      <c r="J152" t="s">
        <v>3149</v>
      </c>
      <c r="K152" t="s">
        <v>74</v>
      </c>
      <c r="L152" t="s">
        <v>74</v>
      </c>
      <c r="M152" t="s">
        <v>78</v>
      </c>
      <c r="N152" t="s">
        <v>79</v>
      </c>
      <c r="O152" t="s">
        <v>74</v>
      </c>
      <c r="P152" t="s">
        <v>74</v>
      </c>
      <c r="Q152" t="s">
        <v>74</v>
      </c>
      <c r="R152" t="s">
        <v>74</v>
      </c>
      <c r="S152" t="s">
        <v>74</v>
      </c>
      <c r="T152" t="s">
        <v>74</v>
      </c>
      <c r="U152" t="s">
        <v>3150</v>
      </c>
      <c r="V152" t="s">
        <v>3151</v>
      </c>
      <c r="W152" t="s">
        <v>3152</v>
      </c>
      <c r="X152" t="s">
        <v>3153</v>
      </c>
      <c r="Y152" t="s">
        <v>3154</v>
      </c>
      <c r="Z152" t="s">
        <v>3155</v>
      </c>
      <c r="AA152" t="s">
        <v>3156</v>
      </c>
      <c r="AB152" t="s">
        <v>74</v>
      </c>
      <c r="AC152" t="s">
        <v>3157</v>
      </c>
      <c r="AD152" t="s">
        <v>3158</v>
      </c>
      <c r="AE152" t="s">
        <v>3159</v>
      </c>
      <c r="AF152" t="s">
        <v>74</v>
      </c>
      <c r="AG152">
        <v>61</v>
      </c>
      <c r="AH152">
        <v>60</v>
      </c>
      <c r="AI152">
        <v>62</v>
      </c>
      <c r="AJ152">
        <v>0</v>
      </c>
      <c r="AK152">
        <v>26</v>
      </c>
      <c r="AL152" t="s">
        <v>118</v>
      </c>
      <c r="AM152" t="s">
        <v>119</v>
      </c>
      <c r="AN152" t="s">
        <v>120</v>
      </c>
      <c r="AO152" t="s">
        <v>3160</v>
      </c>
      <c r="AP152" t="s">
        <v>3161</v>
      </c>
      <c r="AQ152" t="s">
        <v>74</v>
      </c>
      <c r="AR152" t="s">
        <v>3162</v>
      </c>
      <c r="AS152" t="s">
        <v>3163</v>
      </c>
      <c r="AT152" t="s">
        <v>3164</v>
      </c>
      <c r="AU152">
        <v>2012</v>
      </c>
      <c r="AV152">
        <v>117</v>
      </c>
      <c r="AW152" t="s">
        <v>74</v>
      </c>
      <c r="AX152" t="s">
        <v>74</v>
      </c>
      <c r="AY152" t="s">
        <v>74</v>
      </c>
      <c r="AZ152" t="s">
        <v>74</v>
      </c>
      <c r="BA152" t="s">
        <v>74</v>
      </c>
      <c r="BB152" t="s">
        <v>74</v>
      </c>
      <c r="BC152" t="s">
        <v>74</v>
      </c>
      <c r="BD152" t="s">
        <v>3165</v>
      </c>
      <c r="BE152" t="s">
        <v>3166</v>
      </c>
      <c r="BF152" t="str">
        <f>HYPERLINK("http://dx.doi.org/10.1029/2011JF002201","http://dx.doi.org/10.1029/2011JF002201")</f>
        <v>http://dx.doi.org/10.1029/2011JF002201</v>
      </c>
      <c r="BG152" t="s">
        <v>74</v>
      </c>
      <c r="BH152" t="s">
        <v>74</v>
      </c>
      <c r="BI152">
        <v>10</v>
      </c>
      <c r="BJ152" t="s">
        <v>194</v>
      </c>
      <c r="BK152" t="s">
        <v>99</v>
      </c>
      <c r="BL152" t="s">
        <v>195</v>
      </c>
      <c r="BM152" t="s">
        <v>3167</v>
      </c>
      <c r="BN152" t="s">
        <v>74</v>
      </c>
      <c r="BO152" t="s">
        <v>3168</v>
      </c>
      <c r="BP152" t="s">
        <v>74</v>
      </c>
      <c r="BQ152" t="s">
        <v>74</v>
      </c>
      <c r="BR152" t="s">
        <v>101</v>
      </c>
      <c r="BS152" t="s">
        <v>3169</v>
      </c>
      <c r="BT152" t="str">
        <f>HYPERLINK("https%3A%2F%2Fwww.webofscience.com%2Fwos%2Fwoscc%2Ffull-record%2FWOS:000302896500002","View Full Record in Web of Science")</f>
        <v>View Full Record in Web of Science</v>
      </c>
    </row>
    <row r="153" spans="1:72" x14ac:dyDescent="0.15">
      <c r="A153" t="s">
        <v>72</v>
      </c>
      <c r="B153" t="s">
        <v>3170</v>
      </c>
      <c r="C153" t="s">
        <v>74</v>
      </c>
      <c r="D153" t="s">
        <v>74</v>
      </c>
      <c r="E153" t="s">
        <v>74</v>
      </c>
      <c r="F153" t="s">
        <v>3171</v>
      </c>
      <c r="G153" t="s">
        <v>74</v>
      </c>
      <c r="H153" t="s">
        <v>74</v>
      </c>
      <c r="I153" t="s">
        <v>3172</v>
      </c>
      <c r="J153" t="s">
        <v>502</v>
      </c>
      <c r="K153" t="s">
        <v>74</v>
      </c>
      <c r="L153" t="s">
        <v>74</v>
      </c>
      <c r="M153" t="s">
        <v>78</v>
      </c>
      <c r="N153" t="s">
        <v>79</v>
      </c>
      <c r="O153" t="s">
        <v>74</v>
      </c>
      <c r="P153" t="s">
        <v>74</v>
      </c>
      <c r="Q153" t="s">
        <v>74</v>
      </c>
      <c r="R153" t="s">
        <v>74</v>
      </c>
      <c r="S153" t="s">
        <v>74</v>
      </c>
      <c r="T153" t="s">
        <v>74</v>
      </c>
      <c r="U153" t="s">
        <v>3173</v>
      </c>
      <c r="V153" t="s">
        <v>3174</v>
      </c>
      <c r="W153" t="s">
        <v>3175</v>
      </c>
      <c r="X153" t="s">
        <v>3176</v>
      </c>
      <c r="Y153" t="s">
        <v>3177</v>
      </c>
      <c r="Z153" t="s">
        <v>3178</v>
      </c>
      <c r="AA153" t="s">
        <v>74</v>
      </c>
      <c r="AB153" t="s">
        <v>3179</v>
      </c>
      <c r="AC153" t="s">
        <v>3180</v>
      </c>
      <c r="AD153" t="s">
        <v>3181</v>
      </c>
      <c r="AE153" t="s">
        <v>3182</v>
      </c>
      <c r="AF153" t="s">
        <v>74</v>
      </c>
      <c r="AG153">
        <v>44</v>
      </c>
      <c r="AH153">
        <v>38</v>
      </c>
      <c r="AI153">
        <v>39</v>
      </c>
      <c r="AJ153">
        <v>0</v>
      </c>
      <c r="AK153">
        <v>31</v>
      </c>
      <c r="AL153" t="s">
        <v>513</v>
      </c>
      <c r="AM153" t="s">
        <v>514</v>
      </c>
      <c r="AN153" t="s">
        <v>515</v>
      </c>
      <c r="AO153" t="s">
        <v>516</v>
      </c>
      <c r="AP153" t="s">
        <v>74</v>
      </c>
      <c r="AQ153" t="s">
        <v>74</v>
      </c>
      <c r="AR153" t="s">
        <v>502</v>
      </c>
      <c r="AS153" t="s">
        <v>517</v>
      </c>
      <c r="AT153" t="s">
        <v>3183</v>
      </c>
      <c r="AU153">
        <v>2012</v>
      </c>
      <c r="AV153">
        <v>7</v>
      </c>
      <c r="AW153">
        <v>4</v>
      </c>
      <c r="AX153" t="s">
        <v>74</v>
      </c>
      <c r="AY153" t="s">
        <v>74</v>
      </c>
      <c r="AZ153" t="s">
        <v>74</v>
      </c>
      <c r="BA153" t="s">
        <v>74</v>
      </c>
      <c r="BB153" t="s">
        <v>74</v>
      </c>
      <c r="BC153" t="s">
        <v>74</v>
      </c>
      <c r="BD153" t="s">
        <v>3184</v>
      </c>
      <c r="BE153" t="s">
        <v>3185</v>
      </c>
      <c r="BF153" t="str">
        <f>HYPERLINK("http://dx.doi.org/10.1371/journal.pone.0034655","http://dx.doi.org/10.1371/journal.pone.0034655")</f>
        <v>http://dx.doi.org/10.1371/journal.pone.0034655</v>
      </c>
      <c r="BG153" t="s">
        <v>74</v>
      </c>
      <c r="BH153" t="s">
        <v>74</v>
      </c>
      <c r="BI153">
        <v>9</v>
      </c>
      <c r="BJ153" t="s">
        <v>153</v>
      </c>
      <c r="BK153" t="s">
        <v>99</v>
      </c>
      <c r="BL153" t="s">
        <v>154</v>
      </c>
      <c r="BM153" t="s">
        <v>3186</v>
      </c>
      <c r="BN153">
        <v>22509340</v>
      </c>
      <c r="BO153" t="s">
        <v>3187</v>
      </c>
      <c r="BP153" t="s">
        <v>74</v>
      </c>
      <c r="BQ153" t="s">
        <v>74</v>
      </c>
      <c r="BR153" t="s">
        <v>101</v>
      </c>
      <c r="BS153" t="s">
        <v>3188</v>
      </c>
      <c r="BT153" t="str">
        <f>HYPERLINK("https%3A%2F%2Fwww.webofscience.com%2Fwos%2Fwoscc%2Ffull-record%2FWOS:000305336600045","View Full Record in Web of Science")</f>
        <v>View Full Record in Web of Science</v>
      </c>
    </row>
    <row r="154" spans="1:72" x14ac:dyDescent="0.15">
      <c r="A154" t="s">
        <v>72</v>
      </c>
      <c r="B154" t="s">
        <v>3189</v>
      </c>
      <c r="C154" t="s">
        <v>74</v>
      </c>
      <c r="D154" t="s">
        <v>74</v>
      </c>
      <c r="E154" t="s">
        <v>74</v>
      </c>
      <c r="F154" t="s">
        <v>3190</v>
      </c>
      <c r="G154" t="s">
        <v>74</v>
      </c>
      <c r="H154" t="s">
        <v>74</v>
      </c>
      <c r="I154" t="s">
        <v>3191</v>
      </c>
      <c r="J154" t="s">
        <v>333</v>
      </c>
      <c r="K154" t="s">
        <v>74</v>
      </c>
      <c r="L154" t="s">
        <v>74</v>
      </c>
      <c r="M154" t="s">
        <v>78</v>
      </c>
      <c r="N154" t="s">
        <v>79</v>
      </c>
      <c r="O154" t="s">
        <v>74</v>
      </c>
      <c r="P154" t="s">
        <v>74</v>
      </c>
      <c r="Q154" t="s">
        <v>74</v>
      </c>
      <c r="R154" t="s">
        <v>74</v>
      </c>
      <c r="S154" t="s">
        <v>74</v>
      </c>
      <c r="T154" t="s">
        <v>74</v>
      </c>
      <c r="U154" t="s">
        <v>3192</v>
      </c>
      <c r="V154" t="s">
        <v>3193</v>
      </c>
      <c r="W154" t="s">
        <v>3194</v>
      </c>
      <c r="X154" t="s">
        <v>3195</v>
      </c>
      <c r="Y154" t="s">
        <v>3196</v>
      </c>
      <c r="Z154" t="s">
        <v>3197</v>
      </c>
      <c r="AA154" t="s">
        <v>3198</v>
      </c>
      <c r="AB154" t="s">
        <v>3199</v>
      </c>
      <c r="AC154" t="s">
        <v>3200</v>
      </c>
      <c r="AD154" t="s">
        <v>3201</v>
      </c>
      <c r="AE154" t="s">
        <v>3202</v>
      </c>
      <c r="AF154" t="s">
        <v>74</v>
      </c>
      <c r="AG154">
        <v>56</v>
      </c>
      <c r="AH154">
        <v>68</v>
      </c>
      <c r="AI154">
        <v>72</v>
      </c>
      <c r="AJ154">
        <v>2</v>
      </c>
      <c r="AK154">
        <v>43</v>
      </c>
      <c r="AL154" t="s">
        <v>118</v>
      </c>
      <c r="AM154" t="s">
        <v>119</v>
      </c>
      <c r="AN154" t="s">
        <v>120</v>
      </c>
      <c r="AO154" t="s">
        <v>344</v>
      </c>
      <c r="AP154" t="s">
        <v>345</v>
      </c>
      <c r="AQ154" t="s">
        <v>74</v>
      </c>
      <c r="AR154" t="s">
        <v>346</v>
      </c>
      <c r="AS154" t="s">
        <v>347</v>
      </c>
      <c r="AT154" t="s">
        <v>3203</v>
      </c>
      <c r="AU154">
        <v>2012</v>
      </c>
      <c r="AV154">
        <v>117</v>
      </c>
      <c r="AW154" t="s">
        <v>74</v>
      </c>
      <c r="AX154" t="s">
        <v>74</v>
      </c>
      <c r="AY154" t="s">
        <v>74</v>
      </c>
      <c r="AZ154" t="s">
        <v>74</v>
      </c>
      <c r="BA154" t="s">
        <v>74</v>
      </c>
      <c r="BB154" t="s">
        <v>74</v>
      </c>
      <c r="BC154" t="s">
        <v>74</v>
      </c>
      <c r="BD154" t="s">
        <v>3204</v>
      </c>
      <c r="BE154" t="s">
        <v>3205</v>
      </c>
      <c r="BF154" t="str">
        <f>HYPERLINK("http://dx.doi.org/10.1029/2011JC007651","http://dx.doi.org/10.1029/2011JC007651")</f>
        <v>http://dx.doi.org/10.1029/2011JC007651</v>
      </c>
      <c r="BG154" t="s">
        <v>74</v>
      </c>
      <c r="BH154" t="s">
        <v>74</v>
      </c>
      <c r="BI154">
        <v>13</v>
      </c>
      <c r="BJ154" t="s">
        <v>350</v>
      </c>
      <c r="BK154" t="s">
        <v>99</v>
      </c>
      <c r="BL154" t="s">
        <v>350</v>
      </c>
      <c r="BM154" t="s">
        <v>3206</v>
      </c>
      <c r="BN154" t="s">
        <v>74</v>
      </c>
      <c r="BO154" t="s">
        <v>130</v>
      </c>
      <c r="BP154" t="s">
        <v>74</v>
      </c>
      <c r="BQ154" t="s">
        <v>74</v>
      </c>
      <c r="BR154" t="s">
        <v>101</v>
      </c>
      <c r="BS154" t="s">
        <v>3207</v>
      </c>
      <c r="BT154" t="str">
        <f>HYPERLINK("https%3A%2F%2Fwww.webofscience.com%2Fwos%2Fwoscc%2Ffull-record%2FWOS:000302857000002","View Full Record in Web of Science")</f>
        <v>View Full Record in Web of Science</v>
      </c>
    </row>
    <row r="155" spans="1:72" x14ac:dyDescent="0.15">
      <c r="A155" t="s">
        <v>72</v>
      </c>
      <c r="B155" t="s">
        <v>3208</v>
      </c>
      <c r="C155" t="s">
        <v>74</v>
      </c>
      <c r="D155" t="s">
        <v>74</v>
      </c>
      <c r="E155" t="s">
        <v>74</v>
      </c>
      <c r="F155" t="s">
        <v>3209</v>
      </c>
      <c r="G155" t="s">
        <v>74</v>
      </c>
      <c r="H155" t="s">
        <v>74</v>
      </c>
      <c r="I155" t="s">
        <v>3210</v>
      </c>
      <c r="J155" t="s">
        <v>420</v>
      </c>
      <c r="K155" t="s">
        <v>74</v>
      </c>
      <c r="L155" t="s">
        <v>74</v>
      </c>
      <c r="M155" t="s">
        <v>78</v>
      </c>
      <c r="N155" t="s">
        <v>79</v>
      </c>
      <c r="O155" t="s">
        <v>74</v>
      </c>
      <c r="P155" t="s">
        <v>74</v>
      </c>
      <c r="Q155" t="s">
        <v>74</v>
      </c>
      <c r="R155" t="s">
        <v>74</v>
      </c>
      <c r="S155" t="s">
        <v>74</v>
      </c>
      <c r="T155" t="s">
        <v>74</v>
      </c>
      <c r="U155" t="s">
        <v>3211</v>
      </c>
      <c r="V155" t="s">
        <v>3212</v>
      </c>
      <c r="W155" t="s">
        <v>3213</v>
      </c>
      <c r="X155" t="s">
        <v>3214</v>
      </c>
      <c r="Y155" t="s">
        <v>3215</v>
      </c>
      <c r="Z155" t="s">
        <v>3216</v>
      </c>
      <c r="AA155" t="s">
        <v>3217</v>
      </c>
      <c r="AB155" t="s">
        <v>3218</v>
      </c>
      <c r="AC155" t="s">
        <v>3219</v>
      </c>
      <c r="AD155" t="s">
        <v>3220</v>
      </c>
      <c r="AE155" t="s">
        <v>3221</v>
      </c>
      <c r="AF155" t="s">
        <v>74</v>
      </c>
      <c r="AG155">
        <v>67</v>
      </c>
      <c r="AH155">
        <v>24</v>
      </c>
      <c r="AI155">
        <v>24</v>
      </c>
      <c r="AJ155">
        <v>0</v>
      </c>
      <c r="AK155">
        <v>12</v>
      </c>
      <c r="AL155" t="s">
        <v>118</v>
      </c>
      <c r="AM155" t="s">
        <v>119</v>
      </c>
      <c r="AN155" t="s">
        <v>120</v>
      </c>
      <c r="AO155" t="s">
        <v>432</v>
      </c>
      <c r="AP155" t="s">
        <v>433</v>
      </c>
      <c r="AQ155" t="s">
        <v>74</v>
      </c>
      <c r="AR155" t="s">
        <v>434</v>
      </c>
      <c r="AS155" t="s">
        <v>435</v>
      </c>
      <c r="AT155" t="s">
        <v>3203</v>
      </c>
      <c r="AU155">
        <v>2012</v>
      </c>
      <c r="AV155">
        <v>117</v>
      </c>
      <c r="AW155" t="s">
        <v>74</v>
      </c>
      <c r="AX155" t="s">
        <v>74</v>
      </c>
      <c r="AY155" t="s">
        <v>74</v>
      </c>
      <c r="AZ155" t="s">
        <v>74</v>
      </c>
      <c r="BA155" t="s">
        <v>74</v>
      </c>
      <c r="BB155" t="s">
        <v>74</v>
      </c>
      <c r="BC155" t="s">
        <v>74</v>
      </c>
      <c r="BD155" t="s">
        <v>3222</v>
      </c>
      <c r="BE155" t="s">
        <v>3223</v>
      </c>
      <c r="BF155" t="str">
        <f>HYPERLINK("http://dx.doi.org/10.1029/2011JA017120","http://dx.doi.org/10.1029/2011JA017120")</f>
        <v>http://dx.doi.org/10.1029/2011JA017120</v>
      </c>
      <c r="BG155" t="s">
        <v>74</v>
      </c>
      <c r="BH155" t="s">
        <v>74</v>
      </c>
      <c r="BI155">
        <v>18</v>
      </c>
      <c r="BJ155" t="s">
        <v>438</v>
      </c>
      <c r="BK155" t="s">
        <v>99</v>
      </c>
      <c r="BL155" t="s">
        <v>438</v>
      </c>
      <c r="BM155" t="s">
        <v>3224</v>
      </c>
      <c r="BN155" t="s">
        <v>74</v>
      </c>
      <c r="BO155" t="s">
        <v>217</v>
      </c>
      <c r="BP155" t="s">
        <v>74</v>
      </c>
      <c r="BQ155" t="s">
        <v>74</v>
      </c>
      <c r="BR155" t="s">
        <v>101</v>
      </c>
      <c r="BS155" t="s">
        <v>3225</v>
      </c>
      <c r="BT155" t="str">
        <f>HYPERLINK("https%3A%2F%2Fwww.webofscience.com%2Fwos%2Fwoscc%2Ffull-record%2FWOS:000302871900001","View Full Record in Web of Science")</f>
        <v>View Full Record in Web of Science</v>
      </c>
    </row>
    <row r="156" spans="1:72" x14ac:dyDescent="0.15">
      <c r="A156" t="s">
        <v>72</v>
      </c>
      <c r="B156" t="s">
        <v>3226</v>
      </c>
      <c r="C156" t="s">
        <v>74</v>
      </c>
      <c r="D156" t="s">
        <v>74</v>
      </c>
      <c r="E156" t="s">
        <v>74</v>
      </c>
      <c r="F156" t="s">
        <v>3227</v>
      </c>
      <c r="G156" t="s">
        <v>74</v>
      </c>
      <c r="H156" t="s">
        <v>74</v>
      </c>
      <c r="I156" t="s">
        <v>3228</v>
      </c>
      <c r="J156" t="s">
        <v>3229</v>
      </c>
      <c r="K156" t="s">
        <v>74</v>
      </c>
      <c r="L156" t="s">
        <v>74</v>
      </c>
      <c r="M156" t="s">
        <v>78</v>
      </c>
      <c r="N156" t="s">
        <v>79</v>
      </c>
      <c r="O156" t="s">
        <v>74</v>
      </c>
      <c r="P156" t="s">
        <v>74</v>
      </c>
      <c r="Q156" t="s">
        <v>74</v>
      </c>
      <c r="R156" t="s">
        <v>74</v>
      </c>
      <c r="S156" t="s">
        <v>74</v>
      </c>
      <c r="T156" t="s">
        <v>3230</v>
      </c>
      <c r="U156" t="s">
        <v>3231</v>
      </c>
      <c r="V156" t="s">
        <v>3232</v>
      </c>
      <c r="W156" t="s">
        <v>3233</v>
      </c>
      <c r="X156" t="s">
        <v>3234</v>
      </c>
      <c r="Y156" t="s">
        <v>3235</v>
      </c>
      <c r="Z156" t="s">
        <v>3236</v>
      </c>
      <c r="AA156" t="s">
        <v>3237</v>
      </c>
      <c r="AB156" t="s">
        <v>3238</v>
      </c>
      <c r="AC156" t="s">
        <v>3239</v>
      </c>
      <c r="AD156" t="s">
        <v>3240</v>
      </c>
      <c r="AE156" t="s">
        <v>3241</v>
      </c>
      <c r="AF156" t="s">
        <v>74</v>
      </c>
      <c r="AG156">
        <v>53</v>
      </c>
      <c r="AH156">
        <v>124</v>
      </c>
      <c r="AI156">
        <v>150</v>
      </c>
      <c r="AJ156">
        <v>1</v>
      </c>
      <c r="AK156">
        <v>30</v>
      </c>
      <c r="AL156" t="s">
        <v>2884</v>
      </c>
      <c r="AM156" t="s">
        <v>147</v>
      </c>
      <c r="AN156" t="s">
        <v>2885</v>
      </c>
      <c r="AO156" t="s">
        <v>3242</v>
      </c>
      <c r="AP156" t="s">
        <v>3243</v>
      </c>
      <c r="AQ156" t="s">
        <v>74</v>
      </c>
      <c r="AR156" t="s">
        <v>3244</v>
      </c>
      <c r="AS156" t="s">
        <v>3245</v>
      </c>
      <c r="AT156" t="s">
        <v>3246</v>
      </c>
      <c r="AU156">
        <v>2012</v>
      </c>
      <c r="AV156">
        <v>468</v>
      </c>
      <c r="AW156">
        <v>2140</v>
      </c>
      <c r="AX156" t="s">
        <v>74</v>
      </c>
      <c r="AY156" t="s">
        <v>74</v>
      </c>
      <c r="AZ156" t="s">
        <v>74</v>
      </c>
      <c r="BA156" t="s">
        <v>74</v>
      </c>
      <c r="BB156">
        <v>913</v>
      </c>
      <c r="BC156">
        <v>931</v>
      </c>
      <c r="BD156" t="s">
        <v>74</v>
      </c>
      <c r="BE156" t="s">
        <v>3247</v>
      </c>
      <c r="BF156" t="str">
        <f>HYPERLINK("http://dx.doi.org/10.1098/rspa.2011.0422","http://dx.doi.org/10.1098/rspa.2011.0422")</f>
        <v>http://dx.doi.org/10.1098/rspa.2011.0422</v>
      </c>
      <c r="BG156" t="s">
        <v>74</v>
      </c>
      <c r="BH156" t="s">
        <v>74</v>
      </c>
      <c r="BI156">
        <v>19</v>
      </c>
      <c r="BJ156" t="s">
        <v>153</v>
      </c>
      <c r="BK156" t="s">
        <v>99</v>
      </c>
      <c r="BL156" t="s">
        <v>154</v>
      </c>
      <c r="BM156" t="s">
        <v>3248</v>
      </c>
      <c r="BN156" t="s">
        <v>74</v>
      </c>
      <c r="BO156" t="s">
        <v>217</v>
      </c>
      <c r="BP156" t="s">
        <v>74</v>
      </c>
      <c r="BQ156" t="s">
        <v>74</v>
      </c>
      <c r="BR156" t="s">
        <v>101</v>
      </c>
      <c r="BS156" t="s">
        <v>3249</v>
      </c>
      <c r="BT156" t="str">
        <f>HYPERLINK("https%3A%2F%2Fwww.webofscience.com%2Fwos%2Fwoscc%2Ffull-record%2FWOS:000300820800001","View Full Record in Web of Science")</f>
        <v>View Full Record in Web of Science</v>
      </c>
    </row>
    <row r="157" spans="1:72" x14ac:dyDescent="0.15">
      <c r="A157" t="s">
        <v>72</v>
      </c>
      <c r="B157" t="s">
        <v>3250</v>
      </c>
      <c r="C157" t="s">
        <v>74</v>
      </c>
      <c r="D157" t="s">
        <v>74</v>
      </c>
      <c r="E157" t="s">
        <v>74</v>
      </c>
      <c r="F157" t="s">
        <v>3251</v>
      </c>
      <c r="G157" t="s">
        <v>74</v>
      </c>
      <c r="H157" t="s">
        <v>74</v>
      </c>
      <c r="I157" t="s">
        <v>3252</v>
      </c>
      <c r="J157" t="s">
        <v>333</v>
      </c>
      <c r="K157" t="s">
        <v>74</v>
      </c>
      <c r="L157" t="s">
        <v>74</v>
      </c>
      <c r="M157" t="s">
        <v>78</v>
      </c>
      <c r="N157" t="s">
        <v>79</v>
      </c>
      <c r="O157" t="s">
        <v>74</v>
      </c>
      <c r="P157" t="s">
        <v>74</v>
      </c>
      <c r="Q157" t="s">
        <v>74</v>
      </c>
      <c r="R157" t="s">
        <v>74</v>
      </c>
      <c r="S157" t="s">
        <v>74</v>
      </c>
      <c r="T157" t="s">
        <v>74</v>
      </c>
      <c r="U157" t="s">
        <v>3253</v>
      </c>
      <c r="V157" t="s">
        <v>3254</v>
      </c>
      <c r="W157" t="s">
        <v>3255</v>
      </c>
      <c r="X157" t="s">
        <v>3256</v>
      </c>
      <c r="Y157" t="s">
        <v>3257</v>
      </c>
      <c r="Z157" t="s">
        <v>3258</v>
      </c>
      <c r="AA157" t="s">
        <v>3259</v>
      </c>
      <c r="AB157" t="s">
        <v>3260</v>
      </c>
      <c r="AC157" t="s">
        <v>3261</v>
      </c>
      <c r="AD157" t="s">
        <v>3262</v>
      </c>
      <c r="AE157" t="s">
        <v>3263</v>
      </c>
      <c r="AF157" t="s">
        <v>74</v>
      </c>
      <c r="AG157">
        <v>36</v>
      </c>
      <c r="AH157">
        <v>17</v>
      </c>
      <c r="AI157">
        <v>19</v>
      </c>
      <c r="AJ157">
        <v>1</v>
      </c>
      <c r="AK157">
        <v>20</v>
      </c>
      <c r="AL157" t="s">
        <v>118</v>
      </c>
      <c r="AM157" t="s">
        <v>119</v>
      </c>
      <c r="AN157" t="s">
        <v>120</v>
      </c>
      <c r="AO157" t="s">
        <v>344</v>
      </c>
      <c r="AP157" t="s">
        <v>345</v>
      </c>
      <c r="AQ157" t="s">
        <v>74</v>
      </c>
      <c r="AR157" t="s">
        <v>346</v>
      </c>
      <c r="AS157" t="s">
        <v>347</v>
      </c>
      <c r="AT157" t="s">
        <v>3264</v>
      </c>
      <c r="AU157">
        <v>2012</v>
      </c>
      <c r="AV157">
        <v>117</v>
      </c>
      <c r="AW157" t="s">
        <v>74</v>
      </c>
      <c r="AX157" t="s">
        <v>74</v>
      </c>
      <c r="AY157" t="s">
        <v>74</v>
      </c>
      <c r="AZ157" t="s">
        <v>74</v>
      </c>
      <c r="BA157" t="s">
        <v>74</v>
      </c>
      <c r="BB157" t="s">
        <v>74</v>
      </c>
      <c r="BC157" t="s">
        <v>74</v>
      </c>
      <c r="BD157" t="s">
        <v>3265</v>
      </c>
      <c r="BE157" t="s">
        <v>3266</v>
      </c>
      <c r="BF157" t="str">
        <f>HYPERLINK("http://dx.doi.org/10.1029/2010JC006755","http://dx.doi.org/10.1029/2010JC006755")</f>
        <v>http://dx.doi.org/10.1029/2010JC006755</v>
      </c>
      <c r="BG157" t="s">
        <v>74</v>
      </c>
      <c r="BH157" t="s">
        <v>74</v>
      </c>
      <c r="BI157">
        <v>8</v>
      </c>
      <c r="BJ157" t="s">
        <v>350</v>
      </c>
      <c r="BK157" t="s">
        <v>99</v>
      </c>
      <c r="BL157" t="s">
        <v>350</v>
      </c>
      <c r="BM157" t="s">
        <v>3267</v>
      </c>
      <c r="BN157" t="s">
        <v>74</v>
      </c>
      <c r="BO157" t="s">
        <v>217</v>
      </c>
      <c r="BP157" t="s">
        <v>74</v>
      </c>
      <c r="BQ157" t="s">
        <v>74</v>
      </c>
      <c r="BR157" t="s">
        <v>101</v>
      </c>
      <c r="BS157" t="s">
        <v>3268</v>
      </c>
      <c r="BT157" t="str">
        <f>HYPERLINK("https%3A%2F%2Fwww.webofscience.com%2Fwos%2Fwoscc%2Ffull-record%2FWOS:000302497300001","View Full Record in Web of Science")</f>
        <v>View Full Record in Web of Science</v>
      </c>
    </row>
    <row r="158" spans="1:72" x14ac:dyDescent="0.15">
      <c r="A158" t="s">
        <v>72</v>
      </c>
      <c r="B158" t="s">
        <v>3269</v>
      </c>
      <c r="C158" t="s">
        <v>74</v>
      </c>
      <c r="D158" t="s">
        <v>74</v>
      </c>
      <c r="E158" t="s">
        <v>74</v>
      </c>
      <c r="F158" t="s">
        <v>3270</v>
      </c>
      <c r="G158" t="s">
        <v>74</v>
      </c>
      <c r="H158" t="s">
        <v>74</v>
      </c>
      <c r="I158" t="s">
        <v>3271</v>
      </c>
      <c r="J158" t="s">
        <v>333</v>
      </c>
      <c r="K158" t="s">
        <v>74</v>
      </c>
      <c r="L158" t="s">
        <v>74</v>
      </c>
      <c r="M158" t="s">
        <v>78</v>
      </c>
      <c r="N158" t="s">
        <v>79</v>
      </c>
      <c r="O158" t="s">
        <v>74</v>
      </c>
      <c r="P158" t="s">
        <v>74</v>
      </c>
      <c r="Q158" t="s">
        <v>74</v>
      </c>
      <c r="R158" t="s">
        <v>74</v>
      </c>
      <c r="S158" t="s">
        <v>74</v>
      </c>
      <c r="T158" t="s">
        <v>74</v>
      </c>
      <c r="U158" t="s">
        <v>3272</v>
      </c>
      <c r="V158" t="s">
        <v>3273</v>
      </c>
      <c r="W158" t="s">
        <v>3274</v>
      </c>
      <c r="X158" t="s">
        <v>3275</v>
      </c>
      <c r="Y158" t="s">
        <v>3276</v>
      </c>
      <c r="Z158" t="s">
        <v>3277</v>
      </c>
      <c r="AA158" t="s">
        <v>3278</v>
      </c>
      <c r="AB158" t="s">
        <v>3279</v>
      </c>
      <c r="AC158" t="s">
        <v>3280</v>
      </c>
      <c r="AD158" t="s">
        <v>3281</v>
      </c>
      <c r="AE158" t="s">
        <v>3282</v>
      </c>
      <c r="AF158" t="s">
        <v>74</v>
      </c>
      <c r="AG158">
        <v>78</v>
      </c>
      <c r="AH158">
        <v>4</v>
      </c>
      <c r="AI158">
        <v>4</v>
      </c>
      <c r="AJ158">
        <v>0</v>
      </c>
      <c r="AK158">
        <v>27</v>
      </c>
      <c r="AL158" t="s">
        <v>118</v>
      </c>
      <c r="AM158" t="s">
        <v>119</v>
      </c>
      <c r="AN158" t="s">
        <v>120</v>
      </c>
      <c r="AO158" t="s">
        <v>344</v>
      </c>
      <c r="AP158" t="s">
        <v>345</v>
      </c>
      <c r="AQ158" t="s">
        <v>74</v>
      </c>
      <c r="AR158" t="s">
        <v>346</v>
      </c>
      <c r="AS158" t="s">
        <v>347</v>
      </c>
      <c r="AT158" t="s">
        <v>3283</v>
      </c>
      <c r="AU158">
        <v>2012</v>
      </c>
      <c r="AV158">
        <v>117</v>
      </c>
      <c r="AW158" t="s">
        <v>74</v>
      </c>
      <c r="AX158" t="s">
        <v>74</v>
      </c>
      <c r="AY158" t="s">
        <v>74</v>
      </c>
      <c r="AZ158" t="s">
        <v>74</v>
      </c>
      <c r="BA158" t="s">
        <v>74</v>
      </c>
      <c r="BB158" t="s">
        <v>74</v>
      </c>
      <c r="BC158" t="s">
        <v>74</v>
      </c>
      <c r="BD158" t="s">
        <v>3284</v>
      </c>
      <c r="BE158" t="s">
        <v>3285</v>
      </c>
      <c r="BF158" t="str">
        <f>HYPERLINK("http://dx.doi.org/10.1029/2011JC007687","http://dx.doi.org/10.1029/2011JC007687")</f>
        <v>http://dx.doi.org/10.1029/2011JC007687</v>
      </c>
      <c r="BG158" t="s">
        <v>74</v>
      </c>
      <c r="BH158" t="s">
        <v>74</v>
      </c>
      <c r="BI158">
        <v>19</v>
      </c>
      <c r="BJ158" t="s">
        <v>350</v>
      </c>
      <c r="BK158" t="s">
        <v>99</v>
      </c>
      <c r="BL158" t="s">
        <v>350</v>
      </c>
      <c r="BM158" t="s">
        <v>3286</v>
      </c>
      <c r="BN158" t="s">
        <v>74</v>
      </c>
      <c r="BO158" t="s">
        <v>217</v>
      </c>
      <c r="BP158" t="s">
        <v>74</v>
      </c>
      <c r="BQ158" t="s">
        <v>74</v>
      </c>
      <c r="BR158" t="s">
        <v>101</v>
      </c>
      <c r="BS158" t="s">
        <v>3287</v>
      </c>
      <c r="BT158" t="str">
        <f>HYPERLINK("https%3A%2F%2Fwww.webofscience.com%2Fwos%2Fwoscc%2Ffull-record%2FWOS:000302496900003","View Full Record in Web of Science")</f>
        <v>View Full Record in Web of Science</v>
      </c>
    </row>
    <row r="159" spans="1:72" x14ac:dyDescent="0.15">
      <c r="A159" t="s">
        <v>72</v>
      </c>
      <c r="B159" t="s">
        <v>3288</v>
      </c>
      <c r="C159" t="s">
        <v>74</v>
      </c>
      <c r="D159" t="s">
        <v>74</v>
      </c>
      <c r="E159" t="s">
        <v>74</v>
      </c>
      <c r="F159" t="s">
        <v>3289</v>
      </c>
      <c r="G159" t="s">
        <v>74</v>
      </c>
      <c r="H159" t="s">
        <v>74</v>
      </c>
      <c r="I159" t="s">
        <v>3290</v>
      </c>
      <c r="J159" t="s">
        <v>135</v>
      </c>
      <c r="K159" t="s">
        <v>74</v>
      </c>
      <c r="L159" t="s">
        <v>74</v>
      </c>
      <c r="M159" t="s">
        <v>78</v>
      </c>
      <c r="N159" t="s">
        <v>79</v>
      </c>
      <c r="O159" t="s">
        <v>74</v>
      </c>
      <c r="P159" t="s">
        <v>74</v>
      </c>
      <c r="Q159" t="s">
        <v>74</v>
      </c>
      <c r="R159" t="s">
        <v>74</v>
      </c>
      <c r="S159" t="s">
        <v>74</v>
      </c>
      <c r="T159" t="s">
        <v>74</v>
      </c>
      <c r="U159" t="s">
        <v>3291</v>
      </c>
      <c r="V159" t="s">
        <v>3292</v>
      </c>
      <c r="W159" t="s">
        <v>3293</v>
      </c>
      <c r="X159" t="s">
        <v>3294</v>
      </c>
      <c r="Y159" t="s">
        <v>929</v>
      </c>
      <c r="Z159" t="s">
        <v>930</v>
      </c>
      <c r="AA159" t="s">
        <v>3295</v>
      </c>
      <c r="AB159" t="s">
        <v>3296</v>
      </c>
      <c r="AC159" t="s">
        <v>3297</v>
      </c>
      <c r="AD159" t="s">
        <v>3298</v>
      </c>
      <c r="AE159" t="s">
        <v>3299</v>
      </c>
      <c r="AF159" t="s">
        <v>74</v>
      </c>
      <c r="AG159">
        <v>46</v>
      </c>
      <c r="AH159">
        <v>239</v>
      </c>
      <c r="AI159">
        <v>280</v>
      </c>
      <c r="AJ159">
        <v>15</v>
      </c>
      <c r="AK159">
        <v>452</v>
      </c>
      <c r="AL159" t="s">
        <v>146</v>
      </c>
      <c r="AM159" t="s">
        <v>147</v>
      </c>
      <c r="AN159" t="s">
        <v>148</v>
      </c>
      <c r="AO159" t="s">
        <v>149</v>
      </c>
      <c r="AP159" t="s">
        <v>150</v>
      </c>
      <c r="AQ159" t="s">
        <v>74</v>
      </c>
      <c r="AR159" t="s">
        <v>135</v>
      </c>
      <c r="AS159" t="s">
        <v>151</v>
      </c>
      <c r="AT159" t="s">
        <v>3300</v>
      </c>
      <c r="AU159">
        <v>2012</v>
      </c>
      <c r="AV159">
        <v>484</v>
      </c>
      <c r="AW159">
        <v>7392</v>
      </c>
      <c r="AX159" t="s">
        <v>74</v>
      </c>
      <c r="AY159" t="s">
        <v>74</v>
      </c>
      <c r="AZ159" t="s">
        <v>74</v>
      </c>
      <c r="BA159" t="s">
        <v>74</v>
      </c>
      <c r="BB159">
        <v>87</v>
      </c>
      <c r="BC159" t="s">
        <v>1734</v>
      </c>
      <c r="BD159" t="s">
        <v>74</v>
      </c>
      <c r="BE159" t="s">
        <v>3301</v>
      </c>
      <c r="BF159" t="str">
        <f>HYPERLINK("http://dx.doi.org/10.1038/nature10929","http://dx.doi.org/10.1038/nature10929")</f>
        <v>http://dx.doi.org/10.1038/nature10929</v>
      </c>
      <c r="BG159" t="s">
        <v>74</v>
      </c>
      <c r="BH159" t="s">
        <v>74</v>
      </c>
      <c r="BI159">
        <v>6</v>
      </c>
      <c r="BJ159" t="s">
        <v>153</v>
      </c>
      <c r="BK159" t="s">
        <v>99</v>
      </c>
      <c r="BL159" t="s">
        <v>154</v>
      </c>
      <c r="BM159" t="s">
        <v>3302</v>
      </c>
      <c r="BN159">
        <v>22481362</v>
      </c>
      <c r="BO159" t="s">
        <v>74</v>
      </c>
      <c r="BP159" t="s">
        <v>74</v>
      </c>
      <c r="BQ159" t="s">
        <v>74</v>
      </c>
      <c r="BR159" t="s">
        <v>101</v>
      </c>
      <c r="BS159" t="s">
        <v>3303</v>
      </c>
      <c r="BT159" t="str">
        <f>HYPERLINK("https%3A%2F%2Fwww.webofscience.com%2Fwos%2Fwoscc%2Ffull-record%2FWOS:000302343400039","View Full Record in Web of Science")</f>
        <v>View Full Record in Web of Science</v>
      </c>
    </row>
    <row r="160" spans="1:72" x14ac:dyDescent="0.15">
      <c r="A160" t="s">
        <v>72</v>
      </c>
      <c r="B160" t="s">
        <v>3304</v>
      </c>
      <c r="C160" t="s">
        <v>74</v>
      </c>
      <c r="D160" t="s">
        <v>74</v>
      </c>
      <c r="E160" t="s">
        <v>74</v>
      </c>
      <c r="F160" t="s">
        <v>3305</v>
      </c>
      <c r="G160" t="s">
        <v>74</v>
      </c>
      <c r="H160" t="s">
        <v>74</v>
      </c>
      <c r="I160" t="s">
        <v>3306</v>
      </c>
      <c r="J160" t="s">
        <v>333</v>
      </c>
      <c r="K160" t="s">
        <v>74</v>
      </c>
      <c r="L160" t="s">
        <v>74</v>
      </c>
      <c r="M160" t="s">
        <v>78</v>
      </c>
      <c r="N160" t="s">
        <v>79</v>
      </c>
      <c r="O160" t="s">
        <v>74</v>
      </c>
      <c r="P160" t="s">
        <v>74</v>
      </c>
      <c r="Q160" t="s">
        <v>74</v>
      </c>
      <c r="R160" t="s">
        <v>74</v>
      </c>
      <c r="S160" t="s">
        <v>74</v>
      </c>
      <c r="T160" t="s">
        <v>74</v>
      </c>
      <c r="U160" t="s">
        <v>3307</v>
      </c>
      <c r="V160" t="s">
        <v>3308</v>
      </c>
      <c r="W160" t="s">
        <v>3309</v>
      </c>
      <c r="X160" t="s">
        <v>3310</v>
      </c>
      <c r="Y160" t="s">
        <v>3311</v>
      </c>
      <c r="Z160" t="s">
        <v>74</v>
      </c>
      <c r="AA160" t="s">
        <v>3312</v>
      </c>
      <c r="AB160" t="s">
        <v>3313</v>
      </c>
      <c r="AC160" t="s">
        <v>3314</v>
      </c>
      <c r="AD160" t="s">
        <v>3315</v>
      </c>
      <c r="AE160" t="s">
        <v>3316</v>
      </c>
      <c r="AF160" t="s">
        <v>74</v>
      </c>
      <c r="AG160">
        <v>42</v>
      </c>
      <c r="AH160">
        <v>23</v>
      </c>
      <c r="AI160">
        <v>23</v>
      </c>
      <c r="AJ160">
        <v>1</v>
      </c>
      <c r="AK160">
        <v>18</v>
      </c>
      <c r="AL160" t="s">
        <v>118</v>
      </c>
      <c r="AM160" t="s">
        <v>119</v>
      </c>
      <c r="AN160" t="s">
        <v>120</v>
      </c>
      <c r="AO160" t="s">
        <v>344</v>
      </c>
      <c r="AP160" t="s">
        <v>345</v>
      </c>
      <c r="AQ160" t="s">
        <v>74</v>
      </c>
      <c r="AR160" t="s">
        <v>346</v>
      </c>
      <c r="AS160" t="s">
        <v>347</v>
      </c>
      <c r="AT160" t="s">
        <v>3300</v>
      </c>
      <c r="AU160">
        <v>2012</v>
      </c>
      <c r="AV160">
        <v>117</v>
      </c>
      <c r="AW160" t="s">
        <v>74</v>
      </c>
      <c r="AX160" t="s">
        <v>74</v>
      </c>
      <c r="AY160" t="s">
        <v>74</v>
      </c>
      <c r="AZ160" t="s">
        <v>74</v>
      </c>
      <c r="BA160" t="s">
        <v>74</v>
      </c>
      <c r="BB160" t="s">
        <v>74</v>
      </c>
      <c r="BC160" t="s">
        <v>74</v>
      </c>
      <c r="BD160" t="s">
        <v>3317</v>
      </c>
      <c r="BE160" t="s">
        <v>3318</v>
      </c>
      <c r="BF160" t="str">
        <f>HYPERLINK("http://dx.doi.org/10.1029/2011JC007282","http://dx.doi.org/10.1029/2011JC007282")</f>
        <v>http://dx.doi.org/10.1029/2011JC007282</v>
      </c>
      <c r="BG160" t="s">
        <v>74</v>
      </c>
      <c r="BH160" t="s">
        <v>74</v>
      </c>
      <c r="BI160">
        <v>13</v>
      </c>
      <c r="BJ160" t="s">
        <v>350</v>
      </c>
      <c r="BK160" t="s">
        <v>99</v>
      </c>
      <c r="BL160" t="s">
        <v>350</v>
      </c>
      <c r="BM160" t="s">
        <v>3319</v>
      </c>
      <c r="BN160" t="s">
        <v>74</v>
      </c>
      <c r="BO160" t="s">
        <v>3320</v>
      </c>
      <c r="BP160" t="s">
        <v>74</v>
      </c>
      <c r="BQ160" t="s">
        <v>74</v>
      </c>
      <c r="BR160" t="s">
        <v>101</v>
      </c>
      <c r="BS160" t="s">
        <v>3321</v>
      </c>
      <c r="BT160" t="str">
        <f>HYPERLINK("https%3A%2F%2Fwww.webofscience.com%2Fwos%2Fwoscc%2Ffull-record%2FWOS:000302496400001","View Full Record in Web of Science")</f>
        <v>View Full Record in Web of Science</v>
      </c>
    </row>
    <row r="161" spans="1:72" x14ac:dyDescent="0.15">
      <c r="A161" t="s">
        <v>72</v>
      </c>
      <c r="B161" t="s">
        <v>3322</v>
      </c>
      <c r="C161" t="s">
        <v>74</v>
      </c>
      <c r="D161" t="s">
        <v>74</v>
      </c>
      <c r="E161" t="s">
        <v>74</v>
      </c>
      <c r="F161" t="s">
        <v>3323</v>
      </c>
      <c r="G161" t="s">
        <v>74</v>
      </c>
      <c r="H161" t="s">
        <v>74</v>
      </c>
      <c r="I161" t="s">
        <v>3324</v>
      </c>
      <c r="J161" t="s">
        <v>135</v>
      </c>
      <c r="K161" t="s">
        <v>74</v>
      </c>
      <c r="L161" t="s">
        <v>74</v>
      </c>
      <c r="M161" t="s">
        <v>78</v>
      </c>
      <c r="N161" t="s">
        <v>2225</v>
      </c>
      <c r="O161" t="s">
        <v>74</v>
      </c>
      <c r="P161" t="s">
        <v>74</v>
      </c>
      <c r="Q161" t="s">
        <v>74</v>
      </c>
      <c r="R161" t="s">
        <v>74</v>
      </c>
      <c r="S161" t="s">
        <v>74</v>
      </c>
      <c r="T161" t="s">
        <v>74</v>
      </c>
      <c r="U161" t="s">
        <v>3325</v>
      </c>
      <c r="V161" t="s">
        <v>74</v>
      </c>
      <c r="W161" t="s">
        <v>3326</v>
      </c>
      <c r="X161" t="s">
        <v>3176</v>
      </c>
      <c r="Y161" t="s">
        <v>3327</v>
      </c>
      <c r="Z161" t="s">
        <v>2683</v>
      </c>
      <c r="AA161" t="s">
        <v>3328</v>
      </c>
      <c r="AB161" t="s">
        <v>3329</v>
      </c>
      <c r="AC161" t="s">
        <v>74</v>
      </c>
      <c r="AD161" t="s">
        <v>74</v>
      </c>
      <c r="AE161" t="s">
        <v>74</v>
      </c>
      <c r="AF161" t="s">
        <v>74</v>
      </c>
      <c r="AG161">
        <v>8</v>
      </c>
      <c r="AH161">
        <v>2</v>
      </c>
      <c r="AI161">
        <v>4</v>
      </c>
      <c r="AJ161">
        <v>0</v>
      </c>
      <c r="AK161">
        <v>40</v>
      </c>
      <c r="AL161" t="s">
        <v>146</v>
      </c>
      <c r="AM161" t="s">
        <v>147</v>
      </c>
      <c r="AN161" t="s">
        <v>148</v>
      </c>
      <c r="AO161" t="s">
        <v>149</v>
      </c>
      <c r="AP161" t="s">
        <v>150</v>
      </c>
      <c r="AQ161" t="s">
        <v>74</v>
      </c>
      <c r="AR161" t="s">
        <v>135</v>
      </c>
      <c r="AS161" t="s">
        <v>151</v>
      </c>
      <c r="AT161" t="s">
        <v>3300</v>
      </c>
      <c r="AU161">
        <v>2012</v>
      </c>
      <c r="AV161">
        <v>484</v>
      </c>
      <c r="AW161">
        <v>7392</v>
      </c>
      <c r="AX161" t="s">
        <v>74</v>
      </c>
      <c r="AY161" t="s">
        <v>74</v>
      </c>
      <c r="AZ161" t="s">
        <v>74</v>
      </c>
      <c r="BA161" t="s">
        <v>74</v>
      </c>
      <c r="BB161">
        <v>41</v>
      </c>
      <c r="BC161">
        <v>42</v>
      </c>
      <c r="BD161" t="s">
        <v>74</v>
      </c>
      <c r="BE161" t="s">
        <v>3330</v>
      </c>
      <c r="BF161" t="str">
        <f>HYPERLINK("http://dx.doi.org/10.1038/484041a","http://dx.doi.org/10.1038/484041a")</f>
        <v>http://dx.doi.org/10.1038/484041a</v>
      </c>
      <c r="BG161" t="s">
        <v>74</v>
      </c>
      <c r="BH161" t="s">
        <v>74</v>
      </c>
      <c r="BI161">
        <v>2</v>
      </c>
      <c r="BJ161" t="s">
        <v>153</v>
      </c>
      <c r="BK161" t="s">
        <v>99</v>
      </c>
      <c r="BL161" t="s">
        <v>154</v>
      </c>
      <c r="BM161" t="s">
        <v>3302</v>
      </c>
      <c r="BN161">
        <v>22481351</v>
      </c>
      <c r="BO161" t="s">
        <v>74</v>
      </c>
      <c r="BP161" t="s">
        <v>74</v>
      </c>
      <c r="BQ161" t="s">
        <v>74</v>
      </c>
      <c r="BR161" t="s">
        <v>101</v>
      </c>
      <c r="BS161" t="s">
        <v>3331</v>
      </c>
      <c r="BT161" t="str">
        <f>HYPERLINK("https%3A%2F%2Fwww.webofscience.com%2Fwos%2Fwoscc%2Ffull-record%2FWOS:000302343400025","View Full Record in Web of Science")</f>
        <v>View Full Record in Web of Science</v>
      </c>
    </row>
    <row r="162" spans="1:72" x14ac:dyDescent="0.15">
      <c r="A162" t="s">
        <v>72</v>
      </c>
      <c r="B162" t="s">
        <v>3332</v>
      </c>
      <c r="C162" t="s">
        <v>74</v>
      </c>
      <c r="D162" t="s">
        <v>74</v>
      </c>
      <c r="E162" t="s">
        <v>74</v>
      </c>
      <c r="F162" t="s">
        <v>3333</v>
      </c>
      <c r="G162" t="s">
        <v>74</v>
      </c>
      <c r="H162" t="s">
        <v>74</v>
      </c>
      <c r="I162" t="s">
        <v>3334</v>
      </c>
      <c r="J162" t="s">
        <v>135</v>
      </c>
      <c r="K162" t="s">
        <v>74</v>
      </c>
      <c r="L162" t="s">
        <v>74</v>
      </c>
      <c r="M162" t="s">
        <v>78</v>
      </c>
      <c r="N162" t="s">
        <v>79</v>
      </c>
      <c r="O162" t="s">
        <v>74</v>
      </c>
      <c r="P162" t="s">
        <v>74</v>
      </c>
      <c r="Q162" t="s">
        <v>74</v>
      </c>
      <c r="R162" t="s">
        <v>74</v>
      </c>
      <c r="S162" t="s">
        <v>74</v>
      </c>
      <c r="T162" t="s">
        <v>74</v>
      </c>
      <c r="U162" t="s">
        <v>3335</v>
      </c>
      <c r="V162" t="s">
        <v>3336</v>
      </c>
      <c r="W162" t="s">
        <v>3337</v>
      </c>
      <c r="X162" t="s">
        <v>3338</v>
      </c>
      <c r="Y162" t="s">
        <v>3339</v>
      </c>
      <c r="Z162" t="s">
        <v>3340</v>
      </c>
      <c r="AA162" t="s">
        <v>3341</v>
      </c>
      <c r="AB162" t="s">
        <v>3342</v>
      </c>
      <c r="AC162" t="s">
        <v>3343</v>
      </c>
      <c r="AD162" t="s">
        <v>3344</v>
      </c>
      <c r="AE162" t="s">
        <v>3345</v>
      </c>
      <c r="AF162" t="s">
        <v>74</v>
      </c>
      <c r="AG162">
        <v>54</v>
      </c>
      <c r="AH162">
        <v>940</v>
      </c>
      <c r="AI162">
        <v>1069</v>
      </c>
      <c r="AJ162">
        <v>28</v>
      </c>
      <c r="AK162">
        <v>873</v>
      </c>
      <c r="AL162" t="s">
        <v>146</v>
      </c>
      <c r="AM162" t="s">
        <v>147</v>
      </c>
      <c r="AN162" t="s">
        <v>148</v>
      </c>
      <c r="AO162" t="s">
        <v>149</v>
      </c>
      <c r="AP162" t="s">
        <v>150</v>
      </c>
      <c r="AQ162" t="s">
        <v>74</v>
      </c>
      <c r="AR162" t="s">
        <v>135</v>
      </c>
      <c r="AS162" t="s">
        <v>151</v>
      </c>
      <c r="AT162" t="s">
        <v>3300</v>
      </c>
      <c r="AU162">
        <v>2012</v>
      </c>
      <c r="AV162">
        <v>484</v>
      </c>
      <c r="AW162">
        <v>7392</v>
      </c>
      <c r="AX162" t="s">
        <v>74</v>
      </c>
      <c r="AY162" t="s">
        <v>74</v>
      </c>
      <c r="AZ162" t="s">
        <v>74</v>
      </c>
      <c r="BA162" t="s">
        <v>74</v>
      </c>
      <c r="BB162">
        <v>49</v>
      </c>
      <c r="BC162">
        <v>54</v>
      </c>
      <c r="BD162" t="s">
        <v>74</v>
      </c>
      <c r="BE162" t="s">
        <v>3346</v>
      </c>
      <c r="BF162" t="str">
        <f>HYPERLINK("http://dx.doi.org/10.1038/nature10915","http://dx.doi.org/10.1038/nature10915")</f>
        <v>http://dx.doi.org/10.1038/nature10915</v>
      </c>
      <c r="BG162" t="s">
        <v>74</v>
      </c>
      <c r="BH162" t="s">
        <v>74</v>
      </c>
      <c r="BI162">
        <v>6</v>
      </c>
      <c r="BJ162" t="s">
        <v>153</v>
      </c>
      <c r="BK162" t="s">
        <v>99</v>
      </c>
      <c r="BL162" t="s">
        <v>154</v>
      </c>
      <c r="BM162" t="s">
        <v>3302</v>
      </c>
      <c r="BN162">
        <v>22481357</v>
      </c>
      <c r="BO162" t="s">
        <v>328</v>
      </c>
      <c r="BP162" t="s">
        <v>74</v>
      </c>
      <c r="BQ162" t="s">
        <v>74</v>
      </c>
      <c r="BR162" t="s">
        <v>101</v>
      </c>
      <c r="BS162" t="s">
        <v>3347</v>
      </c>
      <c r="BT162" t="str">
        <f>HYPERLINK("https%3A%2F%2Fwww.webofscience.com%2Fwos%2Fwoscc%2Ffull-record%2FWOS:000302343400032","View Full Record in Web of Science")</f>
        <v>View Full Record in Web of Science</v>
      </c>
    </row>
    <row r="163" spans="1:72" x14ac:dyDescent="0.15">
      <c r="A163" t="s">
        <v>72</v>
      </c>
      <c r="B163" t="s">
        <v>3348</v>
      </c>
      <c r="C163" t="s">
        <v>74</v>
      </c>
      <c r="D163" t="s">
        <v>74</v>
      </c>
      <c r="E163" t="s">
        <v>74</v>
      </c>
      <c r="F163" t="s">
        <v>3349</v>
      </c>
      <c r="G163" t="s">
        <v>74</v>
      </c>
      <c r="H163" t="s">
        <v>74</v>
      </c>
      <c r="I163" t="s">
        <v>3350</v>
      </c>
      <c r="J163" t="s">
        <v>1382</v>
      </c>
      <c r="K163" t="s">
        <v>74</v>
      </c>
      <c r="L163" t="s">
        <v>74</v>
      </c>
      <c r="M163" t="s">
        <v>78</v>
      </c>
      <c r="N163" t="s">
        <v>79</v>
      </c>
      <c r="O163" t="s">
        <v>74</v>
      </c>
      <c r="P163" t="s">
        <v>74</v>
      </c>
      <c r="Q163" t="s">
        <v>74</v>
      </c>
      <c r="R163" t="s">
        <v>74</v>
      </c>
      <c r="S163" t="s">
        <v>74</v>
      </c>
      <c r="T163" t="s">
        <v>74</v>
      </c>
      <c r="U163" t="s">
        <v>3351</v>
      </c>
      <c r="V163" t="s">
        <v>3352</v>
      </c>
      <c r="W163" t="s">
        <v>3353</v>
      </c>
      <c r="X163" t="s">
        <v>3354</v>
      </c>
      <c r="Y163" t="s">
        <v>3355</v>
      </c>
      <c r="Z163" t="s">
        <v>3356</v>
      </c>
      <c r="AA163" t="s">
        <v>74</v>
      </c>
      <c r="AB163" t="s">
        <v>3357</v>
      </c>
      <c r="AC163" t="s">
        <v>3358</v>
      </c>
      <c r="AD163" t="s">
        <v>3359</v>
      </c>
      <c r="AE163" t="s">
        <v>3360</v>
      </c>
      <c r="AF163" t="s">
        <v>74</v>
      </c>
      <c r="AG163">
        <v>61</v>
      </c>
      <c r="AH163">
        <v>54</v>
      </c>
      <c r="AI163">
        <v>69</v>
      </c>
      <c r="AJ163">
        <v>10</v>
      </c>
      <c r="AK163">
        <v>155</v>
      </c>
      <c r="AL163" t="s">
        <v>1394</v>
      </c>
      <c r="AM163" t="s">
        <v>119</v>
      </c>
      <c r="AN163" t="s">
        <v>1395</v>
      </c>
      <c r="AO163" t="s">
        <v>1396</v>
      </c>
      <c r="AP163" t="s">
        <v>1397</v>
      </c>
      <c r="AQ163" t="s">
        <v>74</v>
      </c>
      <c r="AR163" t="s">
        <v>1398</v>
      </c>
      <c r="AS163" t="s">
        <v>1399</v>
      </c>
      <c r="AT163" t="s">
        <v>3361</v>
      </c>
      <c r="AU163">
        <v>2012</v>
      </c>
      <c r="AV163">
        <v>46</v>
      </c>
      <c r="AW163">
        <v>7</v>
      </c>
      <c r="AX163" t="s">
        <v>74</v>
      </c>
      <c r="AY163" t="s">
        <v>74</v>
      </c>
      <c r="AZ163" t="s">
        <v>74</v>
      </c>
      <c r="BA163" t="s">
        <v>74</v>
      </c>
      <c r="BB163">
        <v>3753</v>
      </c>
      <c r="BC163">
        <v>3761</v>
      </c>
      <c r="BD163" t="s">
        <v>74</v>
      </c>
      <c r="BE163" t="s">
        <v>3362</v>
      </c>
      <c r="BF163" t="str">
        <f>HYPERLINK("http://dx.doi.org/10.1021/es203942y","http://dx.doi.org/10.1021/es203942y")</f>
        <v>http://dx.doi.org/10.1021/es203942y</v>
      </c>
      <c r="BG163" t="s">
        <v>74</v>
      </c>
      <c r="BH163" t="s">
        <v>74</v>
      </c>
      <c r="BI163">
        <v>9</v>
      </c>
      <c r="BJ163" t="s">
        <v>1401</v>
      </c>
      <c r="BK163" t="s">
        <v>99</v>
      </c>
      <c r="BL163" t="s">
        <v>1402</v>
      </c>
      <c r="BM163" t="s">
        <v>3363</v>
      </c>
      <c r="BN163">
        <v>22385100</v>
      </c>
      <c r="BO163" t="s">
        <v>74</v>
      </c>
      <c r="BP163" t="s">
        <v>74</v>
      </c>
      <c r="BQ163" t="s">
        <v>74</v>
      </c>
      <c r="BR163" t="s">
        <v>101</v>
      </c>
      <c r="BS163" t="s">
        <v>3364</v>
      </c>
      <c r="BT163" t="str">
        <f>HYPERLINK("https%3A%2F%2Fwww.webofscience.com%2Fwos%2Fwoscc%2Ffull-record%2FWOS:000302850400023","View Full Record in Web of Science")</f>
        <v>View Full Record in Web of Science</v>
      </c>
    </row>
    <row r="164" spans="1:72" x14ac:dyDescent="0.15">
      <c r="A164" t="s">
        <v>72</v>
      </c>
      <c r="B164" t="s">
        <v>3365</v>
      </c>
      <c r="C164" t="s">
        <v>74</v>
      </c>
      <c r="D164" t="s">
        <v>74</v>
      </c>
      <c r="E164" t="s">
        <v>74</v>
      </c>
      <c r="F164" t="s">
        <v>3366</v>
      </c>
      <c r="G164" t="s">
        <v>74</v>
      </c>
      <c r="H164" t="s">
        <v>74</v>
      </c>
      <c r="I164" t="s">
        <v>3367</v>
      </c>
      <c r="J164" t="s">
        <v>3368</v>
      </c>
      <c r="K164" t="s">
        <v>74</v>
      </c>
      <c r="L164" t="s">
        <v>74</v>
      </c>
      <c r="M164" t="s">
        <v>78</v>
      </c>
      <c r="N164" t="s">
        <v>79</v>
      </c>
      <c r="O164" t="s">
        <v>74</v>
      </c>
      <c r="P164" t="s">
        <v>74</v>
      </c>
      <c r="Q164" t="s">
        <v>74</v>
      </c>
      <c r="R164" t="s">
        <v>74</v>
      </c>
      <c r="S164" t="s">
        <v>74</v>
      </c>
      <c r="T164" t="s">
        <v>74</v>
      </c>
      <c r="U164" t="s">
        <v>3369</v>
      </c>
      <c r="V164" t="s">
        <v>3370</v>
      </c>
      <c r="W164" t="s">
        <v>3371</v>
      </c>
      <c r="X164" t="s">
        <v>3372</v>
      </c>
      <c r="Y164" t="s">
        <v>3373</v>
      </c>
      <c r="Z164" t="s">
        <v>3374</v>
      </c>
      <c r="AA164" t="s">
        <v>3375</v>
      </c>
      <c r="AB164" t="s">
        <v>3376</v>
      </c>
      <c r="AC164" t="s">
        <v>3377</v>
      </c>
      <c r="AD164" t="s">
        <v>3378</v>
      </c>
      <c r="AE164" t="s">
        <v>3379</v>
      </c>
      <c r="AF164" t="s">
        <v>74</v>
      </c>
      <c r="AG164">
        <v>54</v>
      </c>
      <c r="AH164">
        <v>68</v>
      </c>
      <c r="AI164">
        <v>74</v>
      </c>
      <c r="AJ164">
        <v>1</v>
      </c>
      <c r="AK164">
        <v>21</v>
      </c>
      <c r="AL164" t="s">
        <v>118</v>
      </c>
      <c r="AM164" t="s">
        <v>119</v>
      </c>
      <c r="AN164" t="s">
        <v>120</v>
      </c>
      <c r="AO164" t="s">
        <v>3380</v>
      </c>
      <c r="AP164" t="s">
        <v>3381</v>
      </c>
      <c r="AQ164" t="s">
        <v>74</v>
      </c>
      <c r="AR164" t="s">
        <v>3382</v>
      </c>
      <c r="AS164" t="s">
        <v>3383</v>
      </c>
      <c r="AT164" t="s">
        <v>3361</v>
      </c>
      <c r="AU164">
        <v>2012</v>
      </c>
      <c r="AV164">
        <v>117</v>
      </c>
      <c r="AW164" t="s">
        <v>74</v>
      </c>
      <c r="AX164" t="s">
        <v>74</v>
      </c>
      <c r="AY164" t="s">
        <v>74</v>
      </c>
      <c r="AZ164" t="s">
        <v>74</v>
      </c>
      <c r="BA164" t="s">
        <v>74</v>
      </c>
      <c r="BB164" t="s">
        <v>74</v>
      </c>
      <c r="BC164" t="s">
        <v>74</v>
      </c>
      <c r="BD164" t="s">
        <v>3384</v>
      </c>
      <c r="BE164" t="s">
        <v>3385</v>
      </c>
      <c r="BF164" t="str">
        <f>HYPERLINK("http://dx.doi.org/10.1029/2011JB008805","http://dx.doi.org/10.1029/2011JB008805")</f>
        <v>http://dx.doi.org/10.1029/2011JB008805</v>
      </c>
      <c r="BG164" t="s">
        <v>74</v>
      </c>
      <c r="BH164" t="s">
        <v>74</v>
      </c>
      <c r="BI164">
        <v>19</v>
      </c>
      <c r="BJ164" t="s">
        <v>1134</v>
      </c>
      <c r="BK164" t="s">
        <v>99</v>
      </c>
      <c r="BL164" t="s">
        <v>1134</v>
      </c>
      <c r="BM164" t="s">
        <v>3386</v>
      </c>
      <c r="BN164" t="s">
        <v>74</v>
      </c>
      <c r="BO164" t="s">
        <v>217</v>
      </c>
      <c r="BP164" t="s">
        <v>74</v>
      </c>
      <c r="BQ164" t="s">
        <v>74</v>
      </c>
      <c r="BR164" t="s">
        <v>101</v>
      </c>
      <c r="BS164" t="s">
        <v>3387</v>
      </c>
      <c r="BT164" t="str">
        <f>HYPERLINK("https%3A%2F%2Fwww.webofscience.com%2Fwos%2Fwoscc%2Ffull-record%2FWOS:000302498200001","View Full Record in Web of Science")</f>
        <v>View Full Record in Web of Science</v>
      </c>
    </row>
    <row r="165" spans="1:72" x14ac:dyDescent="0.15">
      <c r="A165" t="s">
        <v>72</v>
      </c>
      <c r="B165" t="s">
        <v>3388</v>
      </c>
      <c r="C165" t="s">
        <v>74</v>
      </c>
      <c r="D165" t="s">
        <v>74</v>
      </c>
      <c r="E165" t="s">
        <v>74</v>
      </c>
      <c r="F165" t="s">
        <v>3389</v>
      </c>
      <c r="G165" t="s">
        <v>74</v>
      </c>
      <c r="H165" t="s">
        <v>74</v>
      </c>
      <c r="I165" t="s">
        <v>3390</v>
      </c>
      <c r="J165" t="s">
        <v>77</v>
      </c>
      <c r="K165" t="s">
        <v>74</v>
      </c>
      <c r="L165" t="s">
        <v>74</v>
      </c>
      <c r="M165" t="s">
        <v>78</v>
      </c>
      <c r="N165" t="s">
        <v>79</v>
      </c>
      <c r="O165" t="s">
        <v>74</v>
      </c>
      <c r="P165" t="s">
        <v>74</v>
      </c>
      <c r="Q165" t="s">
        <v>74</v>
      </c>
      <c r="R165" t="s">
        <v>74</v>
      </c>
      <c r="S165" t="s">
        <v>74</v>
      </c>
      <c r="T165" t="s">
        <v>3391</v>
      </c>
      <c r="U165" t="s">
        <v>3392</v>
      </c>
      <c r="V165" t="s">
        <v>3393</v>
      </c>
      <c r="W165" t="s">
        <v>3394</v>
      </c>
      <c r="X165" t="s">
        <v>3395</v>
      </c>
      <c r="Y165" t="s">
        <v>3396</v>
      </c>
      <c r="Z165" t="s">
        <v>3397</v>
      </c>
      <c r="AA165" t="s">
        <v>74</v>
      </c>
      <c r="AB165" t="s">
        <v>74</v>
      </c>
      <c r="AC165" t="s">
        <v>3398</v>
      </c>
      <c r="AD165" t="s">
        <v>1906</v>
      </c>
      <c r="AE165" t="s">
        <v>3399</v>
      </c>
      <c r="AF165" t="s">
        <v>74</v>
      </c>
      <c r="AG165">
        <v>36</v>
      </c>
      <c r="AH165">
        <v>34</v>
      </c>
      <c r="AI165">
        <v>35</v>
      </c>
      <c r="AJ165">
        <v>0</v>
      </c>
      <c r="AK165">
        <v>6</v>
      </c>
      <c r="AL165" t="s">
        <v>91</v>
      </c>
      <c r="AM165" t="s">
        <v>92</v>
      </c>
      <c r="AN165" t="s">
        <v>392</v>
      </c>
      <c r="AO165" t="s">
        <v>94</v>
      </c>
      <c r="AP165" t="s">
        <v>95</v>
      </c>
      <c r="AQ165" t="s">
        <v>74</v>
      </c>
      <c r="AR165" t="s">
        <v>77</v>
      </c>
      <c r="AS165" t="s">
        <v>96</v>
      </c>
      <c r="AT165" t="s">
        <v>3400</v>
      </c>
      <c r="AU165">
        <v>2012</v>
      </c>
      <c r="AV165" t="s">
        <v>74</v>
      </c>
      <c r="AW165">
        <v>3254</v>
      </c>
      <c r="AX165" t="s">
        <v>74</v>
      </c>
      <c r="AY165" t="s">
        <v>74</v>
      </c>
      <c r="AZ165" t="s">
        <v>74</v>
      </c>
      <c r="BA165" t="s">
        <v>74</v>
      </c>
      <c r="BB165">
        <v>1</v>
      </c>
      <c r="BC165">
        <v>31</v>
      </c>
      <c r="BD165" t="s">
        <v>74</v>
      </c>
      <c r="BE165" t="s">
        <v>74</v>
      </c>
      <c r="BF165" t="s">
        <v>74</v>
      </c>
      <c r="BG165" t="s">
        <v>74</v>
      </c>
      <c r="BH165" t="s">
        <v>74</v>
      </c>
      <c r="BI165">
        <v>31</v>
      </c>
      <c r="BJ165" t="s">
        <v>98</v>
      </c>
      <c r="BK165" t="s">
        <v>99</v>
      </c>
      <c r="BL165" t="s">
        <v>98</v>
      </c>
      <c r="BM165" t="s">
        <v>3401</v>
      </c>
      <c r="BN165" t="s">
        <v>74</v>
      </c>
      <c r="BO165" t="s">
        <v>74</v>
      </c>
      <c r="BP165" t="s">
        <v>74</v>
      </c>
      <c r="BQ165" t="s">
        <v>74</v>
      </c>
      <c r="BR165" t="s">
        <v>101</v>
      </c>
      <c r="BS165" t="s">
        <v>3402</v>
      </c>
      <c r="BT165" t="str">
        <f>HYPERLINK("https%3A%2F%2Fwww.webofscience.com%2Fwos%2Fwoscc%2Ffull-record%2FWOS:000303822600001","View Full Record in Web of Science")</f>
        <v>View Full Record in Web of Science</v>
      </c>
    </row>
    <row r="166" spans="1:72" x14ac:dyDescent="0.15">
      <c r="A166" t="s">
        <v>72</v>
      </c>
      <c r="B166" t="s">
        <v>3403</v>
      </c>
      <c r="C166" t="s">
        <v>74</v>
      </c>
      <c r="D166" t="s">
        <v>74</v>
      </c>
      <c r="E166" t="s">
        <v>74</v>
      </c>
      <c r="F166" t="s">
        <v>3404</v>
      </c>
      <c r="G166" t="s">
        <v>74</v>
      </c>
      <c r="H166" t="s">
        <v>74</v>
      </c>
      <c r="I166" t="s">
        <v>3405</v>
      </c>
      <c r="J166" t="s">
        <v>3406</v>
      </c>
      <c r="K166" t="s">
        <v>74</v>
      </c>
      <c r="L166" t="s">
        <v>74</v>
      </c>
      <c r="M166" t="s">
        <v>78</v>
      </c>
      <c r="N166" t="s">
        <v>79</v>
      </c>
      <c r="O166" t="s">
        <v>74</v>
      </c>
      <c r="P166" t="s">
        <v>74</v>
      </c>
      <c r="Q166" t="s">
        <v>74</v>
      </c>
      <c r="R166" t="s">
        <v>74</v>
      </c>
      <c r="S166" t="s">
        <v>74</v>
      </c>
      <c r="T166" t="s">
        <v>3407</v>
      </c>
      <c r="U166" t="s">
        <v>3408</v>
      </c>
      <c r="V166" t="s">
        <v>3409</v>
      </c>
      <c r="W166" t="s">
        <v>3410</v>
      </c>
      <c r="X166" t="s">
        <v>3411</v>
      </c>
      <c r="Y166" t="s">
        <v>3412</v>
      </c>
      <c r="Z166" t="s">
        <v>3413</v>
      </c>
      <c r="AA166" t="s">
        <v>74</v>
      </c>
      <c r="AB166" t="s">
        <v>74</v>
      </c>
      <c r="AC166" t="s">
        <v>74</v>
      </c>
      <c r="AD166" t="s">
        <v>74</v>
      </c>
      <c r="AE166" t="s">
        <v>74</v>
      </c>
      <c r="AF166" t="s">
        <v>74</v>
      </c>
      <c r="AG166">
        <v>15</v>
      </c>
      <c r="AH166">
        <v>2</v>
      </c>
      <c r="AI166">
        <v>3</v>
      </c>
      <c r="AJ166">
        <v>0</v>
      </c>
      <c r="AK166">
        <v>17</v>
      </c>
      <c r="AL166" t="s">
        <v>3414</v>
      </c>
      <c r="AM166" t="s">
        <v>3415</v>
      </c>
      <c r="AN166" t="s">
        <v>3416</v>
      </c>
      <c r="AO166" t="s">
        <v>3417</v>
      </c>
      <c r="AP166" t="s">
        <v>74</v>
      </c>
      <c r="AQ166" t="s">
        <v>74</v>
      </c>
      <c r="AR166" t="s">
        <v>3418</v>
      </c>
      <c r="AS166" t="s">
        <v>3419</v>
      </c>
      <c r="AT166" t="s">
        <v>3420</v>
      </c>
      <c r="AU166">
        <v>2012</v>
      </c>
      <c r="AV166">
        <v>59</v>
      </c>
      <c r="AW166">
        <v>2</v>
      </c>
      <c r="AX166" t="s">
        <v>74</v>
      </c>
      <c r="AY166" t="s">
        <v>74</v>
      </c>
      <c r="AZ166" t="s">
        <v>74</v>
      </c>
      <c r="BA166" t="s">
        <v>74</v>
      </c>
      <c r="BB166">
        <v>121</v>
      </c>
      <c r="BC166">
        <v>125</v>
      </c>
      <c r="BD166" t="s">
        <v>74</v>
      </c>
      <c r="BE166" t="s">
        <v>74</v>
      </c>
      <c r="BF166" t="s">
        <v>74</v>
      </c>
      <c r="BG166" t="s">
        <v>74</v>
      </c>
      <c r="BH166" t="s">
        <v>74</v>
      </c>
      <c r="BI166">
        <v>5</v>
      </c>
      <c r="BJ166" t="s">
        <v>609</v>
      </c>
      <c r="BK166" t="s">
        <v>99</v>
      </c>
      <c r="BL166" t="s">
        <v>609</v>
      </c>
      <c r="BM166" t="s">
        <v>3421</v>
      </c>
      <c r="BN166" t="s">
        <v>74</v>
      </c>
      <c r="BO166" t="s">
        <v>74</v>
      </c>
      <c r="BP166" t="s">
        <v>74</v>
      </c>
      <c r="BQ166" t="s">
        <v>74</v>
      </c>
      <c r="BR166" t="s">
        <v>101</v>
      </c>
      <c r="BS166" t="s">
        <v>3422</v>
      </c>
      <c r="BT166" t="str">
        <f>HYPERLINK("https%3A%2F%2Fwww.webofscience.com%2Fwos%2Fwoscc%2Ffull-record%2FWOS:000309486400017","View Full Record in Web of Science")</f>
        <v>View Full Record in Web of Science</v>
      </c>
    </row>
    <row r="167" spans="1:72" x14ac:dyDescent="0.15">
      <c r="A167" t="s">
        <v>72</v>
      </c>
      <c r="B167" t="s">
        <v>3423</v>
      </c>
      <c r="C167" t="s">
        <v>74</v>
      </c>
      <c r="D167" t="s">
        <v>74</v>
      </c>
      <c r="E167" t="s">
        <v>74</v>
      </c>
      <c r="F167" t="s">
        <v>3424</v>
      </c>
      <c r="G167" t="s">
        <v>74</v>
      </c>
      <c r="H167" t="s">
        <v>74</v>
      </c>
      <c r="I167" t="s">
        <v>3425</v>
      </c>
      <c r="J167" t="s">
        <v>3426</v>
      </c>
      <c r="K167" t="s">
        <v>74</v>
      </c>
      <c r="L167" t="s">
        <v>74</v>
      </c>
      <c r="M167" t="s">
        <v>78</v>
      </c>
      <c r="N167" t="s">
        <v>1073</v>
      </c>
      <c r="O167" t="s">
        <v>74</v>
      </c>
      <c r="P167" t="s">
        <v>74</v>
      </c>
      <c r="Q167" t="s">
        <v>74</v>
      </c>
      <c r="R167" t="s">
        <v>74</v>
      </c>
      <c r="S167" t="s">
        <v>74</v>
      </c>
      <c r="T167" t="s">
        <v>74</v>
      </c>
      <c r="U167" t="s">
        <v>3427</v>
      </c>
      <c r="V167" t="s">
        <v>3428</v>
      </c>
      <c r="W167" t="s">
        <v>3429</v>
      </c>
      <c r="X167" t="s">
        <v>3430</v>
      </c>
      <c r="Y167" t="s">
        <v>3431</v>
      </c>
      <c r="Z167" t="s">
        <v>3432</v>
      </c>
      <c r="AA167" t="s">
        <v>3433</v>
      </c>
      <c r="AB167" t="s">
        <v>3434</v>
      </c>
      <c r="AC167" t="s">
        <v>74</v>
      </c>
      <c r="AD167" t="s">
        <v>74</v>
      </c>
      <c r="AE167" t="s">
        <v>74</v>
      </c>
      <c r="AF167" t="s">
        <v>74</v>
      </c>
      <c r="AG167">
        <v>139</v>
      </c>
      <c r="AH167">
        <v>12</v>
      </c>
      <c r="AI167">
        <v>12</v>
      </c>
      <c r="AJ167">
        <v>1</v>
      </c>
      <c r="AK167">
        <v>39</v>
      </c>
      <c r="AL167" t="s">
        <v>3435</v>
      </c>
      <c r="AM167" t="s">
        <v>3436</v>
      </c>
      <c r="AN167" t="s">
        <v>3437</v>
      </c>
      <c r="AO167" t="s">
        <v>3438</v>
      </c>
      <c r="AP167" t="s">
        <v>3439</v>
      </c>
      <c r="AQ167" t="s">
        <v>74</v>
      </c>
      <c r="AR167" t="s">
        <v>3440</v>
      </c>
      <c r="AS167" t="s">
        <v>3441</v>
      </c>
      <c r="AT167" t="s">
        <v>3442</v>
      </c>
      <c r="AU167">
        <v>2012</v>
      </c>
      <c r="AV167">
        <v>92</v>
      </c>
      <c r="AW167">
        <v>2</v>
      </c>
      <c r="AX167" t="s">
        <v>74</v>
      </c>
      <c r="AY167" t="s">
        <v>74</v>
      </c>
      <c r="AZ167" t="s">
        <v>74</v>
      </c>
      <c r="BA167" t="s">
        <v>74</v>
      </c>
      <c r="BB167">
        <v>521</v>
      </c>
      <c r="BC167">
        <v>536</v>
      </c>
      <c r="BD167" t="s">
        <v>74</v>
      </c>
      <c r="BE167" t="s">
        <v>3443</v>
      </c>
      <c r="BF167" t="str">
        <f>HYPERLINK("http://dx.doi.org/10.1152/physrev.00031.2011","http://dx.doi.org/10.1152/physrev.00031.2011")</f>
        <v>http://dx.doi.org/10.1152/physrev.00031.2011</v>
      </c>
      <c r="BG167" t="s">
        <v>74</v>
      </c>
      <c r="BH167" t="s">
        <v>74</v>
      </c>
      <c r="BI167">
        <v>16</v>
      </c>
      <c r="BJ167" t="s">
        <v>3444</v>
      </c>
      <c r="BK167" t="s">
        <v>99</v>
      </c>
      <c r="BL167" t="s">
        <v>3444</v>
      </c>
      <c r="BM167" t="s">
        <v>3445</v>
      </c>
      <c r="BN167">
        <v>22535890</v>
      </c>
      <c r="BO167" t="s">
        <v>74</v>
      </c>
      <c r="BP167" t="s">
        <v>74</v>
      </c>
      <c r="BQ167" t="s">
        <v>74</v>
      </c>
      <c r="BR167" t="s">
        <v>101</v>
      </c>
      <c r="BS167" t="s">
        <v>3446</v>
      </c>
      <c r="BT167" t="str">
        <f>HYPERLINK("https%3A%2F%2Fwww.webofscience.com%2Fwos%2Fwoscc%2Ffull-record%2FWOS:000306562500001","View Full Record in Web of Science")</f>
        <v>View Full Record in Web of Science</v>
      </c>
    </row>
    <row r="168" spans="1:72" x14ac:dyDescent="0.15">
      <c r="A168" t="s">
        <v>72</v>
      </c>
      <c r="B168" t="s">
        <v>3447</v>
      </c>
      <c r="C168" t="s">
        <v>74</v>
      </c>
      <c r="D168" t="s">
        <v>74</v>
      </c>
      <c r="E168" t="s">
        <v>74</v>
      </c>
      <c r="F168" t="s">
        <v>3448</v>
      </c>
      <c r="G168" t="s">
        <v>74</v>
      </c>
      <c r="H168" t="s">
        <v>74</v>
      </c>
      <c r="I168" t="s">
        <v>3449</v>
      </c>
      <c r="J168" t="s">
        <v>3450</v>
      </c>
      <c r="K168" t="s">
        <v>74</v>
      </c>
      <c r="L168" t="s">
        <v>74</v>
      </c>
      <c r="M168" t="s">
        <v>78</v>
      </c>
      <c r="N168" t="s">
        <v>79</v>
      </c>
      <c r="O168" t="s">
        <v>74</v>
      </c>
      <c r="P168" t="s">
        <v>74</v>
      </c>
      <c r="Q168" t="s">
        <v>74</v>
      </c>
      <c r="R168" t="s">
        <v>74</v>
      </c>
      <c r="S168" t="s">
        <v>74</v>
      </c>
      <c r="T168" t="s">
        <v>3451</v>
      </c>
      <c r="U168" t="s">
        <v>3452</v>
      </c>
      <c r="V168" t="s">
        <v>3453</v>
      </c>
      <c r="W168" t="s">
        <v>3454</v>
      </c>
      <c r="X168" t="s">
        <v>3455</v>
      </c>
      <c r="Y168" t="s">
        <v>3456</v>
      </c>
      <c r="Z168" t="s">
        <v>3457</v>
      </c>
      <c r="AA168" t="s">
        <v>74</v>
      </c>
      <c r="AB168" t="s">
        <v>3458</v>
      </c>
      <c r="AC168" t="s">
        <v>3459</v>
      </c>
      <c r="AD168" t="s">
        <v>3459</v>
      </c>
      <c r="AE168" t="s">
        <v>3460</v>
      </c>
      <c r="AF168" t="s">
        <v>74</v>
      </c>
      <c r="AG168">
        <v>21</v>
      </c>
      <c r="AH168">
        <v>8</v>
      </c>
      <c r="AI168">
        <v>9</v>
      </c>
      <c r="AJ168">
        <v>0</v>
      </c>
      <c r="AK168">
        <v>8</v>
      </c>
      <c r="AL168" t="s">
        <v>3461</v>
      </c>
      <c r="AM168" t="s">
        <v>3462</v>
      </c>
      <c r="AN168" t="s">
        <v>3463</v>
      </c>
      <c r="AO168" t="s">
        <v>3464</v>
      </c>
      <c r="AP168" t="s">
        <v>3465</v>
      </c>
      <c r="AQ168" t="s">
        <v>74</v>
      </c>
      <c r="AR168" t="s">
        <v>3466</v>
      </c>
      <c r="AS168" t="s">
        <v>3467</v>
      </c>
      <c r="AT168" t="s">
        <v>3442</v>
      </c>
      <c r="AU168">
        <v>2012</v>
      </c>
      <c r="AV168">
        <v>35</v>
      </c>
      <c r="AW168">
        <v>2</v>
      </c>
      <c r="AX168" t="s">
        <v>74</v>
      </c>
      <c r="AY168" t="s">
        <v>74</v>
      </c>
      <c r="AZ168" t="s">
        <v>74</v>
      </c>
      <c r="BA168" t="s">
        <v>74</v>
      </c>
      <c r="BB168">
        <v>115</v>
      </c>
      <c r="BC168">
        <v>119</v>
      </c>
      <c r="BD168" t="s">
        <v>74</v>
      </c>
      <c r="BE168" t="s">
        <v>3468</v>
      </c>
      <c r="BF168" t="str">
        <f>HYPERLINK("http://dx.doi.org/10.1007/s40009-012-0013-2","http://dx.doi.org/10.1007/s40009-012-0013-2")</f>
        <v>http://dx.doi.org/10.1007/s40009-012-0013-2</v>
      </c>
      <c r="BG168" t="s">
        <v>74</v>
      </c>
      <c r="BH168" t="s">
        <v>74</v>
      </c>
      <c r="BI168">
        <v>5</v>
      </c>
      <c r="BJ168" t="s">
        <v>153</v>
      </c>
      <c r="BK168" t="s">
        <v>99</v>
      </c>
      <c r="BL168" t="s">
        <v>154</v>
      </c>
      <c r="BM168" t="s">
        <v>3469</v>
      </c>
      <c r="BN168" t="s">
        <v>74</v>
      </c>
      <c r="BO168" t="s">
        <v>74</v>
      </c>
      <c r="BP168" t="s">
        <v>74</v>
      </c>
      <c r="BQ168" t="s">
        <v>74</v>
      </c>
      <c r="BR168" t="s">
        <v>101</v>
      </c>
      <c r="BS168" t="s">
        <v>3470</v>
      </c>
      <c r="BT168" t="str">
        <f>HYPERLINK("https%3A%2F%2Fwww.webofscience.com%2Fwos%2Fwoscc%2Ffull-record%2FWOS:000306175500011","View Full Record in Web of Science")</f>
        <v>View Full Record in Web of Science</v>
      </c>
    </row>
    <row r="169" spans="1:72" x14ac:dyDescent="0.15">
      <c r="A169" t="s">
        <v>72</v>
      </c>
      <c r="B169" t="s">
        <v>3471</v>
      </c>
      <c r="C169" t="s">
        <v>74</v>
      </c>
      <c r="D169" t="s">
        <v>74</v>
      </c>
      <c r="E169" t="s">
        <v>74</v>
      </c>
      <c r="F169" t="s">
        <v>3472</v>
      </c>
      <c r="G169" t="s">
        <v>74</v>
      </c>
      <c r="H169" t="s">
        <v>74</v>
      </c>
      <c r="I169" t="s">
        <v>3473</v>
      </c>
      <c r="J169" t="s">
        <v>3474</v>
      </c>
      <c r="K169" t="s">
        <v>74</v>
      </c>
      <c r="L169" t="s">
        <v>74</v>
      </c>
      <c r="M169" t="s">
        <v>78</v>
      </c>
      <c r="N169" t="s">
        <v>79</v>
      </c>
      <c r="O169" t="s">
        <v>74</v>
      </c>
      <c r="P169" t="s">
        <v>74</v>
      </c>
      <c r="Q169" t="s">
        <v>74</v>
      </c>
      <c r="R169" t="s">
        <v>74</v>
      </c>
      <c r="S169" t="s">
        <v>74</v>
      </c>
      <c r="T169" t="s">
        <v>3475</v>
      </c>
      <c r="U169" t="s">
        <v>3476</v>
      </c>
      <c r="V169" t="s">
        <v>3477</v>
      </c>
      <c r="W169" t="s">
        <v>3478</v>
      </c>
      <c r="X169" t="s">
        <v>3479</v>
      </c>
      <c r="Y169" t="s">
        <v>3480</v>
      </c>
      <c r="Z169" t="s">
        <v>3481</v>
      </c>
      <c r="AA169" t="s">
        <v>3482</v>
      </c>
      <c r="AB169" t="s">
        <v>3483</v>
      </c>
      <c r="AC169" t="s">
        <v>3484</v>
      </c>
      <c r="AD169" t="s">
        <v>3485</v>
      </c>
      <c r="AE169" t="s">
        <v>3486</v>
      </c>
      <c r="AF169" t="s">
        <v>74</v>
      </c>
      <c r="AG169">
        <v>44</v>
      </c>
      <c r="AH169">
        <v>27</v>
      </c>
      <c r="AI169">
        <v>27</v>
      </c>
      <c r="AJ169">
        <v>1</v>
      </c>
      <c r="AK169">
        <v>8</v>
      </c>
      <c r="AL169" t="s">
        <v>3487</v>
      </c>
      <c r="AM169" t="s">
        <v>3488</v>
      </c>
      <c r="AN169" t="s">
        <v>3489</v>
      </c>
      <c r="AO169" t="s">
        <v>3490</v>
      </c>
      <c r="AP169" t="s">
        <v>74</v>
      </c>
      <c r="AQ169" t="s">
        <v>74</v>
      </c>
      <c r="AR169" t="s">
        <v>3491</v>
      </c>
      <c r="AS169" t="s">
        <v>3492</v>
      </c>
      <c r="AT169" t="s">
        <v>3442</v>
      </c>
      <c r="AU169">
        <v>2012</v>
      </c>
      <c r="AV169">
        <v>38</v>
      </c>
      <c r="AW169" t="s">
        <v>3493</v>
      </c>
      <c r="AX169" t="s">
        <v>74</v>
      </c>
      <c r="AY169" t="s">
        <v>74</v>
      </c>
      <c r="AZ169" t="s">
        <v>1913</v>
      </c>
      <c r="BA169" t="s">
        <v>74</v>
      </c>
      <c r="BB169">
        <v>223</v>
      </c>
      <c r="BC169">
        <v>244</v>
      </c>
      <c r="BD169" t="s">
        <v>74</v>
      </c>
      <c r="BE169" t="s">
        <v>3494</v>
      </c>
      <c r="BF169" t="str">
        <f>HYPERLINK("http://dx.doi.org/10.7773/cm.v38i1B.1831","http://dx.doi.org/10.7773/cm.v38i1B.1831")</f>
        <v>http://dx.doi.org/10.7773/cm.v38i1B.1831</v>
      </c>
      <c r="BG169" t="s">
        <v>74</v>
      </c>
      <c r="BH169" t="s">
        <v>74</v>
      </c>
      <c r="BI169">
        <v>22</v>
      </c>
      <c r="BJ169" t="s">
        <v>588</v>
      </c>
      <c r="BK169" t="s">
        <v>99</v>
      </c>
      <c r="BL169" t="s">
        <v>588</v>
      </c>
      <c r="BM169" t="s">
        <v>3495</v>
      </c>
      <c r="BN169" t="s">
        <v>74</v>
      </c>
      <c r="BO169" t="s">
        <v>3496</v>
      </c>
      <c r="BP169" t="s">
        <v>74</v>
      </c>
      <c r="BQ169" t="s">
        <v>74</v>
      </c>
      <c r="BR169" t="s">
        <v>101</v>
      </c>
      <c r="BS169" t="s">
        <v>3497</v>
      </c>
      <c r="BT169" t="str">
        <f>HYPERLINK("https%3A%2F%2Fwww.webofscience.com%2Fwos%2Fwoscc%2Ffull-record%2FWOS:000305593100007","View Full Record in Web of Science")</f>
        <v>View Full Record in Web of Science</v>
      </c>
    </row>
    <row r="170" spans="1:72" x14ac:dyDescent="0.15">
      <c r="A170" t="s">
        <v>72</v>
      </c>
      <c r="B170" t="s">
        <v>3498</v>
      </c>
      <c r="C170" t="s">
        <v>74</v>
      </c>
      <c r="D170" t="s">
        <v>74</v>
      </c>
      <c r="E170" t="s">
        <v>74</v>
      </c>
      <c r="F170" t="s">
        <v>3499</v>
      </c>
      <c r="G170" t="s">
        <v>74</v>
      </c>
      <c r="H170" t="s">
        <v>74</v>
      </c>
      <c r="I170" t="s">
        <v>3500</v>
      </c>
      <c r="J170" t="s">
        <v>3501</v>
      </c>
      <c r="K170" t="s">
        <v>74</v>
      </c>
      <c r="L170" t="s">
        <v>74</v>
      </c>
      <c r="M170" t="s">
        <v>78</v>
      </c>
      <c r="N170" t="s">
        <v>79</v>
      </c>
      <c r="O170" t="s">
        <v>74</v>
      </c>
      <c r="P170" t="s">
        <v>74</v>
      </c>
      <c r="Q170" t="s">
        <v>74</v>
      </c>
      <c r="R170" t="s">
        <v>74</v>
      </c>
      <c r="S170" t="s">
        <v>74</v>
      </c>
      <c r="T170" t="s">
        <v>3502</v>
      </c>
      <c r="U170" t="s">
        <v>3503</v>
      </c>
      <c r="V170" t="s">
        <v>3504</v>
      </c>
      <c r="W170" t="s">
        <v>3505</v>
      </c>
      <c r="X170" t="s">
        <v>3506</v>
      </c>
      <c r="Y170" t="s">
        <v>3507</v>
      </c>
      <c r="Z170" t="s">
        <v>3508</v>
      </c>
      <c r="AA170" t="s">
        <v>74</v>
      </c>
      <c r="AB170" t="s">
        <v>74</v>
      </c>
      <c r="AC170" t="s">
        <v>3509</v>
      </c>
      <c r="AD170" t="s">
        <v>3510</v>
      </c>
      <c r="AE170" t="s">
        <v>3511</v>
      </c>
      <c r="AF170" t="s">
        <v>74</v>
      </c>
      <c r="AG170">
        <v>119</v>
      </c>
      <c r="AH170">
        <v>10</v>
      </c>
      <c r="AI170">
        <v>12</v>
      </c>
      <c r="AJ170">
        <v>0</v>
      </c>
      <c r="AK170">
        <v>22</v>
      </c>
      <c r="AL170" t="s">
        <v>3512</v>
      </c>
      <c r="AM170" t="s">
        <v>3513</v>
      </c>
      <c r="AN170" t="s">
        <v>3514</v>
      </c>
      <c r="AO170" t="s">
        <v>3515</v>
      </c>
      <c r="AP170" t="s">
        <v>3516</v>
      </c>
      <c r="AQ170" t="s">
        <v>74</v>
      </c>
      <c r="AR170" t="s">
        <v>3517</v>
      </c>
      <c r="AS170" t="s">
        <v>3518</v>
      </c>
      <c r="AT170" t="s">
        <v>3442</v>
      </c>
      <c r="AU170">
        <v>2012</v>
      </c>
      <c r="AV170">
        <v>312</v>
      </c>
      <c r="AW170">
        <v>4</v>
      </c>
      <c r="AX170" t="s">
        <v>74</v>
      </c>
      <c r="AY170" t="s">
        <v>74</v>
      </c>
      <c r="AZ170" t="s">
        <v>74</v>
      </c>
      <c r="BA170" t="s">
        <v>74</v>
      </c>
      <c r="BB170">
        <v>417</v>
      </c>
      <c r="BC170">
        <v>448</v>
      </c>
      <c r="BD170" t="s">
        <v>74</v>
      </c>
      <c r="BE170" t="s">
        <v>3519</v>
      </c>
      <c r="BF170" t="str">
        <f>HYPERLINK("http://dx.doi.org/10.2475/04.2012.02","http://dx.doi.org/10.2475/04.2012.02")</f>
        <v>http://dx.doi.org/10.2475/04.2012.02</v>
      </c>
      <c r="BG170" t="s">
        <v>74</v>
      </c>
      <c r="BH170" t="s">
        <v>74</v>
      </c>
      <c r="BI170">
        <v>32</v>
      </c>
      <c r="BJ170" t="s">
        <v>194</v>
      </c>
      <c r="BK170" t="s">
        <v>99</v>
      </c>
      <c r="BL170" t="s">
        <v>195</v>
      </c>
      <c r="BM170" t="s">
        <v>3520</v>
      </c>
      <c r="BN170" t="s">
        <v>74</v>
      </c>
      <c r="BO170" t="s">
        <v>74</v>
      </c>
      <c r="BP170" t="s">
        <v>74</v>
      </c>
      <c r="BQ170" t="s">
        <v>74</v>
      </c>
      <c r="BR170" t="s">
        <v>101</v>
      </c>
      <c r="BS170" t="s">
        <v>3521</v>
      </c>
      <c r="BT170" t="str">
        <f>HYPERLINK("https%3A%2F%2Fwww.webofscience.com%2Fwos%2Fwoscc%2Ffull-record%2FWOS:000305373500002","View Full Record in Web of Science")</f>
        <v>View Full Record in Web of Science</v>
      </c>
    </row>
    <row r="171" spans="1:72" x14ac:dyDescent="0.15">
      <c r="A171" t="s">
        <v>72</v>
      </c>
      <c r="B171" t="s">
        <v>3522</v>
      </c>
      <c r="C171" t="s">
        <v>74</v>
      </c>
      <c r="D171" t="s">
        <v>74</v>
      </c>
      <c r="E171" t="s">
        <v>74</v>
      </c>
      <c r="F171" t="s">
        <v>3523</v>
      </c>
      <c r="G171" t="s">
        <v>74</v>
      </c>
      <c r="H171" t="s">
        <v>74</v>
      </c>
      <c r="I171" t="s">
        <v>3524</v>
      </c>
      <c r="J171" t="s">
        <v>3525</v>
      </c>
      <c r="K171" t="s">
        <v>74</v>
      </c>
      <c r="L171" t="s">
        <v>74</v>
      </c>
      <c r="M171" t="s">
        <v>78</v>
      </c>
      <c r="N171" t="s">
        <v>79</v>
      </c>
      <c r="O171" t="s">
        <v>74</v>
      </c>
      <c r="P171" t="s">
        <v>74</v>
      </c>
      <c r="Q171" t="s">
        <v>74</v>
      </c>
      <c r="R171" t="s">
        <v>74</v>
      </c>
      <c r="S171" t="s">
        <v>74</v>
      </c>
      <c r="T171" t="s">
        <v>3526</v>
      </c>
      <c r="U171" t="s">
        <v>3527</v>
      </c>
      <c r="V171" t="s">
        <v>3528</v>
      </c>
      <c r="W171" t="s">
        <v>3529</v>
      </c>
      <c r="X171" t="s">
        <v>3530</v>
      </c>
      <c r="Y171" t="s">
        <v>3531</v>
      </c>
      <c r="Z171" t="s">
        <v>3532</v>
      </c>
      <c r="AA171" t="s">
        <v>3533</v>
      </c>
      <c r="AB171" t="s">
        <v>3534</v>
      </c>
      <c r="AC171" t="s">
        <v>74</v>
      </c>
      <c r="AD171" t="s">
        <v>74</v>
      </c>
      <c r="AE171" t="s">
        <v>74</v>
      </c>
      <c r="AF171" t="s">
        <v>74</v>
      </c>
      <c r="AG171">
        <v>27</v>
      </c>
      <c r="AH171">
        <v>18</v>
      </c>
      <c r="AI171">
        <v>19</v>
      </c>
      <c r="AJ171">
        <v>0</v>
      </c>
      <c r="AK171">
        <v>13</v>
      </c>
      <c r="AL171" t="s">
        <v>655</v>
      </c>
      <c r="AM171" t="s">
        <v>656</v>
      </c>
      <c r="AN171" t="s">
        <v>657</v>
      </c>
      <c r="AO171" t="s">
        <v>3535</v>
      </c>
      <c r="AP171" t="s">
        <v>3536</v>
      </c>
      <c r="AQ171" t="s">
        <v>74</v>
      </c>
      <c r="AR171" t="s">
        <v>3537</v>
      </c>
      <c r="AS171" t="s">
        <v>3538</v>
      </c>
      <c r="AT171" t="s">
        <v>3442</v>
      </c>
      <c r="AU171">
        <v>2012</v>
      </c>
      <c r="AV171">
        <v>56</v>
      </c>
      <c r="AW171">
        <v>2</v>
      </c>
      <c r="AX171" t="s">
        <v>74</v>
      </c>
      <c r="AY171" t="s">
        <v>74</v>
      </c>
      <c r="AZ171" t="s">
        <v>74</v>
      </c>
      <c r="BA171" t="s">
        <v>74</v>
      </c>
      <c r="BB171">
        <v>307</v>
      </c>
      <c r="BC171">
        <v>322</v>
      </c>
      <c r="BD171" t="s">
        <v>74</v>
      </c>
      <c r="BE171" t="s">
        <v>3539</v>
      </c>
      <c r="BF171" t="str">
        <f>HYPERLINK("http://dx.doi.org/10.1007/s11200-011-9034-4","http://dx.doi.org/10.1007/s11200-011-9034-4")</f>
        <v>http://dx.doi.org/10.1007/s11200-011-9034-4</v>
      </c>
      <c r="BG171" t="s">
        <v>74</v>
      </c>
      <c r="BH171" t="s">
        <v>74</v>
      </c>
      <c r="BI171">
        <v>16</v>
      </c>
      <c r="BJ171" t="s">
        <v>1134</v>
      </c>
      <c r="BK171" t="s">
        <v>99</v>
      </c>
      <c r="BL171" t="s">
        <v>1134</v>
      </c>
      <c r="BM171" t="s">
        <v>3540</v>
      </c>
      <c r="BN171" t="s">
        <v>74</v>
      </c>
      <c r="BO171" t="s">
        <v>74</v>
      </c>
      <c r="BP171" t="s">
        <v>74</v>
      </c>
      <c r="BQ171" t="s">
        <v>74</v>
      </c>
      <c r="BR171" t="s">
        <v>101</v>
      </c>
      <c r="BS171" t="s">
        <v>3541</v>
      </c>
      <c r="BT171" t="str">
        <f>HYPERLINK("https%3A%2F%2Fwww.webofscience.com%2Fwos%2Fwoscc%2Ffull-record%2FWOS:000305218200001","View Full Record in Web of Science")</f>
        <v>View Full Record in Web of Science</v>
      </c>
    </row>
    <row r="172" spans="1:72" x14ac:dyDescent="0.15">
      <c r="A172" t="s">
        <v>72</v>
      </c>
      <c r="B172" t="s">
        <v>3542</v>
      </c>
      <c r="C172" t="s">
        <v>74</v>
      </c>
      <c r="D172" t="s">
        <v>74</v>
      </c>
      <c r="E172" t="s">
        <v>74</v>
      </c>
      <c r="F172" t="s">
        <v>3543</v>
      </c>
      <c r="G172" t="s">
        <v>74</v>
      </c>
      <c r="H172" t="s">
        <v>74</v>
      </c>
      <c r="I172" t="s">
        <v>3544</v>
      </c>
      <c r="J172" t="s">
        <v>3545</v>
      </c>
      <c r="K172" t="s">
        <v>74</v>
      </c>
      <c r="L172" t="s">
        <v>74</v>
      </c>
      <c r="M172" t="s">
        <v>78</v>
      </c>
      <c r="N172" t="s">
        <v>79</v>
      </c>
      <c r="O172" t="s">
        <v>74</v>
      </c>
      <c r="P172" t="s">
        <v>74</v>
      </c>
      <c r="Q172" t="s">
        <v>74</v>
      </c>
      <c r="R172" t="s">
        <v>74</v>
      </c>
      <c r="S172" t="s">
        <v>74</v>
      </c>
      <c r="T172" t="s">
        <v>3546</v>
      </c>
      <c r="U172" t="s">
        <v>3547</v>
      </c>
      <c r="V172" t="s">
        <v>3548</v>
      </c>
      <c r="W172" t="s">
        <v>3549</v>
      </c>
      <c r="X172" t="s">
        <v>3550</v>
      </c>
      <c r="Y172" t="s">
        <v>3551</v>
      </c>
      <c r="Z172" t="s">
        <v>3552</v>
      </c>
      <c r="AA172" t="s">
        <v>74</v>
      </c>
      <c r="AB172" t="s">
        <v>74</v>
      </c>
      <c r="AC172" t="s">
        <v>3553</v>
      </c>
      <c r="AD172" t="s">
        <v>3554</v>
      </c>
      <c r="AE172" t="s">
        <v>3555</v>
      </c>
      <c r="AF172" t="s">
        <v>74</v>
      </c>
      <c r="AG172">
        <v>29</v>
      </c>
      <c r="AH172">
        <v>9</v>
      </c>
      <c r="AI172">
        <v>10</v>
      </c>
      <c r="AJ172">
        <v>0</v>
      </c>
      <c r="AK172">
        <v>17</v>
      </c>
      <c r="AL172" t="s">
        <v>3556</v>
      </c>
      <c r="AM172" t="s">
        <v>3557</v>
      </c>
      <c r="AN172" t="s">
        <v>3558</v>
      </c>
      <c r="AO172" t="s">
        <v>3559</v>
      </c>
      <c r="AP172" t="s">
        <v>3560</v>
      </c>
      <c r="AQ172" t="s">
        <v>74</v>
      </c>
      <c r="AR172" t="s">
        <v>3561</v>
      </c>
      <c r="AS172" t="s">
        <v>3562</v>
      </c>
      <c r="AT172" t="s">
        <v>3442</v>
      </c>
      <c r="AU172">
        <v>2012</v>
      </c>
      <c r="AV172">
        <v>121</v>
      </c>
      <c r="AW172">
        <v>2</v>
      </c>
      <c r="AX172" t="s">
        <v>74</v>
      </c>
      <c r="AY172" t="s">
        <v>74</v>
      </c>
      <c r="AZ172" t="s">
        <v>74</v>
      </c>
      <c r="BA172" t="s">
        <v>74</v>
      </c>
      <c r="BB172">
        <v>345</v>
      </c>
      <c r="BC172">
        <v>353</v>
      </c>
      <c r="BD172" t="s">
        <v>74</v>
      </c>
      <c r="BE172" t="s">
        <v>3563</v>
      </c>
      <c r="BF172" t="str">
        <f>HYPERLINK("http://dx.doi.org/10.1007/s12040-012-0168-8","http://dx.doi.org/10.1007/s12040-012-0168-8")</f>
        <v>http://dx.doi.org/10.1007/s12040-012-0168-8</v>
      </c>
      <c r="BG172" t="s">
        <v>74</v>
      </c>
      <c r="BH172" t="s">
        <v>74</v>
      </c>
      <c r="BI172">
        <v>9</v>
      </c>
      <c r="BJ172" t="s">
        <v>3564</v>
      </c>
      <c r="BK172" t="s">
        <v>99</v>
      </c>
      <c r="BL172" t="s">
        <v>3565</v>
      </c>
      <c r="BM172" t="s">
        <v>3566</v>
      </c>
      <c r="BN172" t="s">
        <v>74</v>
      </c>
      <c r="BO172" t="s">
        <v>217</v>
      </c>
      <c r="BP172" t="s">
        <v>74</v>
      </c>
      <c r="BQ172" t="s">
        <v>74</v>
      </c>
      <c r="BR172" t="s">
        <v>101</v>
      </c>
      <c r="BS172" t="s">
        <v>3567</v>
      </c>
      <c r="BT172" t="str">
        <f>HYPERLINK("https%3A%2F%2Fwww.webofscience.com%2Fwos%2Fwoscc%2Ffull-record%2FWOS:000304660600007","View Full Record in Web of Science")</f>
        <v>View Full Record in Web of Science</v>
      </c>
    </row>
    <row r="173" spans="1:72" x14ac:dyDescent="0.15">
      <c r="A173" t="s">
        <v>72</v>
      </c>
      <c r="B173" t="s">
        <v>3568</v>
      </c>
      <c r="C173" t="s">
        <v>74</v>
      </c>
      <c r="D173" t="s">
        <v>74</v>
      </c>
      <c r="E173" t="s">
        <v>74</v>
      </c>
      <c r="F173" t="s">
        <v>3569</v>
      </c>
      <c r="G173" t="s">
        <v>74</v>
      </c>
      <c r="H173" t="s">
        <v>74</v>
      </c>
      <c r="I173" t="s">
        <v>3570</v>
      </c>
      <c r="J173" t="s">
        <v>3571</v>
      </c>
      <c r="K173" t="s">
        <v>74</v>
      </c>
      <c r="L173" t="s">
        <v>74</v>
      </c>
      <c r="M173" t="s">
        <v>78</v>
      </c>
      <c r="N173" t="s">
        <v>79</v>
      </c>
      <c r="O173" t="s">
        <v>74</v>
      </c>
      <c r="P173" t="s">
        <v>74</v>
      </c>
      <c r="Q173" t="s">
        <v>74</v>
      </c>
      <c r="R173" t="s">
        <v>74</v>
      </c>
      <c r="S173" t="s">
        <v>74</v>
      </c>
      <c r="T173" t="s">
        <v>3572</v>
      </c>
      <c r="U173" t="s">
        <v>3573</v>
      </c>
      <c r="V173" t="s">
        <v>3574</v>
      </c>
      <c r="W173" t="s">
        <v>3575</v>
      </c>
      <c r="X173" t="s">
        <v>74</v>
      </c>
      <c r="Y173" t="s">
        <v>3576</v>
      </c>
      <c r="Z173" t="s">
        <v>3577</v>
      </c>
      <c r="AA173" t="s">
        <v>74</v>
      </c>
      <c r="AB173" t="s">
        <v>74</v>
      </c>
      <c r="AC173" t="s">
        <v>3578</v>
      </c>
      <c r="AD173" t="s">
        <v>3579</v>
      </c>
      <c r="AE173" t="s">
        <v>3580</v>
      </c>
      <c r="AF173" t="s">
        <v>74</v>
      </c>
      <c r="AG173">
        <v>76</v>
      </c>
      <c r="AH173">
        <v>52</v>
      </c>
      <c r="AI173">
        <v>58</v>
      </c>
      <c r="AJ173">
        <v>1</v>
      </c>
      <c r="AK173">
        <v>48</v>
      </c>
      <c r="AL173" t="s">
        <v>2414</v>
      </c>
      <c r="AM173" t="s">
        <v>2415</v>
      </c>
      <c r="AN173" t="s">
        <v>2416</v>
      </c>
      <c r="AO173" t="s">
        <v>3581</v>
      </c>
      <c r="AP173" t="s">
        <v>3582</v>
      </c>
      <c r="AQ173" t="s">
        <v>74</v>
      </c>
      <c r="AR173" t="s">
        <v>3583</v>
      </c>
      <c r="AS173" t="s">
        <v>3584</v>
      </c>
      <c r="AT173" t="s">
        <v>3442</v>
      </c>
      <c r="AU173">
        <v>2012</v>
      </c>
      <c r="AV173">
        <v>153</v>
      </c>
      <c r="AW173">
        <v>2</v>
      </c>
      <c r="AX173" t="s">
        <v>74</v>
      </c>
      <c r="AY173" t="s">
        <v>74</v>
      </c>
      <c r="AZ173" t="s">
        <v>74</v>
      </c>
      <c r="BA173" t="s">
        <v>74</v>
      </c>
      <c r="BB173">
        <v>313</v>
      </c>
      <c r="BC173">
        <v>326</v>
      </c>
      <c r="BD173" t="s">
        <v>74</v>
      </c>
      <c r="BE173" t="s">
        <v>3585</v>
      </c>
      <c r="BF173" t="str">
        <f>HYPERLINK("http://dx.doi.org/10.1007/s10336-011-0745-7","http://dx.doi.org/10.1007/s10336-011-0745-7")</f>
        <v>http://dx.doi.org/10.1007/s10336-011-0745-7</v>
      </c>
      <c r="BG173" t="s">
        <v>74</v>
      </c>
      <c r="BH173" t="s">
        <v>74</v>
      </c>
      <c r="BI173">
        <v>14</v>
      </c>
      <c r="BJ173" t="s">
        <v>917</v>
      </c>
      <c r="BK173" t="s">
        <v>99</v>
      </c>
      <c r="BL173" t="s">
        <v>98</v>
      </c>
      <c r="BM173" t="s">
        <v>3586</v>
      </c>
      <c r="BN173" t="s">
        <v>74</v>
      </c>
      <c r="BO173" t="s">
        <v>74</v>
      </c>
      <c r="BP173" t="s">
        <v>74</v>
      </c>
      <c r="BQ173" t="s">
        <v>74</v>
      </c>
      <c r="BR173" t="s">
        <v>101</v>
      </c>
      <c r="BS173" t="s">
        <v>3587</v>
      </c>
      <c r="BT173" t="str">
        <f>HYPERLINK("https%3A%2F%2Fwww.webofscience.com%2Fwos%2Fwoscc%2Ffull-record%2FWOS:000304734700008","View Full Record in Web of Science")</f>
        <v>View Full Record in Web of Science</v>
      </c>
    </row>
    <row r="174" spans="1:72" x14ac:dyDescent="0.15">
      <c r="A174" t="s">
        <v>72</v>
      </c>
      <c r="B174" t="s">
        <v>3588</v>
      </c>
      <c r="C174" t="s">
        <v>74</v>
      </c>
      <c r="D174" t="s">
        <v>74</v>
      </c>
      <c r="E174" t="s">
        <v>74</v>
      </c>
      <c r="F174" t="s">
        <v>3589</v>
      </c>
      <c r="G174" t="s">
        <v>74</v>
      </c>
      <c r="H174" t="s">
        <v>74</v>
      </c>
      <c r="I174" t="s">
        <v>3590</v>
      </c>
      <c r="J174" t="s">
        <v>3591</v>
      </c>
      <c r="K174" t="s">
        <v>74</v>
      </c>
      <c r="L174" t="s">
        <v>74</v>
      </c>
      <c r="M174" t="s">
        <v>78</v>
      </c>
      <c r="N174" t="s">
        <v>79</v>
      </c>
      <c r="O174" t="s">
        <v>74</v>
      </c>
      <c r="P174" t="s">
        <v>74</v>
      </c>
      <c r="Q174" t="s">
        <v>74</v>
      </c>
      <c r="R174" t="s">
        <v>74</v>
      </c>
      <c r="S174" t="s">
        <v>74</v>
      </c>
      <c r="T174" t="s">
        <v>3592</v>
      </c>
      <c r="U174" t="s">
        <v>3593</v>
      </c>
      <c r="V174" t="s">
        <v>3594</v>
      </c>
      <c r="W174" t="s">
        <v>3595</v>
      </c>
      <c r="X174" t="s">
        <v>3596</v>
      </c>
      <c r="Y174" t="s">
        <v>3597</v>
      </c>
      <c r="Z174" t="s">
        <v>3598</v>
      </c>
      <c r="AA174" t="s">
        <v>74</v>
      </c>
      <c r="AB174" t="s">
        <v>3599</v>
      </c>
      <c r="AC174" t="s">
        <v>3600</v>
      </c>
      <c r="AD174" t="s">
        <v>3601</v>
      </c>
      <c r="AE174" t="s">
        <v>3602</v>
      </c>
      <c r="AF174" t="s">
        <v>74</v>
      </c>
      <c r="AG174">
        <v>39</v>
      </c>
      <c r="AH174">
        <v>5</v>
      </c>
      <c r="AI174">
        <v>6</v>
      </c>
      <c r="AJ174">
        <v>1</v>
      </c>
      <c r="AK174">
        <v>4</v>
      </c>
      <c r="AL174" t="s">
        <v>3603</v>
      </c>
      <c r="AM174" t="s">
        <v>889</v>
      </c>
      <c r="AN174" t="s">
        <v>3604</v>
      </c>
      <c r="AO174" t="s">
        <v>3605</v>
      </c>
      <c r="AP174" t="s">
        <v>74</v>
      </c>
      <c r="AQ174" t="s">
        <v>74</v>
      </c>
      <c r="AR174" t="s">
        <v>3606</v>
      </c>
      <c r="AS174" t="s">
        <v>3607</v>
      </c>
      <c r="AT174" t="s">
        <v>3442</v>
      </c>
      <c r="AU174">
        <v>2012</v>
      </c>
      <c r="AV174">
        <v>33</v>
      </c>
      <c r="AW174">
        <v>2</v>
      </c>
      <c r="AX174" t="s">
        <v>74</v>
      </c>
      <c r="AY174" t="s">
        <v>74</v>
      </c>
      <c r="AZ174" t="s">
        <v>74</v>
      </c>
      <c r="BA174" t="s">
        <v>74</v>
      </c>
      <c r="BB174">
        <v>159</v>
      </c>
      <c r="BC174">
        <v>167</v>
      </c>
      <c r="BD174" t="s">
        <v>74</v>
      </c>
      <c r="BE174" t="s">
        <v>3608</v>
      </c>
      <c r="BF174" t="str">
        <f>HYPERLINK("http://dx.doi.org/10.7872/cryb.v33.iss2.2012.159","http://dx.doi.org/10.7872/cryb.v33.iss2.2012.159")</f>
        <v>http://dx.doi.org/10.7872/cryb.v33.iss2.2012.159</v>
      </c>
      <c r="BG174" t="s">
        <v>74</v>
      </c>
      <c r="BH174" t="s">
        <v>74</v>
      </c>
      <c r="BI174">
        <v>9</v>
      </c>
      <c r="BJ174" t="s">
        <v>396</v>
      </c>
      <c r="BK174" t="s">
        <v>99</v>
      </c>
      <c r="BL174" t="s">
        <v>396</v>
      </c>
      <c r="BM174" t="s">
        <v>3609</v>
      </c>
      <c r="BN174" t="s">
        <v>74</v>
      </c>
      <c r="BO174" t="s">
        <v>74</v>
      </c>
      <c r="BP174" t="s">
        <v>74</v>
      </c>
      <c r="BQ174" t="s">
        <v>74</v>
      </c>
      <c r="BR174" t="s">
        <v>101</v>
      </c>
      <c r="BS174" t="s">
        <v>3610</v>
      </c>
      <c r="BT174" t="str">
        <f>HYPERLINK("https%3A%2F%2Fwww.webofscience.com%2Fwos%2Fwoscc%2Ffull-record%2FWOS:000304430400008","View Full Record in Web of Science")</f>
        <v>View Full Record in Web of Science</v>
      </c>
    </row>
    <row r="175" spans="1:72" x14ac:dyDescent="0.15">
      <c r="A175" t="s">
        <v>72</v>
      </c>
      <c r="B175" t="s">
        <v>3611</v>
      </c>
      <c r="C175" t="s">
        <v>74</v>
      </c>
      <c r="D175" t="s">
        <v>74</v>
      </c>
      <c r="E175" t="s">
        <v>74</v>
      </c>
      <c r="F175" t="s">
        <v>3612</v>
      </c>
      <c r="G175" t="s">
        <v>74</v>
      </c>
      <c r="H175" t="s">
        <v>74</v>
      </c>
      <c r="I175" t="s">
        <v>3613</v>
      </c>
      <c r="J175" t="s">
        <v>3591</v>
      </c>
      <c r="K175" t="s">
        <v>74</v>
      </c>
      <c r="L175" t="s">
        <v>74</v>
      </c>
      <c r="M175" t="s">
        <v>78</v>
      </c>
      <c r="N175" t="s">
        <v>79</v>
      </c>
      <c r="O175" t="s">
        <v>74</v>
      </c>
      <c r="P175" t="s">
        <v>74</v>
      </c>
      <c r="Q175" t="s">
        <v>74</v>
      </c>
      <c r="R175" t="s">
        <v>74</v>
      </c>
      <c r="S175" t="s">
        <v>74</v>
      </c>
      <c r="T175" t="s">
        <v>3614</v>
      </c>
      <c r="U175" t="s">
        <v>3615</v>
      </c>
      <c r="V175" t="s">
        <v>3616</v>
      </c>
      <c r="W175" t="s">
        <v>3617</v>
      </c>
      <c r="X175" t="s">
        <v>3618</v>
      </c>
      <c r="Y175" t="s">
        <v>3619</v>
      </c>
      <c r="Z175" t="s">
        <v>3620</v>
      </c>
      <c r="AA175" t="s">
        <v>3621</v>
      </c>
      <c r="AB175" t="s">
        <v>3622</v>
      </c>
      <c r="AC175" t="s">
        <v>3623</v>
      </c>
      <c r="AD175" t="s">
        <v>3624</v>
      </c>
      <c r="AE175" t="s">
        <v>3625</v>
      </c>
      <c r="AF175" t="s">
        <v>74</v>
      </c>
      <c r="AG175">
        <v>47</v>
      </c>
      <c r="AH175">
        <v>13</v>
      </c>
      <c r="AI175">
        <v>13</v>
      </c>
      <c r="AJ175">
        <v>2</v>
      </c>
      <c r="AK175">
        <v>18</v>
      </c>
      <c r="AL175" t="s">
        <v>3603</v>
      </c>
      <c r="AM175" t="s">
        <v>889</v>
      </c>
      <c r="AN175" t="s">
        <v>3604</v>
      </c>
      <c r="AO175" t="s">
        <v>3605</v>
      </c>
      <c r="AP175" t="s">
        <v>3626</v>
      </c>
      <c r="AQ175" t="s">
        <v>74</v>
      </c>
      <c r="AR175" t="s">
        <v>3606</v>
      </c>
      <c r="AS175" t="s">
        <v>3607</v>
      </c>
      <c r="AT175" t="s">
        <v>3442</v>
      </c>
      <c r="AU175">
        <v>2012</v>
      </c>
      <c r="AV175">
        <v>33</v>
      </c>
      <c r="AW175">
        <v>2</v>
      </c>
      <c r="AX175" t="s">
        <v>74</v>
      </c>
      <c r="AY175" t="s">
        <v>74</v>
      </c>
      <c r="AZ175" t="s">
        <v>74</v>
      </c>
      <c r="BA175" t="s">
        <v>74</v>
      </c>
      <c r="BB175">
        <v>169</v>
      </c>
      <c r="BC175">
        <v>184</v>
      </c>
      <c r="BD175" t="s">
        <v>74</v>
      </c>
      <c r="BE175" t="s">
        <v>3627</v>
      </c>
      <c r="BF175" t="str">
        <f>HYPERLINK("http://dx.doi.org/10.7872/cryb.v33.iss2.2012.169","http://dx.doi.org/10.7872/cryb.v33.iss2.2012.169")</f>
        <v>http://dx.doi.org/10.7872/cryb.v33.iss2.2012.169</v>
      </c>
      <c r="BG175" t="s">
        <v>74</v>
      </c>
      <c r="BH175" t="s">
        <v>74</v>
      </c>
      <c r="BI175">
        <v>16</v>
      </c>
      <c r="BJ175" t="s">
        <v>396</v>
      </c>
      <c r="BK175" t="s">
        <v>99</v>
      </c>
      <c r="BL175" t="s">
        <v>396</v>
      </c>
      <c r="BM175" t="s">
        <v>3609</v>
      </c>
      <c r="BN175" t="s">
        <v>74</v>
      </c>
      <c r="BO175" t="s">
        <v>74</v>
      </c>
      <c r="BP175" t="s">
        <v>74</v>
      </c>
      <c r="BQ175" t="s">
        <v>74</v>
      </c>
      <c r="BR175" t="s">
        <v>101</v>
      </c>
      <c r="BS175" t="s">
        <v>3628</v>
      </c>
      <c r="BT175" t="str">
        <f>HYPERLINK("https%3A%2F%2Fwww.webofscience.com%2Fwos%2Fwoscc%2Ffull-record%2FWOS:000304430400009","View Full Record in Web of Science")</f>
        <v>View Full Record in Web of Science</v>
      </c>
    </row>
    <row r="176" spans="1:72" x14ac:dyDescent="0.15">
      <c r="A176" t="s">
        <v>72</v>
      </c>
      <c r="B176" t="s">
        <v>3629</v>
      </c>
      <c r="C176" t="s">
        <v>74</v>
      </c>
      <c r="D176" t="s">
        <v>74</v>
      </c>
      <c r="E176" t="s">
        <v>74</v>
      </c>
      <c r="F176" t="s">
        <v>3630</v>
      </c>
      <c r="G176" t="s">
        <v>74</v>
      </c>
      <c r="H176" t="s">
        <v>74</v>
      </c>
      <c r="I176" t="s">
        <v>3631</v>
      </c>
      <c r="J176" t="s">
        <v>3632</v>
      </c>
      <c r="K176" t="s">
        <v>74</v>
      </c>
      <c r="L176" t="s">
        <v>74</v>
      </c>
      <c r="M176" t="s">
        <v>78</v>
      </c>
      <c r="N176" t="s">
        <v>79</v>
      </c>
      <c r="O176" t="s">
        <v>74</v>
      </c>
      <c r="P176" t="s">
        <v>74</v>
      </c>
      <c r="Q176" t="s">
        <v>74</v>
      </c>
      <c r="R176" t="s">
        <v>74</v>
      </c>
      <c r="S176" t="s">
        <v>74</v>
      </c>
      <c r="T176" t="s">
        <v>3633</v>
      </c>
      <c r="U176" t="s">
        <v>3634</v>
      </c>
      <c r="V176" t="s">
        <v>3635</v>
      </c>
      <c r="W176" t="s">
        <v>3636</v>
      </c>
      <c r="X176" t="s">
        <v>3637</v>
      </c>
      <c r="Y176" t="s">
        <v>3638</v>
      </c>
      <c r="Z176" t="s">
        <v>3639</v>
      </c>
      <c r="AA176" t="s">
        <v>3640</v>
      </c>
      <c r="AB176" t="s">
        <v>3641</v>
      </c>
      <c r="AC176" t="s">
        <v>3642</v>
      </c>
      <c r="AD176" t="s">
        <v>3643</v>
      </c>
      <c r="AE176" t="s">
        <v>3644</v>
      </c>
      <c r="AF176" t="s">
        <v>74</v>
      </c>
      <c r="AG176">
        <v>26</v>
      </c>
      <c r="AH176">
        <v>4</v>
      </c>
      <c r="AI176">
        <v>5</v>
      </c>
      <c r="AJ176">
        <v>2</v>
      </c>
      <c r="AK176">
        <v>14</v>
      </c>
      <c r="AL176" t="s">
        <v>3645</v>
      </c>
      <c r="AM176" t="s">
        <v>1084</v>
      </c>
      <c r="AN176" t="s">
        <v>3646</v>
      </c>
      <c r="AO176" t="s">
        <v>3647</v>
      </c>
      <c r="AP176" t="s">
        <v>74</v>
      </c>
      <c r="AQ176" t="s">
        <v>74</v>
      </c>
      <c r="AR176" t="s">
        <v>3648</v>
      </c>
      <c r="AS176" t="s">
        <v>3649</v>
      </c>
      <c r="AT176" t="s">
        <v>3442</v>
      </c>
      <c r="AU176">
        <v>2012</v>
      </c>
      <c r="AV176">
        <v>25</v>
      </c>
      <c r="AW176">
        <v>2</v>
      </c>
      <c r="AX176" t="s">
        <v>74</v>
      </c>
      <c r="AY176" t="s">
        <v>74</v>
      </c>
      <c r="AZ176" t="s">
        <v>74</v>
      </c>
      <c r="BA176" t="s">
        <v>74</v>
      </c>
      <c r="BB176">
        <v>210</v>
      </c>
      <c r="BC176">
        <v>215</v>
      </c>
      <c r="BD176" t="s">
        <v>74</v>
      </c>
      <c r="BE176" t="s">
        <v>3650</v>
      </c>
      <c r="BF176" t="str">
        <f>HYPERLINK("http://dx.doi.org/10.3967/0895-3988.2012.02.013","http://dx.doi.org/10.3967/0895-3988.2012.02.013")</f>
        <v>http://dx.doi.org/10.3967/0895-3988.2012.02.013</v>
      </c>
      <c r="BG176" t="s">
        <v>74</v>
      </c>
      <c r="BH176" t="s">
        <v>74</v>
      </c>
      <c r="BI176">
        <v>6</v>
      </c>
      <c r="BJ176" t="s">
        <v>3651</v>
      </c>
      <c r="BK176" t="s">
        <v>99</v>
      </c>
      <c r="BL176" t="s">
        <v>3652</v>
      </c>
      <c r="BM176" t="s">
        <v>3653</v>
      </c>
      <c r="BN176">
        <v>22998829</v>
      </c>
      <c r="BO176" t="s">
        <v>74</v>
      </c>
      <c r="BP176" t="s">
        <v>74</v>
      </c>
      <c r="BQ176" t="s">
        <v>74</v>
      </c>
      <c r="BR176" t="s">
        <v>101</v>
      </c>
      <c r="BS176" t="s">
        <v>3654</v>
      </c>
      <c r="BT176" t="str">
        <f>HYPERLINK("https%3A%2F%2Fwww.webofscience.com%2Fwos%2Fwoscc%2Ffull-record%2FWOS:000304496200013","View Full Record in Web of Science")</f>
        <v>View Full Record in Web of Science</v>
      </c>
    </row>
    <row r="177" spans="1:72" x14ac:dyDescent="0.15">
      <c r="A177" t="s">
        <v>72</v>
      </c>
      <c r="B177" t="s">
        <v>3655</v>
      </c>
      <c r="C177" t="s">
        <v>74</v>
      </c>
      <c r="D177" t="s">
        <v>74</v>
      </c>
      <c r="E177" t="s">
        <v>74</v>
      </c>
      <c r="F177" t="s">
        <v>3656</v>
      </c>
      <c r="G177" t="s">
        <v>74</v>
      </c>
      <c r="H177" t="s">
        <v>74</v>
      </c>
      <c r="I177" t="s">
        <v>3657</v>
      </c>
      <c r="J177" t="s">
        <v>3658</v>
      </c>
      <c r="K177" t="s">
        <v>74</v>
      </c>
      <c r="L177" t="s">
        <v>74</v>
      </c>
      <c r="M177" t="s">
        <v>78</v>
      </c>
      <c r="N177" t="s">
        <v>79</v>
      </c>
      <c r="O177" t="s">
        <v>74</v>
      </c>
      <c r="P177" t="s">
        <v>74</v>
      </c>
      <c r="Q177" t="s">
        <v>74</v>
      </c>
      <c r="R177" t="s">
        <v>74</v>
      </c>
      <c r="S177" t="s">
        <v>74</v>
      </c>
      <c r="T177" t="s">
        <v>3659</v>
      </c>
      <c r="U177" t="s">
        <v>74</v>
      </c>
      <c r="V177" t="s">
        <v>3660</v>
      </c>
      <c r="W177" t="s">
        <v>3661</v>
      </c>
      <c r="X177" t="s">
        <v>3662</v>
      </c>
      <c r="Y177" t="s">
        <v>3663</v>
      </c>
      <c r="Z177" t="s">
        <v>3664</v>
      </c>
      <c r="AA177" t="s">
        <v>3665</v>
      </c>
      <c r="AB177" t="s">
        <v>74</v>
      </c>
      <c r="AC177" t="s">
        <v>3666</v>
      </c>
      <c r="AD177" t="s">
        <v>3667</v>
      </c>
      <c r="AE177" t="s">
        <v>3668</v>
      </c>
      <c r="AF177" t="s">
        <v>74</v>
      </c>
      <c r="AG177">
        <v>7</v>
      </c>
      <c r="AH177">
        <v>0</v>
      </c>
      <c r="AI177">
        <v>0</v>
      </c>
      <c r="AJ177">
        <v>0</v>
      </c>
      <c r="AK177">
        <v>0</v>
      </c>
      <c r="AL177" t="s">
        <v>3669</v>
      </c>
      <c r="AM177" t="s">
        <v>3670</v>
      </c>
      <c r="AN177" t="s">
        <v>3671</v>
      </c>
      <c r="AO177" t="s">
        <v>3672</v>
      </c>
      <c r="AP177" t="s">
        <v>3673</v>
      </c>
      <c r="AQ177" t="s">
        <v>74</v>
      </c>
      <c r="AR177" t="s">
        <v>3674</v>
      </c>
      <c r="AS177" t="s">
        <v>3675</v>
      </c>
      <c r="AT177" t="s">
        <v>3442</v>
      </c>
      <c r="AU177">
        <v>2012</v>
      </c>
      <c r="AV177">
        <v>39</v>
      </c>
      <c r="AW177">
        <v>4</v>
      </c>
      <c r="AX177" t="s">
        <v>74</v>
      </c>
      <c r="AY177" t="s">
        <v>74</v>
      </c>
      <c r="AZ177" t="s">
        <v>74</v>
      </c>
      <c r="BA177" t="s">
        <v>74</v>
      </c>
      <c r="BB177">
        <v>124</v>
      </c>
      <c r="BC177">
        <v>129</v>
      </c>
      <c r="BD177" t="s">
        <v>74</v>
      </c>
      <c r="BE177" t="s">
        <v>3676</v>
      </c>
      <c r="BF177" t="str">
        <f>HYPERLINK("http://dx.doi.org/10.3103/S1068335612040069","http://dx.doi.org/10.3103/S1068335612040069")</f>
        <v>http://dx.doi.org/10.3103/S1068335612040069</v>
      </c>
      <c r="BG177" t="s">
        <v>74</v>
      </c>
      <c r="BH177" t="s">
        <v>74</v>
      </c>
      <c r="BI177">
        <v>6</v>
      </c>
      <c r="BJ177" t="s">
        <v>3677</v>
      </c>
      <c r="BK177" t="s">
        <v>99</v>
      </c>
      <c r="BL177" t="s">
        <v>3678</v>
      </c>
      <c r="BM177" t="s">
        <v>3679</v>
      </c>
      <c r="BN177" t="s">
        <v>74</v>
      </c>
      <c r="BO177" t="s">
        <v>74</v>
      </c>
      <c r="BP177" t="s">
        <v>74</v>
      </c>
      <c r="BQ177" t="s">
        <v>74</v>
      </c>
      <c r="BR177" t="s">
        <v>101</v>
      </c>
      <c r="BS177" t="s">
        <v>3680</v>
      </c>
      <c r="BT177" t="str">
        <f>HYPERLINK("https%3A%2F%2Fwww.webofscience.com%2Fwos%2Fwoscc%2Ffull-record%2FWOS:000303582200006","View Full Record in Web of Science")</f>
        <v>View Full Record in Web of Science</v>
      </c>
    </row>
    <row r="178" spans="1:72" x14ac:dyDescent="0.15">
      <c r="A178" t="s">
        <v>72</v>
      </c>
      <c r="B178" t="s">
        <v>3681</v>
      </c>
      <c r="C178" t="s">
        <v>74</v>
      </c>
      <c r="D178" t="s">
        <v>74</v>
      </c>
      <c r="E178" t="s">
        <v>74</v>
      </c>
      <c r="F178" t="s">
        <v>3682</v>
      </c>
      <c r="G178" t="s">
        <v>74</v>
      </c>
      <c r="H178" t="s">
        <v>74</v>
      </c>
      <c r="I178" t="s">
        <v>3683</v>
      </c>
      <c r="J178" t="s">
        <v>3684</v>
      </c>
      <c r="K178" t="s">
        <v>74</v>
      </c>
      <c r="L178" t="s">
        <v>74</v>
      </c>
      <c r="M178" t="s">
        <v>78</v>
      </c>
      <c r="N178" t="s">
        <v>79</v>
      </c>
      <c r="O178" t="s">
        <v>74</v>
      </c>
      <c r="P178" t="s">
        <v>74</v>
      </c>
      <c r="Q178" t="s">
        <v>74</v>
      </c>
      <c r="R178" t="s">
        <v>74</v>
      </c>
      <c r="S178" t="s">
        <v>74</v>
      </c>
      <c r="T178" t="s">
        <v>3685</v>
      </c>
      <c r="U178" t="s">
        <v>3686</v>
      </c>
      <c r="V178" t="s">
        <v>3687</v>
      </c>
      <c r="W178" t="s">
        <v>3688</v>
      </c>
      <c r="X178" t="s">
        <v>3689</v>
      </c>
      <c r="Y178" t="s">
        <v>3690</v>
      </c>
      <c r="Z178" t="s">
        <v>3691</v>
      </c>
      <c r="AA178" t="s">
        <v>3692</v>
      </c>
      <c r="AB178" t="s">
        <v>74</v>
      </c>
      <c r="AC178" t="s">
        <v>3693</v>
      </c>
      <c r="AD178" t="s">
        <v>3694</v>
      </c>
      <c r="AE178" t="s">
        <v>3695</v>
      </c>
      <c r="AF178" t="s">
        <v>74</v>
      </c>
      <c r="AG178">
        <v>36</v>
      </c>
      <c r="AH178">
        <v>4</v>
      </c>
      <c r="AI178">
        <v>4</v>
      </c>
      <c r="AJ178">
        <v>3</v>
      </c>
      <c r="AK178">
        <v>34</v>
      </c>
      <c r="AL178" t="s">
        <v>3696</v>
      </c>
      <c r="AM178" t="s">
        <v>3697</v>
      </c>
      <c r="AN178" t="s">
        <v>3698</v>
      </c>
      <c r="AO178" t="s">
        <v>3699</v>
      </c>
      <c r="AP178" t="s">
        <v>3700</v>
      </c>
      <c r="AQ178" t="s">
        <v>74</v>
      </c>
      <c r="AR178" t="s">
        <v>3701</v>
      </c>
      <c r="AS178" t="s">
        <v>3702</v>
      </c>
      <c r="AT178" t="s">
        <v>3442</v>
      </c>
      <c r="AU178">
        <v>2012</v>
      </c>
      <c r="AV178">
        <v>42</v>
      </c>
      <c r="AW178" t="s">
        <v>3703</v>
      </c>
      <c r="AX178" t="s">
        <v>74</v>
      </c>
      <c r="AY178" t="s">
        <v>74</v>
      </c>
      <c r="AZ178" t="s">
        <v>74</v>
      </c>
      <c r="BA178" t="s">
        <v>74</v>
      </c>
      <c r="BB178">
        <v>202</v>
      </c>
      <c r="BC178">
        <v>209</v>
      </c>
      <c r="BD178" t="s">
        <v>74</v>
      </c>
      <c r="BE178" t="s">
        <v>3704</v>
      </c>
      <c r="BF178" t="str">
        <f>HYPERLINK("http://dx.doi.org/10.5004/dwt.2012.2822","http://dx.doi.org/10.5004/dwt.2012.2822")</f>
        <v>http://dx.doi.org/10.5004/dwt.2012.2822</v>
      </c>
      <c r="BG178" t="s">
        <v>74</v>
      </c>
      <c r="BH178" t="s">
        <v>74</v>
      </c>
      <c r="BI178">
        <v>8</v>
      </c>
      <c r="BJ178" t="s">
        <v>3705</v>
      </c>
      <c r="BK178" t="s">
        <v>99</v>
      </c>
      <c r="BL178" t="s">
        <v>3706</v>
      </c>
      <c r="BM178" t="s">
        <v>3707</v>
      </c>
      <c r="BN178" t="s">
        <v>74</v>
      </c>
      <c r="BO178" t="s">
        <v>74</v>
      </c>
      <c r="BP178" t="s">
        <v>74</v>
      </c>
      <c r="BQ178" t="s">
        <v>74</v>
      </c>
      <c r="BR178" t="s">
        <v>101</v>
      </c>
      <c r="BS178" t="s">
        <v>3708</v>
      </c>
      <c r="BT178" t="str">
        <f>HYPERLINK("https%3A%2F%2Fwww.webofscience.com%2Fwos%2Fwoscc%2Ffull-record%2FWOS:000303570800028","View Full Record in Web of Science")</f>
        <v>View Full Record in Web of Science</v>
      </c>
    </row>
    <row r="179" spans="1:72" x14ac:dyDescent="0.15">
      <c r="A179" t="s">
        <v>72</v>
      </c>
      <c r="B179" t="s">
        <v>3709</v>
      </c>
      <c r="C179" t="s">
        <v>74</v>
      </c>
      <c r="D179" t="s">
        <v>74</v>
      </c>
      <c r="E179" t="s">
        <v>74</v>
      </c>
      <c r="F179" t="s">
        <v>3710</v>
      </c>
      <c r="G179" t="s">
        <v>74</v>
      </c>
      <c r="H179" t="s">
        <v>74</v>
      </c>
      <c r="I179" t="s">
        <v>3711</v>
      </c>
      <c r="J179" t="s">
        <v>3712</v>
      </c>
      <c r="K179" t="s">
        <v>74</v>
      </c>
      <c r="L179" t="s">
        <v>74</v>
      </c>
      <c r="M179" t="s">
        <v>78</v>
      </c>
      <c r="N179" t="s">
        <v>79</v>
      </c>
      <c r="O179" t="s">
        <v>74</v>
      </c>
      <c r="P179" t="s">
        <v>74</v>
      </c>
      <c r="Q179" t="s">
        <v>74</v>
      </c>
      <c r="R179" t="s">
        <v>74</v>
      </c>
      <c r="S179" t="s">
        <v>74</v>
      </c>
      <c r="T179" t="s">
        <v>3713</v>
      </c>
      <c r="U179" t="s">
        <v>3714</v>
      </c>
      <c r="V179" t="s">
        <v>3715</v>
      </c>
      <c r="W179" t="s">
        <v>3716</v>
      </c>
      <c r="X179" t="s">
        <v>3717</v>
      </c>
      <c r="Y179" t="s">
        <v>3718</v>
      </c>
      <c r="Z179" t="s">
        <v>3719</v>
      </c>
      <c r="AA179" t="s">
        <v>74</v>
      </c>
      <c r="AB179" t="s">
        <v>74</v>
      </c>
      <c r="AC179" t="s">
        <v>3720</v>
      </c>
      <c r="AD179" t="s">
        <v>3721</v>
      </c>
      <c r="AE179" t="s">
        <v>3722</v>
      </c>
      <c r="AF179" t="s">
        <v>74</v>
      </c>
      <c r="AG179">
        <v>32</v>
      </c>
      <c r="AH179">
        <v>12</v>
      </c>
      <c r="AI179">
        <v>14</v>
      </c>
      <c r="AJ179">
        <v>0</v>
      </c>
      <c r="AK179">
        <v>12</v>
      </c>
      <c r="AL179" t="s">
        <v>655</v>
      </c>
      <c r="AM179" t="s">
        <v>656</v>
      </c>
      <c r="AN179" t="s">
        <v>657</v>
      </c>
      <c r="AO179" t="s">
        <v>3723</v>
      </c>
      <c r="AP179" t="s">
        <v>74</v>
      </c>
      <c r="AQ179" t="s">
        <v>74</v>
      </c>
      <c r="AR179" t="s">
        <v>3724</v>
      </c>
      <c r="AS179" t="s">
        <v>3725</v>
      </c>
      <c r="AT179" t="s">
        <v>3442</v>
      </c>
      <c r="AU179">
        <v>2012</v>
      </c>
      <c r="AV179">
        <v>31</v>
      </c>
      <c r="AW179">
        <v>4</v>
      </c>
      <c r="AX179" t="s">
        <v>74</v>
      </c>
      <c r="AY179" t="s">
        <v>74</v>
      </c>
      <c r="AZ179" t="s">
        <v>74</v>
      </c>
      <c r="BA179" t="s">
        <v>74</v>
      </c>
      <c r="BB179">
        <v>337</v>
      </c>
      <c r="BC179">
        <v>344</v>
      </c>
      <c r="BD179" t="s">
        <v>74</v>
      </c>
      <c r="BE179" t="s">
        <v>3726</v>
      </c>
      <c r="BF179" t="str">
        <f>HYPERLINK("http://dx.doi.org/10.1007/s10930-012-9408-7","http://dx.doi.org/10.1007/s10930-012-9408-7")</f>
        <v>http://dx.doi.org/10.1007/s10930-012-9408-7</v>
      </c>
      <c r="BG179" t="s">
        <v>74</v>
      </c>
      <c r="BH179" t="s">
        <v>74</v>
      </c>
      <c r="BI179">
        <v>8</v>
      </c>
      <c r="BJ179" t="s">
        <v>2524</v>
      </c>
      <c r="BK179" t="s">
        <v>99</v>
      </c>
      <c r="BL179" t="s">
        <v>2524</v>
      </c>
      <c r="BM179" t="s">
        <v>3727</v>
      </c>
      <c r="BN179">
        <v>22481532</v>
      </c>
      <c r="BO179" t="s">
        <v>74</v>
      </c>
      <c r="BP179" t="s">
        <v>74</v>
      </c>
      <c r="BQ179" t="s">
        <v>74</v>
      </c>
      <c r="BR179" t="s">
        <v>101</v>
      </c>
      <c r="BS179" t="s">
        <v>3728</v>
      </c>
      <c r="BT179" t="str">
        <f>HYPERLINK("https%3A%2F%2Fwww.webofscience.com%2Fwos%2Fwoscc%2Ffull-record%2FWOS:000303456800008","View Full Record in Web of Science")</f>
        <v>View Full Record in Web of Science</v>
      </c>
    </row>
    <row r="180" spans="1:72" x14ac:dyDescent="0.15">
      <c r="A180" t="s">
        <v>72</v>
      </c>
      <c r="B180" t="s">
        <v>3729</v>
      </c>
      <c r="C180" t="s">
        <v>74</v>
      </c>
      <c r="D180" t="s">
        <v>74</v>
      </c>
      <c r="E180" t="s">
        <v>74</v>
      </c>
      <c r="F180" t="s">
        <v>3730</v>
      </c>
      <c r="G180" t="s">
        <v>74</v>
      </c>
      <c r="H180" t="s">
        <v>74</v>
      </c>
      <c r="I180" t="s">
        <v>3731</v>
      </c>
      <c r="J180" t="s">
        <v>3732</v>
      </c>
      <c r="K180" t="s">
        <v>74</v>
      </c>
      <c r="L180" t="s">
        <v>74</v>
      </c>
      <c r="M180" t="s">
        <v>78</v>
      </c>
      <c r="N180" t="s">
        <v>79</v>
      </c>
      <c r="O180" t="s">
        <v>74</v>
      </c>
      <c r="P180" t="s">
        <v>74</v>
      </c>
      <c r="Q180" t="s">
        <v>74</v>
      </c>
      <c r="R180" t="s">
        <v>74</v>
      </c>
      <c r="S180" t="s">
        <v>74</v>
      </c>
      <c r="T180" t="s">
        <v>3733</v>
      </c>
      <c r="U180" t="s">
        <v>3734</v>
      </c>
      <c r="V180" t="s">
        <v>3735</v>
      </c>
      <c r="W180" t="s">
        <v>3736</v>
      </c>
      <c r="X180" t="s">
        <v>3737</v>
      </c>
      <c r="Y180" t="s">
        <v>3738</v>
      </c>
      <c r="Z180" t="s">
        <v>3739</v>
      </c>
      <c r="AA180" t="s">
        <v>3740</v>
      </c>
      <c r="AB180" t="s">
        <v>3741</v>
      </c>
      <c r="AC180" t="s">
        <v>3742</v>
      </c>
      <c r="AD180" t="s">
        <v>3742</v>
      </c>
      <c r="AE180" t="s">
        <v>3743</v>
      </c>
      <c r="AF180" t="s">
        <v>74</v>
      </c>
      <c r="AG180">
        <v>48</v>
      </c>
      <c r="AH180">
        <v>56</v>
      </c>
      <c r="AI180">
        <v>60</v>
      </c>
      <c r="AJ180">
        <v>1</v>
      </c>
      <c r="AK180">
        <v>38</v>
      </c>
      <c r="AL180" t="s">
        <v>627</v>
      </c>
      <c r="AM180" t="s">
        <v>628</v>
      </c>
      <c r="AN180" t="s">
        <v>629</v>
      </c>
      <c r="AO180" t="s">
        <v>3744</v>
      </c>
      <c r="AP180" t="s">
        <v>3745</v>
      </c>
      <c r="AQ180" t="s">
        <v>74</v>
      </c>
      <c r="AR180" t="s">
        <v>3746</v>
      </c>
      <c r="AS180" t="s">
        <v>3747</v>
      </c>
      <c r="AT180" t="s">
        <v>3442</v>
      </c>
      <c r="AU180">
        <v>2012</v>
      </c>
      <c r="AV180">
        <v>22</v>
      </c>
      <c r="AW180">
        <v>3</v>
      </c>
      <c r="AX180" t="s">
        <v>74</v>
      </c>
      <c r="AY180" t="s">
        <v>74</v>
      </c>
      <c r="AZ180" t="s">
        <v>74</v>
      </c>
      <c r="BA180" t="s">
        <v>74</v>
      </c>
      <c r="BB180">
        <v>748</v>
      </c>
      <c r="BC180">
        <v>761</v>
      </c>
      <c r="BD180" t="s">
        <v>74</v>
      </c>
      <c r="BE180" t="s">
        <v>3748</v>
      </c>
      <c r="BF180" t="str">
        <f>HYPERLINK("http://dx.doi.org/10.1890/11-0441.1","http://dx.doi.org/10.1890/11-0441.1")</f>
        <v>http://dx.doi.org/10.1890/11-0441.1</v>
      </c>
      <c r="BG180" t="s">
        <v>74</v>
      </c>
      <c r="BH180" t="s">
        <v>74</v>
      </c>
      <c r="BI180">
        <v>14</v>
      </c>
      <c r="BJ180" t="s">
        <v>3749</v>
      </c>
      <c r="BK180" t="s">
        <v>99</v>
      </c>
      <c r="BL180" t="s">
        <v>1259</v>
      </c>
      <c r="BM180" t="s">
        <v>3750</v>
      </c>
      <c r="BN180">
        <v>22645808</v>
      </c>
      <c r="BO180" t="s">
        <v>74</v>
      </c>
      <c r="BP180" t="s">
        <v>74</v>
      </c>
      <c r="BQ180" t="s">
        <v>74</v>
      </c>
      <c r="BR180" t="s">
        <v>101</v>
      </c>
      <c r="BS180" t="s">
        <v>3751</v>
      </c>
      <c r="BT180" t="str">
        <f>HYPERLINK("https%3A%2F%2Fwww.webofscience.com%2Fwos%2Fwoscc%2Ffull-record%2FWOS:000303312000002","View Full Record in Web of Science")</f>
        <v>View Full Record in Web of Science</v>
      </c>
    </row>
    <row r="181" spans="1:72" x14ac:dyDescent="0.15">
      <c r="A181" t="s">
        <v>72</v>
      </c>
      <c r="B181" t="s">
        <v>3752</v>
      </c>
      <c r="C181" t="s">
        <v>74</v>
      </c>
      <c r="D181" t="s">
        <v>74</v>
      </c>
      <c r="E181" t="s">
        <v>74</v>
      </c>
      <c r="F181" t="s">
        <v>3753</v>
      </c>
      <c r="G181" t="s">
        <v>74</v>
      </c>
      <c r="H181" t="s">
        <v>74</v>
      </c>
      <c r="I181" t="s">
        <v>3754</v>
      </c>
      <c r="J181" t="s">
        <v>3755</v>
      </c>
      <c r="K181" t="s">
        <v>74</v>
      </c>
      <c r="L181" t="s">
        <v>74</v>
      </c>
      <c r="M181" t="s">
        <v>78</v>
      </c>
      <c r="N181" t="s">
        <v>52</v>
      </c>
      <c r="O181" t="s">
        <v>3756</v>
      </c>
      <c r="P181" t="s">
        <v>3757</v>
      </c>
      <c r="Q181" t="s">
        <v>3758</v>
      </c>
      <c r="R181" t="s">
        <v>74</v>
      </c>
      <c r="S181" t="s">
        <v>74</v>
      </c>
      <c r="T181" t="s">
        <v>74</v>
      </c>
      <c r="U181" t="s">
        <v>74</v>
      </c>
      <c r="V181" t="s">
        <v>74</v>
      </c>
      <c r="W181" t="s">
        <v>3759</v>
      </c>
      <c r="X181" t="s">
        <v>3760</v>
      </c>
      <c r="Y181" t="s">
        <v>74</v>
      </c>
      <c r="Z181" t="s">
        <v>3761</v>
      </c>
      <c r="AA181" t="s">
        <v>74</v>
      </c>
      <c r="AB181" t="s">
        <v>74</v>
      </c>
      <c r="AC181" t="s">
        <v>74</v>
      </c>
      <c r="AD181" t="s">
        <v>74</v>
      </c>
      <c r="AE181" t="s">
        <v>74</v>
      </c>
      <c r="AF181" t="s">
        <v>74</v>
      </c>
      <c r="AG181">
        <v>0</v>
      </c>
      <c r="AH181">
        <v>0</v>
      </c>
      <c r="AI181">
        <v>0</v>
      </c>
      <c r="AJ181">
        <v>1</v>
      </c>
      <c r="AK181">
        <v>3</v>
      </c>
      <c r="AL181" t="s">
        <v>3762</v>
      </c>
      <c r="AM181" t="s">
        <v>3763</v>
      </c>
      <c r="AN181" t="s">
        <v>3764</v>
      </c>
      <c r="AO181" t="s">
        <v>3765</v>
      </c>
      <c r="AP181" t="s">
        <v>74</v>
      </c>
      <c r="AQ181" t="s">
        <v>74</v>
      </c>
      <c r="AR181" t="s">
        <v>3766</v>
      </c>
      <c r="AS181" t="s">
        <v>3767</v>
      </c>
      <c r="AT181" t="s">
        <v>3442</v>
      </c>
      <c r="AU181">
        <v>2012</v>
      </c>
      <c r="AV181">
        <v>52</v>
      </c>
      <c r="AW181" t="s">
        <v>74</v>
      </c>
      <c r="AX181" t="s">
        <v>74</v>
      </c>
      <c r="AY181">
        <v>1</v>
      </c>
      <c r="AZ181" t="s">
        <v>74</v>
      </c>
      <c r="BA181" t="s">
        <v>74</v>
      </c>
      <c r="BB181" t="s">
        <v>3768</v>
      </c>
      <c r="BC181" t="s">
        <v>3768</v>
      </c>
      <c r="BD181" t="s">
        <v>74</v>
      </c>
      <c r="BE181" t="s">
        <v>74</v>
      </c>
      <c r="BF181" t="s">
        <v>74</v>
      </c>
      <c r="BG181" t="s">
        <v>74</v>
      </c>
      <c r="BH181" t="s">
        <v>74</v>
      </c>
      <c r="BI181">
        <v>1</v>
      </c>
      <c r="BJ181" t="s">
        <v>98</v>
      </c>
      <c r="BK181" t="s">
        <v>2624</v>
      </c>
      <c r="BL181" t="s">
        <v>98</v>
      </c>
      <c r="BM181" t="s">
        <v>3769</v>
      </c>
      <c r="BN181" t="s">
        <v>74</v>
      </c>
      <c r="BO181" t="s">
        <v>74</v>
      </c>
      <c r="BP181" t="s">
        <v>74</v>
      </c>
      <c r="BQ181" t="s">
        <v>74</v>
      </c>
      <c r="BR181" t="s">
        <v>101</v>
      </c>
      <c r="BS181" t="s">
        <v>3770</v>
      </c>
      <c r="BT181" t="str">
        <f>HYPERLINK("https%3A%2F%2Fwww.webofscience.com%2Fwos%2Fwoscc%2Ffull-record%2FWOS:000303165001279","View Full Record in Web of Science")</f>
        <v>View Full Record in Web of Science</v>
      </c>
    </row>
    <row r="182" spans="1:72" x14ac:dyDescent="0.15">
      <c r="A182" t="s">
        <v>72</v>
      </c>
      <c r="B182" t="s">
        <v>3771</v>
      </c>
      <c r="C182" t="s">
        <v>74</v>
      </c>
      <c r="D182" t="s">
        <v>74</v>
      </c>
      <c r="E182" t="s">
        <v>74</v>
      </c>
      <c r="F182" t="s">
        <v>3772</v>
      </c>
      <c r="G182" t="s">
        <v>74</v>
      </c>
      <c r="H182" t="s">
        <v>74</v>
      </c>
      <c r="I182" t="s">
        <v>3773</v>
      </c>
      <c r="J182" t="s">
        <v>3755</v>
      </c>
      <c r="K182" t="s">
        <v>74</v>
      </c>
      <c r="L182" t="s">
        <v>74</v>
      </c>
      <c r="M182" t="s">
        <v>78</v>
      </c>
      <c r="N182" t="s">
        <v>52</v>
      </c>
      <c r="O182" t="s">
        <v>3756</v>
      </c>
      <c r="P182" t="s">
        <v>3757</v>
      </c>
      <c r="Q182" t="s">
        <v>3758</v>
      </c>
      <c r="R182" t="s">
        <v>74</v>
      </c>
      <c r="S182" t="s">
        <v>74</v>
      </c>
      <c r="T182" t="s">
        <v>74</v>
      </c>
      <c r="U182" t="s">
        <v>74</v>
      </c>
      <c r="V182" t="s">
        <v>74</v>
      </c>
      <c r="W182" t="s">
        <v>3774</v>
      </c>
      <c r="X182" t="s">
        <v>3775</v>
      </c>
      <c r="Y182" t="s">
        <v>74</v>
      </c>
      <c r="Z182" t="s">
        <v>3776</v>
      </c>
      <c r="AA182" t="s">
        <v>3777</v>
      </c>
      <c r="AB182" t="s">
        <v>74</v>
      </c>
      <c r="AC182" t="s">
        <v>74</v>
      </c>
      <c r="AD182" t="s">
        <v>74</v>
      </c>
      <c r="AE182" t="s">
        <v>74</v>
      </c>
      <c r="AF182" t="s">
        <v>74</v>
      </c>
      <c r="AG182">
        <v>0</v>
      </c>
      <c r="AH182">
        <v>0</v>
      </c>
      <c r="AI182">
        <v>0</v>
      </c>
      <c r="AJ182">
        <v>1</v>
      </c>
      <c r="AK182">
        <v>3</v>
      </c>
      <c r="AL182" t="s">
        <v>3762</v>
      </c>
      <c r="AM182" t="s">
        <v>3763</v>
      </c>
      <c r="AN182" t="s">
        <v>3764</v>
      </c>
      <c r="AO182" t="s">
        <v>3765</v>
      </c>
      <c r="AP182" t="s">
        <v>74</v>
      </c>
      <c r="AQ182" t="s">
        <v>74</v>
      </c>
      <c r="AR182" t="s">
        <v>3766</v>
      </c>
      <c r="AS182" t="s">
        <v>3767</v>
      </c>
      <c r="AT182" t="s">
        <v>3442</v>
      </c>
      <c r="AU182">
        <v>2012</v>
      </c>
      <c r="AV182">
        <v>52</v>
      </c>
      <c r="AW182" t="s">
        <v>74</v>
      </c>
      <c r="AX182" t="s">
        <v>74</v>
      </c>
      <c r="AY182">
        <v>1</v>
      </c>
      <c r="AZ182" t="s">
        <v>74</v>
      </c>
      <c r="BA182" t="s">
        <v>74</v>
      </c>
      <c r="BB182" t="s">
        <v>3778</v>
      </c>
      <c r="BC182" t="s">
        <v>3778</v>
      </c>
      <c r="BD182" t="s">
        <v>74</v>
      </c>
      <c r="BE182" t="s">
        <v>74</v>
      </c>
      <c r="BF182" t="s">
        <v>74</v>
      </c>
      <c r="BG182" t="s">
        <v>74</v>
      </c>
      <c r="BH182" t="s">
        <v>74</v>
      </c>
      <c r="BI182">
        <v>1</v>
      </c>
      <c r="BJ182" t="s">
        <v>98</v>
      </c>
      <c r="BK182" t="s">
        <v>2624</v>
      </c>
      <c r="BL182" t="s">
        <v>98</v>
      </c>
      <c r="BM182" t="s">
        <v>3769</v>
      </c>
      <c r="BN182" t="s">
        <v>74</v>
      </c>
      <c r="BO182" t="s">
        <v>74</v>
      </c>
      <c r="BP182" t="s">
        <v>74</v>
      </c>
      <c r="BQ182" t="s">
        <v>74</v>
      </c>
      <c r="BR182" t="s">
        <v>101</v>
      </c>
      <c r="BS182" t="s">
        <v>3779</v>
      </c>
      <c r="BT182" t="str">
        <f>HYPERLINK("https%3A%2F%2Fwww.webofscience.com%2Fwos%2Fwoscc%2Ffull-record%2FWOS:000303165000128","View Full Record in Web of Science")</f>
        <v>View Full Record in Web of Science</v>
      </c>
    </row>
    <row r="183" spans="1:72" x14ac:dyDescent="0.15">
      <c r="A183" t="s">
        <v>72</v>
      </c>
      <c r="B183" t="s">
        <v>3780</v>
      </c>
      <c r="C183" t="s">
        <v>74</v>
      </c>
      <c r="D183" t="s">
        <v>74</v>
      </c>
      <c r="E183" t="s">
        <v>74</v>
      </c>
      <c r="F183" t="s">
        <v>3781</v>
      </c>
      <c r="G183" t="s">
        <v>74</v>
      </c>
      <c r="H183" t="s">
        <v>74</v>
      </c>
      <c r="I183" t="s">
        <v>3782</v>
      </c>
      <c r="J183" t="s">
        <v>3755</v>
      </c>
      <c r="K183" t="s">
        <v>74</v>
      </c>
      <c r="L183" t="s">
        <v>74</v>
      </c>
      <c r="M183" t="s">
        <v>78</v>
      </c>
      <c r="N183" t="s">
        <v>52</v>
      </c>
      <c r="O183" t="s">
        <v>3756</v>
      </c>
      <c r="P183" t="s">
        <v>3757</v>
      </c>
      <c r="Q183" t="s">
        <v>3758</v>
      </c>
      <c r="R183" t="s">
        <v>74</v>
      </c>
      <c r="S183" t="s">
        <v>74</v>
      </c>
      <c r="T183" t="s">
        <v>74</v>
      </c>
      <c r="U183" t="s">
        <v>74</v>
      </c>
      <c r="V183" t="s">
        <v>74</v>
      </c>
      <c r="W183" t="s">
        <v>3783</v>
      </c>
      <c r="X183" t="s">
        <v>3784</v>
      </c>
      <c r="Y183" t="s">
        <v>74</v>
      </c>
      <c r="Z183" t="s">
        <v>3785</v>
      </c>
      <c r="AA183" t="s">
        <v>74</v>
      </c>
      <c r="AB183" t="s">
        <v>74</v>
      </c>
      <c r="AC183" t="s">
        <v>74</v>
      </c>
      <c r="AD183" t="s">
        <v>74</v>
      </c>
      <c r="AE183" t="s">
        <v>74</v>
      </c>
      <c r="AF183" t="s">
        <v>74</v>
      </c>
      <c r="AG183">
        <v>0</v>
      </c>
      <c r="AH183">
        <v>0</v>
      </c>
      <c r="AI183">
        <v>0</v>
      </c>
      <c r="AJ183">
        <v>0</v>
      </c>
      <c r="AK183">
        <v>7</v>
      </c>
      <c r="AL183" t="s">
        <v>3762</v>
      </c>
      <c r="AM183" t="s">
        <v>3763</v>
      </c>
      <c r="AN183" t="s">
        <v>3764</v>
      </c>
      <c r="AO183" t="s">
        <v>3765</v>
      </c>
      <c r="AP183" t="s">
        <v>74</v>
      </c>
      <c r="AQ183" t="s">
        <v>74</v>
      </c>
      <c r="AR183" t="s">
        <v>3766</v>
      </c>
      <c r="AS183" t="s">
        <v>3767</v>
      </c>
      <c r="AT183" t="s">
        <v>3442</v>
      </c>
      <c r="AU183">
        <v>2012</v>
      </c>
      <c r="AV183">
        <v>52</v>
      </c>
      <c r="AW183" t="s">
        <v>74</v>
      </c>
      <c r="AX183" t="s">
        <v>74</v>
      </c>
      <c r="AY183">
        <v>1</v>
      </c>
      <c r="AZ183" t="s">
        <v>74</v>
      </c>
      <c r="BA183" t="s">
        <v>74</v>
      </c>
      <c r="BB183" t="s">
        <v>3786</v>
      </c>
      <c r="BC183" t="s">
        <v>3786</v>
      </c>
      <c r="BD183" t="s">
        <v>74</v>
      </c>
      <c r="BE183" t="s">
        <v>74</v>
      </c>
      <c r="BF183" t="s">
        <v>74</v>
      </c>
      <c r="BG183" t="s">
        <v>74</v>
      </c>
      <c r="BH183" t="s">
        <v>74</v>
      </c>
      <c r="BI183">
        <v>1</v>
      </c>
      <c r="BJ183" t="s">
        <v>98</v>
      </c>
      <c r="BK183" t="s">
        <v>2624</v>
      </c>
      <c r="BL183" t="s">
        <v>98</v>
      </c>
      <c r="BM183" t="s">
        <v>3769</v>
      </c>
      <c r="BN183" t="s">
        <v>74</v>
      </c>
      <c r="BO183" t="s">
        <v>74</v>
      </c>
      <c r="BP183" t="s">
        <v>74</v>
      </c>
      <c r="BQ183" t="s">
        <v>74</v>
      </c>
      <c r="BR183" t="s">
        <v>101</v>
      </c>
      <c r="BS183" t="s">
        <v>3787</v>
      </c>
      <c r="BT183" t="str">
        <f>HYPERLINK("https%3A%2F%2Fwww.webofscience.com%2Fwos%2Fwoscc%2Ffull-record%2FWOS:000303165001427","View Full Record in Web of Science")</f>
        <v>View Full Record in Web of Science</v>
      </c>
    </row>
    <row r="184" spans="1:72" x14ac:dyDescent="0.15">
      <c r="A184" t="s">
        <v>72</v>
      </c>
      <c r="B184" t="s">
        <v>3788</v>
      </c>
      <c r="C184" t="s">
        <v>74</v>
      </c>
      <c r="D184" t="s">
        <v>74</v>
      </c>
      <c r="E184" t="s">
        <v>74</v>
      </c>
      <c r="F184" t="s">
        <v>3789</v>
      </c>
      <c r="G184" t="s">
        <v>74</v>
      </c>
      <c r="H184" t="s">
        <v>74</v>
      </c>
      <c r="I184" t="s">
        <v>3790</v>
      </c>
      <c r="J184" t="s">
        <v>3755</v>
      </c>
      <c r="K184" t="s">
        <v>74</v>
      </c>
      <c r="L184" t="s">
        <v>74</v>
      </c>
      <c r="M184" t="s">
        <v>78</v>
      </c>
      <c r="N184" t="s">
        <v>52</v>
      </c>
      <c r="O184" t="s">
        <v>3756</v>
      </c>
      <c r="P184" t="s">
        <v>3757</v>
      </c>
      <c r="Q184" t="s">
        <v>3758</v>
      </c>
      <c r="R184" t="s">
        <v>74</v>
      </c>
      <c r="S184" t="s">
        <v>74</v>
      </c>
      <c r="T184" t="s">
        <v>74</v>
      </c>
      <c r="U184" t="s">
        <v>74</v>
      </c>
      <c r="V184" t="s">
        <v>74</v>
      </c>
      <c r="W184" t="s">
        <v>3791</v>
      </c>
      <c r="X184" t="s">
        <v>3792</v>
      </c>
      <c r="Y184" t="s">
        <v>74</v>
      </c>
      <c r="Z184" t="s">
        <v>3793</v>
      </c>
      <c r="AA184" t="s">
        <v>74</v>
      </c>
      <c r="AB184" t="s">
        <v>74</v>
      </c>
      <c r="AC184" t="s">
        <v>74</v>
      </c>
      <c r="AD184" t="s">
        <v>74</v>
      </c>
      <c r="AE184" t="s">
        <v>74</v>
      </c>
      <c r="AF184" t="s">
        <v>74</v>
      </c>
      <c r="AG184">
        <v>0</v>
      </c>
      <c r="AH184">
        <v>0</v>
      </c>
      <c r="AI184">
        <v>0</v>
      </c>
      <c r="AJ184">
        <v>0</v>
      </c>
      <c r="AK184">
        <v>7</v>
      </c>
      <c r="AL184" t="s">
        <v>3762</v>
      </c>
      <c r="AM184" t="s">
        <v>3763</v>
      </c>
      <c r="AN184" t="s">
        <v>3764</v>
      </c>
      <c r="AO184" t="s">
        <v>3765</v>
      </c>
      <c r="AP184" t="s">
        <v>74</v>
      </c>
      <c r="AQ184" t="s">
        <v>74</v>
      </c>
      <c r="AR184" t="s">
        <v>3766</v>
      </c>
      <c r="AS184" t="s">
        <v>3767</v>
      </c>
      <c r="AT184" t="s">
        <v>3442</v>
      </c>
      <c r="AU184">
        <v>2012</v>
      </c>
      <c r="AV184">
        <v>52</v>
      </c>
      <c r="AW184" t="s">
        <v>74</v>
      </c>
      <c r="AX184" t="s">
        <v>74</v>
      </c>
      <c r="AY184">
        <v>1</v>
      </c>
      <c r="AZ184" t="s">
        <v>74</v>
      </c>
      <c r="BA184" t="s">
        <v>74</v>
      </c>
      <c r="BB184" t="s">
        <v>3794</v>
      </c>
      <c r="BC184" t="s">
        <v>3794</v>
      </c>
      <c r="BD184" t="s">
        <v>74</v>
      </c>
      <c r="BE184" t="s">
        <v>74</v>
      </c>
      <c r="BF184" t="s">
        <v>74</v>
      </c>
      <c r="BG184" t="s">
        <v>74</v>
      </c>
      <c r="BH184" t="s">
        <v>74</v>
      </c>
      <c r="BI184">
        <v>1</v>
      </c>
      <c r="BJ184" t="s">
        <v>98</v>
      </c>
      <c r="BK184" t="s">
        <v>2624</v>
      </c>
      <c r="BL184" t="s">
        <v>98</v>
      </c>
      <c r="BM184" t="s">
        <v>3769</v>
      </c>
      <c r="BN184" t="s">
        <v>74</v>
      </c>
      <c r="BO184" t="s">
        <v>74</v>
      </c>
      <c r="BP184" t="s">
        <v>74</v>
      </c>
      <c r="BQ184" t="s">
        <v>74</v>
      </c>
      <c r="BR184" t="s">
        <v>101</v>
      </c>
      <c r="BS184" t="s">
        <v>3795</v>
      </c>
      <c r="BT184" t="str">
        <f>HYPERLINK("https%3A%2F%2Fwww.webofscience.com%2Fwos%2Fwoscc%2Ffull-record%2FWOS:000303165000227","View Full Record in Web of Science")</f>
        <v>View Full Record in Web of Science</v>
      </c>
    </row>
    <row r="185" spans="1:72" x14ac:dyDescent="0.15">
      <c r="A185" t="s">
        <v>72</v>
      </c>
      <c r="B185" t="s">
        <v>3796</v>
      </c>
      <c r="C185" t="s">
        <v>74</v>
      </c>
      <c r="D185" t="s">
        <v>74</v>
      </c>
      <c r="E185" t="s">
        <v>74</v>
      </c>
      <c r="F185" t="s">
        <v>3797</v>
      </c>
      <c r="G185" t="s">
        <v>74</v>
      </c>
      <c r="H185" t="s">
        <v>74</v>
      </c>
      <c r="I185" t="s">
        <v>3798</v>
      </c>
      <c r="J185" t="s">
        <v>3755</v>
      </c>
      <c r="K185" t="s">
        <v>74</v>
      </c>
      <c r="L185" t="s">
        <v>74</v>
      </c>
      <c r="M185" t="s">
        <v>78</v>
      </c>
      <c r="N185" t="s">
        <v>52</v>
      </c>
      <c r="O185" t="s">
        <v>3756</v>
      </c>
      <c r="P185" t="s">
        <v>3757</v>
      </c>
      <c r="Q185" t="s">
        <v>3758</v>
      </c>
      <c r="R185" t="s">
        <v>74</v>
      </c>
      <c r="S185" t="s">
        <v>74</v>
      </c>
      <c r="T185" t="s">
        <v>74</v>
      </c>
      <c r="U185" t="s">
        <v>74</v>
      </c>
      <c r="V185" t="s">
        <v>74</v>
      </c>
      <c r="W185" t="s">
        <v>3799</v>
      </c>
      <c r="X185" t="s">
        <v>3800</v>
      </c>
      <c r="Y185" t="s">
        <v>74</v>
      </c>
      <c r="Z185" t="s">
        <v>3801</v>
      </c>
      <c r="AA185" t="s">
        <v>74</v>
      </c>
      <c r="AB185" t="s">
        <v>74</v>
      </c>
      <c r="AC185" t="s">
        <v>74</v>
      </c>
      <c r="AD185" t="s">
        <v>74</v>
      </c>
      <c r="AE185" t="s">
        <v>74</v>
      </c>
      <c r="AF185" t="s">
        <v>74</v>
      </c>
      <c r="AG185">
        <v>0</v>
      </c>
      <c r="AH185">
        <v>0</v>
      </c>
      <c r="AI185">
        <v>0</v>
      </c>
      <c r="AJ185">
        <v>1</v>
      </c>
      <c r="AK185">
        <v>8</v>
      </c>
      <c r="AL185" t="s">
        <v>3762</v>
      </c>
      <c r="AM185" t="s">
        <v>3763</v>
      </c>
      <c r="AN185" t="s">
        <v>3764</v>
      </c>
      <c r="AO185" t="s">
        <v>3765</v>
      </c>
      <c r="AP185" t="s">
        <v>74</v>
      </c>
      <c r="AQ185" t="s">
        <v>74</v>
      </c>
      <c r="AR185" t="s">
        <v>3766</v>
      </c>
      <c r="AS185" t="s">
        <v>3767</v>
      </c>
      <c r="AT185" t="s">
        <v>3442</v>
      </c>
      <c r="AU185">
        <v>2012</v>
      </c>
      <c r="AV185">
        <v>52</v>
      </c>
      <c r="AW185" t="s">
        <v>74</v>
      </c>
      <c r="AX185" t="s">
        <v>74</v>
      </c>
      <c r="AY185">
        <v>1</v>
      </c>
      <c r="AZ185" t="s">
        <v>74</v>
      </c>
      <c r="BA185" t="s">
        <v>74</v>
      </c>
      <c r="BB185" t="s">
        <v>3802</v>
      </c>
      <c r="BC185" t="s">
        <v>3802</v>
      </c>
      <c r="BD185" t="s">
        <v>74</v>
      </c>
      <c r="BE185" t="s">
        <v>74</v>
      </c>
      <c r="BF185" t="s">
        <v>74</v>
      </c>
      <c r="BG185" t="s">
        <v>74</v>
      </c>
      <c r="BH185" t="s">
        <v>74</v>
      </c>
      <c r="BI185">
        <v>1</v>
      </c>
      <c r="BJ185" t="s">
        <v>98</v>
      </c>
      <c r="BK185" t="s">
        <v>2624</v>
      </c>
      <c r="BL185" t="s">
        <v>98</v>
      </c>
      <c r="BM185" t="s">
        <v>3769</v>
      </c>
      <c r="BN185" t="s">
        <v>74</v>
      </c>
      <c r="BO185" t="s">
        <v>74</v>
      </c>
      <c r="BP185" t="s">
        <v>74</v>
      </c>
      <c r="BQ185" t="s">
        <v>74</v>
      </c>
      <c r="BR185" t="s">
        <v>101</v>
      </c>
      <c r="BS185" t="s">
        <v>3803</v>
      </c>
      <c r="BT185" t="str">
        <f>HYPERLINK("https%3A%2F%2Fwww.webofscience.com%2Fwos%2Fwoscc%2Ffull-record%2FWOS:000303165001550","View Full Record in Web of Science")</f>
        <v>View Full Record in Web of Science</v>
      </c>
    </row>
    <row r="186" spans="1:72" x14ac:dyDescent="0.15">
      <c r="A186" t="s">
        <v>72</v>
      </c>
      <c r="B186" t="s">
        <v>3804</v>
      </c>
      <c r="C186" t="s">
        <v>74</v>
      </c>
      <c r="D186" t="s">
        <v>74</v>
      </c>
      <c r="E186" t="s">
        <v>74</v>
      </c>
      <c r="F186" t="s">
        <v>3805</v>
      </c>
      <c r="G186" t="s">
        <v>74</v>
      </c>
      <c r="H186" t="s">
        <v>74</v>
      </c>
      <c r="I186" t="s">
        <v>3806</v>
      </c>
      <c r="J186" t="s">
        <v>3755</v>
      </c>
      <c r="K186" t="s">
        <v>74</v>
      </c>
      <c r="L186" t="s">
        <v>74</v>
      </c>
      <c r="M186" t="s">
        <v>78</v>
      </c>
      <c r="N186" t="s">
        <v>52</v>
      </c>
      <c r="O186" t="s">
        <v>3756</v>
      </c>
      <c r="P186" t="s">
        <v>3757</v>
      </c>
      <c r="Q186" t="s">
        <v>3758</v>
      </c>
      <c r="R186" t="s">
        <v>74</v>
      </c>
      <c r="S186" t="s">
        <v>74</v>
      </c>
      <c r="T186" t="s">
        <v>74</v>
      </c>
      <c r="U186" t="s">
        <v>74</v>
      </c>
      <c r="V186" t="s">
        <v>74</v>
      </c>
      <c r="W186" t="s">
        <v>3807</v>
      </c>
      <c r="X186" t="s">
        <v>3808</v>
      </c>
      <c r="Y186" t="s">
        <v>74</v>
      </c>
      <c r="Z186" t="s">
        <v>3809</v>
      </c>
      <c r="AA186" t="s">
        <v>3810</v>
      </c>
      <c r="AB186" t="s">
        <v>3811</v>
      </c>
      <c r="AC186" t="s">
        <v>74</v>
      </c>
      <c r="AD186" t="s">
        <v>74</v>
      </c>
      <c r="AE186" t="s">
        <v>74</v>
      </c>
      <c r="AF186" t="s">
        <v>74</v>
      </c>
      <c r="AG186">
        <v>0</v>
      </c>
      <c r="AH186">
        <v>1</v>
      </c>
      <c r="AI186">
        <v>1</v>
      </c>
      <c r="AJ186">
        <v>1</v>
      </c>
      <c r="AK186">
        <v>10</v>
      </c>
      <c r="AL186" t="s">
        <v>3762</v>
      </c>
      <c r="AM186" t="s">
        <v>3763</v>
      </c>
      <c r="AN186" t="s">
        <v>3764</v>
      </c>
      <c r="AO186" t="s">
        <v>3765</v>
      </c>
      <c r="AP186" t="s">
        <v>74</v>
      </c>
      <c r="AQ186" t="s">
        <v>74</v>
      </c>
      <c r="AR186" t="s">
        <v>3766</v>
      </c>
      <c r="AS186" t="s">
        <v>3767</v>
      </c>
      <c r="AT186" t="s">
        <v>3442</v>
      </c>
      <c r="AU186">
        <v>2012</v>
      </c>
      <c r="AV186">
        <v>52</v>
      </c>
      <c r="AW186" t="s">
        <v>74</v>
      </c>
      <c r="AX186" t="s">
        <v>74</v>
      </c>
      <c r="AY186">
        <v>1</v>
      </c>
      <c r="AZ186" t="s">
        <v>74</v>
      </c>
      <c r="BA186" t="s">
        <v>74</v>
      </c>
      <c r="BB186" t="s">
        <v>3812</v>
      </c>
      <c r="BC186" t="s">
        <v>3812</v>
      </c>
      <c r="BD186" t="s">
        <v>74</v>
      </c>
      <c r="BE186" t="s">
        <v>74</v>
      </c>
      <c r="BF186" t="s">
        <v>74</v>
      </c>
      <c r="BG186" t="s">
        <v>74</v>
      </c>
      <c r="BH186" t="s">
        <v>74</v>
      </c>
      <c r="BI186">
        <v>1</v>
      </c>
      <c r="BJ186" t="s">
        <v>98</v>
      </c>
      <c r="BK186" t="s">
        <v>2624</v>
      </c>
      <c r="BL186" t="s">
        <v>98</v>
      </c>
      <c r="BM186" t="s">
        <v>3769</v>
      </c>
      <c r="BN186" t="s">
        <v>74</v>
      </c>
      <c r="BO186" t="s">
        <v>74</v>
      </c>
      <c r="BP186" t="s">
        <v>74</v>
      </c>
      <c r="BQ186" t="s">
        <v>74</v>
      </c>
      <c r="BR186" t="s">
        <v>101</v>
      </c>
      <c r="BS186" t="s">
        <v>3813</v>
      </c>
      <c r="BT186" t="str">
        <f>HYPERLINK("https%3A%2F%2Fwww.webofscience.com%2Fwos%2Fwoscc%2Ffull-record%2FWOS:000303165001554","View Full Record in Web of Science")</f>
        <v>View Full Record in Web of Science</v>
      </c>
    </row>
    <row r="187" spans="1:72" x14ac:dyDescent="0.15">
      <c r="A187" t="s">
        <v>72</v>
      </c>
      <c r="B187" t="s">
        <v>3814</v>
      </c>
      <c r="C187" t="s">
        <v>74</v>
      </c>
      <c r="D187" t="s">
        <v>74</v>
      </c>
      <c r="E187" t="s">
        <v>74</v>
      </c>
      <c r="F187" t="s">
        <v>3815</v>
      </c>
      <c r="G187" t="s">
        <v>74</v>
      </c>
      <c r="H187" t="s">
        <v>74</v>
      </c>
      <c r="I187" t="s">
        <v>3816</v>
      </c>
      <c r="J187" t="s">
        <v>3755</v>
      </c>
      <c r="K187" t="s">
        <v>74</v>
      </c>
      <c r="L187" t="s">
        <v>74</v>
      </c>
      <c r="M187" t="s">
        <v>78</v>
      </c>
      <c r="N187" t="s">
        <v>52</v>
      </c>
      <c r="O187" t="s">
        <v>3756</v>
      </c>
      <c r="P187" t="s">
        <v>3757</v>
      </c>
      <c r="Q187" t="s">
        <v>3758</v>
      </c>
      <c r="R187" t="s">
        <v>74</v>
      </c>
      <c r="S187" t="s">
        <v>74</v>
      </c>
      <c r="T187" t="s">
        <v>74</v>
      </c>
      <c r="U187" t="s">
        <v>74</v>
      </c>
      <c r="V187" t="s">
        <v>74</v>
      </c>
      <c r="W187" t="s">
        <v>3817</v>
      </c>
      <c r="X187" t="s">
        <v>3818</v>
      </c>
      <c r="Y187" t="s">
        <v>74</v>
      </c>
      <c r="Z187" t="s">
        <v>3819</v>
      </c>
      <c r="AA187" t="s">
        <v>74</v>
      </c>
      <c r="AB187" t="s">
        <v>74</v>
      </c>
      <c r="AC187" t="s">
        <v>74</v>
      </c>
      <c r="AD187" t="s">
        <v>74</v>
      </c>
      <c r="AE187" t="s">
        <v>74</v>
      </c>
      <c r="AF187" t="s">
        <v>74</v>
      </c>
      <c r="AG187">
        <v>0</v>
      </c>
      <c r="AH187">
        <v>0</v>
      </c>
      <c r="AI187">
        <v>0</v>
      </c>
      <c r="AJ187">
        <v>1</v>
      </c>
      <c r="AK187">
        <v>4</v>
      </c>
      <c r="AL187" t="s">
        <v>3762</v>
      </c>
      <c r="AM187" t="s">
        <v>3763</v>
      </c>
      <c r="AN187" t="s">
        <v>3764</v>
      </c>
      <c r="AO187" t="s">
        <v>3765</v>
      </c>
      <c r="AP187" t="s">
        <v>74</v>
      </c>
      <c r="AQ187" t="s">
        <v>74</v>
      </c>
      <c r="AR187" t="s">
        <v>3766</v>
      </c>
      <c r="AS187" t="s">
        <v>3767</v>
      </c>
      <c r="AT187" t="s">
        <v>3442</v>
      </c>
      <c r="AU187">
        <v>2012</v>
      </c>
      <c r="AV187">
        <v>52</v>
      </c>
      <c r="AW187" t="s">
        <v>74</v>
      </c>
      <c r="AX187" t="s">
        <v>74</v>
      </c>
      <c r="AY187">
        <v>1</v>
      </c>
      <c r="AZ187" t="s">
        <v>74</v>
      </c>
      <c r="BA187" t="s">
        <v>74</v>
      </c>
      <c r="BB187" t="s">
        <v>3820</v>
      </c>
      <c r="BC187" t="s">
        <v>3820</v>
      </c>
      <c r="BD187" t="s">
        <v>74</v>
      </c>
      <c r="BE187" t="s">
        <v>74</v>
      </c>
      <c r="BF187" t="s">
        <v>74</v>
      </c>
      <c r="BG187" t="s">
        <v>74</v>
      </c>
      <c r="BH187" t="s">
        <v>74</v>
      </c>
      <c r="BI187">
        <v>1</v>
      </c>
      <c r="BJ187" t="s">
        <v>98</v>
      </c>
      <c r="BK187" t="s">
        <v>2624</v>
      </c>
      <c r="BL187" t="s">
        <v>98</v>
      </c>
      <c r="BM187" t="s">
        <v>3769</v>
      </c>
      <c r="BN187" t="s">
        <v>74</v>
      </c>
      <c r="BO187" t="s">
        <v>74</v>
      </c>
      <c r="BP187" t="s">
        <v>74</v>
      </c>
      <c r="BQ187" t="s">
        <v>74</v>
      </c>
      <c r="BR187" t="s">
        <v>101</v>
      </c>
      <c r="BS187" t="s">
        <v>3821</v>
      </c>
      <c r="BT187" t="str">
        <f>HYPERLINK("https%3A%2F%2Fwww.webofscience.com%2Fwos%2Fwoscc%2Ffull-record%2FWOS:000303165002075","View Full Record in Web of Science")</f>
        <v>View Full Record in Web of Science</v>
      </c>
    </row>
    <row r="188" spans="1:72" x14ac:dyDescent="0.15">
      <c r="A188" t="s">
        <v>72</v>
      </c>
      <c r="B188" t="s">
        <v>3822</v>
      </c>
      <c r="C188" t="s">
        <v>74</v>
      </c>
      <c r="D188" t="s">
        <v>74</v>
      </c>
      <c r="E188" t="s">
        <v>74</v>
      </c>
      <c r="F188" t="s">
        <v>3823</v>
      </c>
      <c r="G188" t="s">
        <v>74</v>
      </c>
      <c r="H188" t="s">
        <v>74</v>
      </c>
      <c r="I188" t="s">
        <v>3824</v>
      </c>
      <c r="J188" t="s">
        <v>3755</v>
      </c>
      <c r="K188" t="s">
        <v>74</v>
      </c>
      <c r="L188" t="s">
        <v>74</v>
      </c>
      <c r="M188" t="s">
        <v>78</v>
      </c>
      <c r="N188" t="s">
        <v>52</v>
      </c>
      <c r="O188" t="s">
        <v>3756</v>
      </c>
      <c r="P188" t="s">
        <v>3757</v>
      </c>
      <c r="Q188" t="s">
        <v>3758</v>
      </c>
      <c r="R188" t="s">
        <v>74</v>
      </c>
      <c r="S188" t="s">
        <v>74</v>
      </c>
      <c r="T188" t="s">
        <v>74</v>
      </c>
      <c r="U188" t="s">
        <v>74</v>
      </c>
      <c r="V188" t="s">
        <v>74</v>
      </c>
      <c r="W188" t="s">
        <v>3825</v>
      </c>
      <c r="X188" t="s">
        <v>3826</v>
      </c>
      <c r="Y188" t="s">
        <v>74</v>
      </c>
      <c r="Z188" t="s">
        <v>3827</v>
      </c>
      <c r="AA188" t="s">
        <v>3828</v>
      </c>
      <c r="AB188" t="s">
        <v>74</v>
      </c>
      <c r="AC188" t="s">
        <v>74</v>
      </c>
      <c r="AD188" t="s">
        <v>74</v>
      </c>
      <c r="AE188" t="s">
        <v>74</v>
      </c>
      <c r="AF188" t="s">
        <v>74</v>
      </c>
      <c r="AG188">
        <v>0</v>
      </c>
      <c r="AH188">
        <v>0</v>
      </c>
      <c r="AI188">
        <v>0</v>
      </c>
      <c r="AJ188">
        <v>1</v>
      </c>
      <c r="AK188">
        <v>2</v>
      </c>
      <c r="AL188" t="s">
        <v>3762</v>
      </c>
      <c r="AM188" t="s">
        <v>3763</v>
      </c>
      <c r="AN188" t="s">
        <v>3764</v>
      </c>
      <c r="AO188" t="s">
        <v>3765</v>
      </c>
      <c r="AP188" t="s">
        <v>74</v>
      </c>
      <c r="AQ188" t="s">
        <v>74</v>
      </c>
      <c r="AR188" t="s">
        <v>3766</v>
      </c>
      <c r="AS188" t="s">
        <v>3767</v>
      </c>
      <c r="AT188" t="s">
        <v>3442</v>
      </c>
      <c r="AU188">
        <v>2012</v>
      </c>
      <c r="AV188">
        <v>52</v>
      </c>
      <c r="AW188" t="s">
        <v>74</v>
      </c>
      <c r="AX188" t="s">
        <v>74</v>
      </c>
      <c r="AY188">
        <v>1</v>
      </c>
      <c r="AZ188" t="s">
        <v>74</v>
      </c>
      <c r="BA188" t="s">
        <v>74</v>
      </c>
      <c r="BB188" t="s">
        <v>3829</v>
      </c>
      <c r="BC188" t="s">
        <v>3829</v>
      </c>
      <c r="BD188" t="s">
        <v>74</v>
      </c>
      <c r="BE188" t="s">
        <v>74</v>
      </c>
      <c r="BF188" t="s">
        <v>74</v>
      </c>
      <c r="BG188" t="s">
        <v>74</v>
      </c>
      <c r="BH188" t="s">
        <v>74</v>
      </c>
      <c r="BI188">
        <v>1</v>
      </c>
      <c r="BJ188" t="s">
        <v>98</v>
      </c>
      <c r="BK188" t="s">
        <v>2624</v>
      </c>
      <c r="BL188" t="s">
        <v>98</v>
      </c>
      <c r="BM188" t="s">
        <v>3769</v>
      </c>
      <c r="BN188" t="s">
        <v>74</v>
      </c>
      <c r="BO188" t="s">
        <v>74</v>
      </c>
      <c r="BP188" t="s">
        <v>74</v>
      </c>
      <c r="BQ188" t="s">
        <v>74</v>
      </c>
      <c r="BR188" t="s">
        <v>101</v>
      </c>
      <c r="BS188" t="s">
        <v>3830</v>
      </c>
      <c r="BT188" t="str">
        <f>HYPERLINK("https%3A%2F%2Fwww.webofscience.com%2Fwos%2Fwoscc%2Ffull-record%2FWOS:000303165001082","View Full Record in Web of Science")</f>
        <v>View Full Record in Web of Science</v>
      </c>
    </row>
    <row r="189" spans="1:72" x14ac:dyDescent="0.15">
      <c r="A189" t="s">
        <v>72</v>
      </c>
      <c r="B189" t="s">
        <v>3831</v>
      </c>
      <c r="C189" t="s">
        <v>74</v>
      </c>
      <c r="D189" t="s">
        <v>74</v>
      </c>
      <c r="E189" t="s">
        <v>74</v>
      </c>
      <c r="F189" t="s">
        <v>3832</v>
      </c>
      <c r="G189" t="s">
        <v>74</v>
      </c>
      <c r="H189" t="s">
        <v>74</v>
      </c>
      <c r="I189" t="s">
        <v>3833</v>
      </c>
      <c r="J189" t="s">
        <v>3755</v>
      </c>
      <c r="K189" t="s">
        <v>74</v>
      </c>
      <c r="L189" t="s">
        <v>74</v>
      </c>
      <c r="M189" t="s">
        <v>78</v>
      </c>
      <c r="N189" t="s">
        <v>52</v>
      </c>
      <c r="O189" t="s">
        <v>3756</v>
      </c>
      <c r="P189" t="s">
        <v>3757</v>
      </c>
      <c r="Q189" t="s">
        <v>3758</v>
      </c>
      <c r="R189" t="s">
        <v>74</v>
      </c>
      <c r="S189" t="s">
        <v>74</v>
      </c>
      <c r="T189" t="s">
        <v>74</v>
      </c>
      <c r="U189" t="s">
        <v>74</v>
      </c>
      <c r="V189" t="s">
        <v>74</v>
      </c>
      <c r="W189" t="s">
        <v>3834</v>
      </c>
      <c r="X189" t="s">
        <v>3835</v>
      </c>
      <c r="Y189" t="s">
        <v>74</v>
      </c>
      <c r="Z189" t="s">
        <v>3836</v>
      </c>
      <c r="AA189" t="s">
        <v>74</v>
      </c>
      <c r="AB189" t="s">
        <v>74</v>
      </c>
      <c r="AC189" t="s">
        <v>74</v>
      </c>
      <c r="AD189" t="s">
        <v>74</v>
      </c>
      <c r="AE189" t="s">
        <v>74</v>
      </c>
      <c r="AF189" t="s">
        <v>74</v>
      </c>
      <c r="AG189">
        <v>0</v>
      </c>
      <c r="AH189">
        <v>0</v>
      </c>
      <c r="AI189">
        <v>0</v>
      </c>
      <c r="AJ189">
        <v>1</v>
      </c>
      <c r="AK189">
        <v>1</v>
      </c>
      <c r="AL189" t="s">
        <v>3762</v>
      </c>
      <c r="AM189" t="s">
        <v>3763</v>
      </c>
      <c r="AN189" t="s">
        <v>3764</v>
      </c>
      <c r="AO189" t="s">
        <v>3765</v>
      </c>
      <c r="AP189" t="s">
        <v>74</v>
      </c>
      <c r="AQ189" t="s">
        <v>74</v>
      </c>
      <c r="AR189" t="s">
        <v>3766</v>
      </c>
      <c r="AS189" t="s">
        <v>3767</v>
      </c>
      <c r="AT189" t="s">
        <v>3442</v>
      </c>
      <c r="AU189">
        <v>2012</v>
      </c>
      <c r="AV189">
        <v>52</v>
      </c>
      <c r="AW189" t="s">
        <v>74</v>
      </c>
      <c r="AX189" t="s">
        <v>74</v>
      </c>
      <c r="AY189">
        <v>1</v>
      </c>
      <c r="AZ189" t="s">
        <v>74</v>
      </c>
      <c r="BA189" t="s">
        <v>74</v>
      </c>
      <c r="BB189" t="s">
        <v>3837</v>
      </c>
      <c r="BC189" t="s">
        <v>3837</v>
      </c>
      <c r="BD189" t="s">
        <v>74</v>
      </c>
      <c r="BE189" t="s">
        <v>74</v>
      </c>
      <c r="BF189" t="s">
        <v>74</v>
      </c>
      <c r="BG189" t="s">
        <v>74</v>
      </c>
      <c r="BH189" t="s">
        <v>74</v>
      </c>
      <c r="BI189">
        <v>1</v>
      </c>
      <c r="BJ189" t="s">
        <v>98</v>
      </c>
      <c r="BK189" t="s">
        <v>2624</v>
      </c>
      <c r="BL189" t="s">
        <v>98</v>
      </c>
      <c r="BM189" t="s">
        <v>3769</v>
      </c>
      <c r="BN189" t="s">
        <v>74</v>
      </c>
      <c r="BO189" t="s">
        <v>74</v>
      </c>
      <c r="BP189" t="s">
        <v>74</v>
      </c>
      <c r="BQ189" t="s">
        <v>74</v>
      </c>
      <c r="BR189" t="s">
        <v>101</v>
      </c>
      <c r="BS189" t="s">
        <v>3838</v>
      </c>
      <c r="BT189" t="str">
        <f>HYPERLINK("https%3A%2F%2Fwww.webofscience.com%2Fwos%2Fwoscc%2Ffull-record%2FWOS:000303165001163","View Full Record in Web of Science")</f>
        <v>View Full Record in Web of Science</v>
      </c>
    </row>
    <row r="190" spans="1:72" x14ac:dyDescent="0.15">
      <c r="A190" t="s">
        <v>72</v>
      </c>
      <c r="B190" t="s">
        <v>3839</v>
      </c>
      <c r="C190" t="s">
        <v>74</v>
      </c>
      <c r="D190" t="s">
        <v>74</v>
      </c>
      <c r="E190" t="s">
        <v>74</v>
      </c>
      <c r="F190" t="s">
        <v>3840</v>
      </c>
      <c r="G190" t="s">
        <v>74</v>
      </c>
      <c r="H190" t="s">
        <v>74</v>
      </c>
      <c r="I190" t="s">
        <v>3841</v>
      </c>
      <c r="J190" t="s">
        <v>3842</v>
      </c>
      <c r="K190" t="s">
        <v>74</v>
      </c>
      <c r="L190" t="s">
        <v>74</v>
      </c>
      <c r="M190" t="s">
        <v>78</v>
      </c>
      <c r="N190" t="s">
        <v>79</v>
      </c>
      <c r="O190" t="s">
        <v>74</v>
      </c>
      <c r="P190" t="s">
        <v>74</v>
      </c>
      <c r="Q190" t="s">
        <v>74</v>
      </c>
      <c r="R190" t="s">
        <v>74</v>
      </c>
      <c r="S190" t="s">
        <v>74</v>
      </c>
      <c r="T190" t="s">
        <v>3843</v>
      </c>
      <c r="U190" t="s">
        <v>3844</v>
      </c>
      <c r="V190" t="s">
        <v>3845</v>
      </c>
      <c r="W190" t="s">
        <v>3846</v>
      </c>
      <c r="X190" t="s">
        <v>3847</v>
      </c>
      <c r="Y190" t="s">
        <v>3848</v>
      </c>
      <c r="Z190" t="s">
        <v>3849</v>
      </c>
      <c r="AA190" t="s">
        <v>3850</v>
      </c>
      <c r="AB190" t="s">
        <v>3811</v>
      </c>
      <c r="AC190" t="s">
        <v>3851</v>
      </c>
      <c r="AD190" t="s">
        <v>3852</v>
      </c>
      <c r="AE190" t="s">
        <v>3853</v>
      </c>
      <c r="AF190" t="s">
        <v>74</v>
      </c>
      <c r="AG190">
        <v>34</v>
      </c>
      <c r="AH190">
        <v>21</v>
      </c>
      <c r="AI190">
        <v>22</v>
      </c>
      <c r="AJ190">
        <v>0</v>
      </c>
      <c r="AK190">
        <v>20</v>
      </c>
      <c r="AL190" t="s">
        <v>277</v>
      </c>
      <c r="AM190" t="s">
        <v>278</v>
      </c>
      <c r="AN190" t="s">
        <v>279</v>
      </c>
      <c r="AO190" t="s">
        <v>3854</v>
      </c>
      <c r="AP190" t="s">
        <v>3855</v>
      </c>
      <c r="AQ190" t="s">
        <v>74</v>
      </c>
      <c r="AR190" t="s">
        <v>3856</v>
      </c>
      <c r="AS190" t="s">
        <v>3857</v>
      </c>
      <c r="AT190" t="s">
        <v>3442</v>
      </c>
      <c r="AU190">
        <v>2012</v>
      </c>
      <c r="AV190">
        <v>58</v>
      </c>
      <c r="AW190">
        <v>4</v>
      </c>
      <c r="AX190" t="s">
        <v>74</v>
      </c>
      <c r="AY190" t="s">
        <v>74</v>
      </c>
      <c r="AZ190" t="s">
        <v>1913</v>
      </c>
      <c r="BA190" t="s">
        <v>74</v>
      </c>
      <c r="BB190">
        <v>498</v>
      </c>
      <c r="BC190">
        <v>505</v>
      </c>
      <c r="BD190" t="s">
        <v>74</v>
      </c>
      <c r="BE190" t="s">
        <v>3858</v>
      </c>
      <c r="BF190" t="str">
        <f>HYPERLINK("http://dx.doi.org/10.1016/j.jinsphys.2011.11.011","http://dx.doi.org/10.1016/j.jinsphys.2011.11.011")</f>
        <v>http://dx.doi.org/10.1016/j.jinsphys.2011.11.011</v>
      </c>
      <c r="BG190" t="s">
        <v>74</v>
      </c>
      <c r="BH190" t="s">
        <v>74</v>
      </c>
      <c r="BI190">
        <v>8</v>
      </c>
      <c r="BJ190" t="s">
        <v>3859</v>
      </c>
      <c r="BK190" t="s">
        <v>99</v>
      </c>
      <c r="BL190" t="s">
        <v>3859</v>
      </c>
      <c r="BM190" t="s">
        <v>3860</v>
      </c>
      <c r="BN190">
        <v>22133311</v>
      </c>
      <c r="BO190" t="s">
        <v>74</v>
      </c>
      <c r="BP190" t="s">
        <v>74</v>
      </c>
      <c r="BQ190" t="s">
        <v>74</v>
      </c>
      <c r="BR190" t="s">
        <v>101</v>
      </c>
      <c r="BS190" t="s">
        <v>3861</v>
      </c>
      <c r="BT190" t="str">
        <f>HYPERLINK("https%3A%2F%2Fwww.webofscience.com%2Fwos%2Fwoscc%2Ffull-record%2FWOS:000303286400010","View Full Record in Web of Science")</f>
        <v>View Full Record in Web of Science</v>
      </c>
    </row>
    <row r="191" spans="1:72" x14ac:dyDescent="0.15">
      <c r="A191" t="s">
        <v>72</v>
      </c>
      <c r="B191" t="s">
        <v>3862</v>
      </c>
      <c r="C191" t="s">
        <v>74</v>
      </c>
      <c r="D191" t="s">
        <v>74</v>
      </c>
      <c r="E191" t="s">
        <v>74</v>
      </c>
      <c r="F191" t="s">
        <v>3863</v>
      </c>
      <c r="G191" t="s">
        <v>74</v>
      </c>
      <c r="H191" t="s">
        <v>74</v>
      </c>
      <c r="I191" t="s">
        <v>3864</v>
      </c>
      <c r="J191" t="s">
        <v>3865</v>
      </c>
      <c r="K191" t="s">
        <v>74</v>
      </c>
      <c r="L191" t="s">
        <v>74</v>
      </c>
      <c r="M191" t="s">
        <v>78</v>
      </c>
      <c r="N191" t="s">
        <v>79</v>
      </c>
      <c r="O191" t="s">
        <v>74</v>
      </c>
      <c r="P191" t="s">
        <v>74</v>
      </c>
      <c r="Q191" t="s">
        <v>74</v>
      </c>
      <c r="R191" t="s">
        <v>74</v>
      </c>
      <c r="S191" t="s">
        <v>74</v>
      </c>
      <c r="T191" t="s">
        <v>74</v>
      </c>
      <c r="U191" t="s">
        <v>3866</v>
      </c>
      <c r="V191" t="s">
        <v>3867</v>
      </c>
      <c r="W191" t="s">
        <v>3868</v>
      </c>
      <c r="X191" t="s">
        <v>3869</v>
      </c>
      <c r="Y191" t="s">
        <v>3870</v>
      </c>
      <c r="Z191" t="s">
        <v>3871</v>
      </c>
      <c r="AA191" t="s">
        <v>3872</v>
      </c>
      <c r="AB191" t="s">
        <v>74</v>
      </c>
      <c r="AC191" t="s">
        <v>3873</v>
      </c>
      <c r="AD191" t="s">
        <v>3874</v>
      </c>
      <c r="AE191" t="s">
        <v>3875</v>
      </c>
      <c r="AF191" t="s">
        <v>74</v>
      </c>
      <c r="AG191">
        <v>78</v>
      </c>
      <c r="AH191">
        <v>66</v>
      </c>
      <c r="AI191">
        <v>68</v>
      </c>
      <c r="AJ191">
        <v>1</v>
      </c>
      <c r="AK191">
        <v>25</v>
      </c>
      <c r="AL191" t="s">
        <v>627</v>
      </c>
      <c r="AM191" t="s">
        <v>628</v>
      </c>
      <c r="AN191" t="s">
        <v>629</v>
      </c>
      <c r="AO191" t="s">
        <v>3876</v>
      </c>
      <c r="AP191" t="s">
        <v>3877</v>
      </c>
      <c r="AQ191" t="s">
        <v>74</v>
      </c>
      <c r="AR191" t="s">
        <v>3878</v>
      </c>
      <c r="AS191" t="s">
        <v>3879</v>
      </c>
      <c r="AT191" t="s">
        <v>3442</v>
      </c>
      <c r="AU191">
        <v>2012</v>
      </c>
      <c r="AV191">
        <v>47</v>
      </c>
      <c r="AW191">
        <v>4</v>
      </c>
      <c r="AX191" t="s">
        <v>74</v>
      </c>
      <c r="AY191" t="s">
        <v>74</v>
      </c>
      <c r="AZ191" t="s">
        <v>74</v>
      </c>
      <c r="BA191" t="s">
        <v>74</v>
      </c>
      <c r="BB191">
        <v>525</v>
      </c>
      <c r="BC191">
        <v>549</v>
      </c>
      <c r="BD191" t="s">
        <v>74</v>
      </c>
      <c r="BE191" t="s">
        <v>3880</v>
      </c>
      <c r="BF191" t="str">
        <f>HYPERLINK("http://dx.doi.org/10.1111/j.1945-5100.2011.01310.x","http://dx.doi.org/10.1111/j.1945-5100.2011.01310.x")</f>
        <v>http://dx.doi.org/10.1111/j.1945-5100.2011.01310.x</v>
      </c>
      <c r="BG191" t="s">
        <v>74</v>
      </c>
      <c r="BH191" t="s">
        <v>74</v>
      </c>
      <c r="BI191">
        <v>25</v>
      </c>
      <c r="BJ191" t="s">
        <v>1134</v>
      </c>
      <c r="BK191" t="s">
        <v>99</v>
      </c>
      <c r="BL191" t="s">
        <v>1134</v>
      </c>
      <c r="BM191" t="s">
        <v>3881</v>
      </c>
      <c r="BN191" t="s">
        <v>74</v>
      </c>
      <c r="BO191" t="s">
        <v>217</v>
      </c>
      <c r="BP191" t="s">
        <v>74</v>
      </c>
      <c r="BQ191" t="s">
        <v>74</v>
      </c>
      <c r="BR191" t="s">
        <v>101</v>
      </c>
      <c r="BS191" t="s">
        <v>3882</v>
      </c>
      <c r="BT191" t="str">
        <f>HYPERLINK("https%3A%2F%2Fwww.webofscience.com%2Fwos%2Fwoscc%2Ffull-record%2FWOS:000303240600003","View Full Record in Web of Science")</f>
        <v>View Full Record in Web of Science</v>
      </c>
    </row>
    <row r="192" spans="1:72" x14ac:dyDescent="0.15">
      <c r="A192" t="s">
        <v>72</v>
      </c>
      <c r="B192" t="s">
        <v>3883</v>
      </c>
      <c r="C192" t="s">
        <v>74</v>
      </c>
      <c r="D192" t="s">
        <v>74</v>
      </c>
      <c r="E192" t="s">
        <v>74</v>
      </c>
      <c r="F192" t="s">
        <v>3884</v>
      </c>
      <c r="G192" t="s">
        <v>74</v>
      </c>
      <c r="H192" t="s">
        <v>74</v>
      </c>
      <c r="I192" t="s">
        <v>3885</v>
      </c>
      <c r="J192" t="s">
        <v>3865</v>
      </c>
      <c r="K192" t="s">
        <v>74</v>
      </c>
      <c r="L192" t="s">
        <v>74</v>
      </c>
      <c r="M192" t="s">
        <v>78</v>
      </c>
      <c r="N192" t="s">
        <v>79</v>
      </c>
      <c r="O192" t="s">
        <v>74</v>
      </c>
      <c r="P192" t="s">
        <v>74</v>
      </c>
      <c r="Q192" t="s">
        <v>74</v>
      </c>
      <c r="R192" t="s">
        <v>74</v>
      </c>
      <c r="S192" t="s">
        <v>74</v>
      </c>
      <c r="T192" t="s">
        <v>74</v>
      </c>
      <c r="U192" t="s">
        <v>3886</v>
      </c>
      <c r="V192" t="s">
        <v>3887</v>
      </c>
      <c r="W192" t="s">
        <v>3888</v>
      </c>
      <c r="X192" t="s">
        <v>3889</v>
      </c>
      <c r="Y192" t="s">
        <v>3890</v>
      </c>
      <c r="Z192" t="s">
        <v>3891</v>
      </c>
      <c r="AA192" t="s">
        <v>3872</v>
      </c>
      <c r="AB192" t="s">
        <v>74</v>
      </c>
      <c r="AC192" t="s">
        <v>3892</v>
      </c>
      <c r="AD192" t="s">
        <v>3893</v>
      </c>
      <c r="AE192" t="s">
        <v>3894</v>
      </c>
      <c r="AF192" t="s">
        <v>74</v>
      </c>
      <c r="AG192">
        <v>57</v>
      </c>
      <c r="AH192">
        <v>76</v>
      </c>
      <c r="AI192">
        <v>77</v>
      </c>
      <c r="AJ192">
        <v>0</v>
      </c>
      <c r="AK192">
        <v>15</v>
      </c>
      <c r="AL192" t="s">
        <v>3895</v>
      </c>
      <c r="AM192" t="s">
        <v>3896</v>
      </c>
      <c r="AN192" t="s">
        <v>3897</v>
      </c>
      <c r="AO192" t="s">
        <v>3876</v>
      </c>
      <c r="AP192" t="s">
        <v>74</v>
      </c>
      <c r="AQ192" t="s">
        <v>74</v>
      </c>
      <c r="AR192" t="s">
        <v>3878</v>
      </c>
      <c r="AS192" t="s">
        <v>3879</v>
      </c>
      <c r="AT192" t="s">
        <v>3442</v>
      </c>
      <c r="AU192">
        <v>2012</v>
      </c>
      <c r="AV192">
        <v>47</v>
      </c>
      <c r="AW192">
        <v>4</v>
      </c>
      <c r="AX192" t="s">
        <v>74</v>
      </c>
      <c r="AY192" t="s">
        <v>74</v>
      </c>
      <c r="AZ192" t="s">
        <v>74</v>
      </c>
      <c r="BA192" t="s">
        <v>74</v>
      </c>
      <c r="BB192">
        <v>550</v>
      </c>
      <c r="BC192">
        <v>564</v>
      </c>
      <c r="BD192" t="s">
        <v>74</v>
      </c>
      <c r="BE192" t="s">
        <v>3898</v>
      </c>
      <c r="BF192" t="str">
        <f>HYPERLINK("http://dx.doi.org/10.1111/j.1945-5100.2011.01292.x","http://dx.doi.org/10.1111/j.1945-5100.2011.01292.x")</f>
        <v>http://dx.doi.org/10.1111/j.1945-5100.2011.01292.x</v>
      </c>
      <c r="BG192" t="s">
        <v>74</v>
      </c>
      <c r="BH192" t="s">
        <v>74</v>
      </c>
      <c r="BI192">
        <v>15</v>
      </c>
      <c r="BJ192" t="s">
        <v>1134</v>
      </c>
      <c r="BK192" t="s">
        <v>99</v>
      </c>
      <c r="BL192" t="s">
        <v>1134</v>
      </c>
      <c r="BM192" t="s">
        <v>3881</v>
      </c>
      <c r="BN192" t="s">
        <v>74</v>
      </c>
      <c r="BO192" t="s">
        <v>130</v>
      </c>
      <c r="BP192" t="s">
        <v>74</v>
      </c>
      <c r="BQ192" t="s">
        <v>74</v>
      </c>
      <c r="BR192" t="s">
        <v>101</v>
      </c>
      <c r="BS192" t="s">
        <v>3899</v>
      </c>
      <c r="BT192" t="str">
        <f>HYPERLINK("https%3A%2F%2Fwww.webofscience.com%2Fwos%2Fwoscc%2Ffull-record%2FWOS:000303240600004","View Full Record in Web of Science")</f>
        <v>View Full Record in Web of Science</v>
      </c>
    </row>
    <row r="193" spans="1:72" x14ac:dyDescent="0.15">
      <c r="A193" t="s">
        <v>72</v>
      </c>
      <c r="B193" t="s">
        <v>3900</v>
      </c>
      <c r="C193" t="s">
        <v>74</v>
      </c>
      <c r="D193" t="s">
        <v>74</v>
      </c>
      <c r="E193" t="s">
        <v>74</v>
      </c>
      <c r="F193" t="s">
        <v>3901</v>
      </c>
      <c r="G193" t="s">
        <v>74</v>
      </c>
      <c r="H193" t="s">
        <v>74</v>
      </c>
      <c r="I193" t="s">
        <v>3902</v>
      </c>
      <c r="J193" t="s">
        <v>3903</v>
      </c>
      <c r="K193" t="s">
        <v>74</v>
      </c>
      <c r="L193" t="s">
        <v>74</v>
      </c>
      <c r="M193" t="s">
        <v>78</v>
      </c>
      <c r="N193" t="s">
        <v>79</v>
      </c>
      <c r="O193" t="s">
        <v>74</v>
      </c>
      <c r="P193" t="s">
        <v>74</v>
      </c>
      <c r="Q193" t="s">
        <v>74</v>
      </c>
      <c r="R193" t="s">
        <v>74</v>
      </c>
      <c r="S193" t="s">
        <v>74</v>
      </c>
      <c r="T193" t="s">
        <v>74</v>
      </c>
      <c r="U193" t="s">
        <v>3904</v>
      </c>
      <c r="V193" t="s">
        <v>3905</v>
      </c>
      <c r="W193" t="s">
        <v>3906</v>
      </c>
      <c r="X193" t="s">
        <v>3907</v>
      </c>
      <c r="Y193" t="s">
        <v>3908</v>
      </c>
      <c r="Z193" t="s">
        <v>3909</v>
      </c>
      <c r="AA193" t="s">
        <v>3910</v>
      </c>
      <c r="AB193" t="s">
        <v>3911</v>
      </c>
      <c r="AC193" t="s">
        <v>3912</v>
      </c>
      <c r="AD193" t="s">
        <v>3913</v>
      </c>
      <c r="AE193" t="s">
        <v>3914</v>
      </c>
      <c r="AF193" t="s">
        <v>74</v>
      </c>
      <c r="AG193">
        <v>27</v>
      </c>
      <c r="AH193">
        <v>20</v>
      </c>
      <c r="AI193">
        <v>24</v>
      </c>
      <c r="AJ193">
        <v>0</v>
      </c>
      <c r="AK193">
        <v>44</v>
      </c>
      <c r="AL193" t="s">
        <v>655</v>
      </c>
      <c r="AM193" t="s">
        <v>656</v>
      </c>
      <c r="AN193" t="s">
        <v>657</v>
      </c>
      <c r="AO193" t="s">
        <v>3915</v>
      </c>
      <c r="AP193" t="s">
        <v>3916</v>
      </c>
      <c r="AQ193" t="s">
        <v>74</v>
      </c>
      <c r="AR193" t="s">
        <v>3917</v>
      </c>
      <c r="AS193" t="s">
        <v>3918</v>
      </c>
      <c r="AT193" t="s">
        <v>3442</v>
      </c>
      <c r="AU193">
        <v>2012</v>
      </c>
      <c r="AV193">
        <v>62</v>
      </c>
      <c r="AW193">
        <v>3</v>
      </c>
      <c r="AX193" t="s">
        <v>74</v>
      </c>
      <c r="AY193" t="s">
        <v>74</v>
      </c>
      <c r="AZ193" t="s">
        <v>74</v>
      </c>
      <c r="BA193" t="s">
        <v>74</v>
      </c>
      <c r="BB193">
        <v>494</v>
      </c>
      <c r="BC193">
        <v>501</v>
      </c>
      <c r="BD193" t="s">
        <v>74</v>
      </c>
      <c r="BE193" t="s">
        <v>3919</v>
      </c>
      <c r="BF193" t="str">
        <f>HYPERLINK("http://dx.doi.org/10.1007/s00244-011-9714-7","http://dx.doi.org/10.1007/s00244-011-9714-7")</f>
        <v>http://dx.doi.org/10.1007/s00244-011-9714-7</v>
      </c>
      <c r="BG193" t="s">
        <v>74</v>
      </c>
      <c r="BH193" t="s">
        <v>74</v>
      </c>
      <c r="BI193">
        <v>8</v>
      </c>
      <c r="BJ193" t="s">
        <v>2499</v>
      </c>
      <c r="BK193" t="s">
        <v>99</v>
      </c>
      <c r="BL193" t="s">
        <v>2500</v>
      </c>
      <c r="BM193" t="s">
        <v>3920</v>
      </c>
      <c r="BN193">
        <v>22002784</v>
      </c>
      <c r="BO193" t="s">
        <v>74</v>
      </c>
      <c r="BP193" t="s">
        <v>74</v>
      </c>
      <c r="BQ193" t="s">
        <v>74</v>
      </c>
      <c r="BR193" t="s">
        <v>101</v>
      </c>
      <c r="BS193" t="s">
        <v>3921</v>
      </c>
      <c r="BT193" t="str">
        <f>HYPERLINK("https%3A%2F%2Fwww.webofscience.com%2Fwos%2Fwoscc%2Ffull-record%2FWOS:000302809400013","View Full Record in Web of Science")</f>
        <v>View Full Record in Web of Science</v>
      </c>
    </row>
    <row r="194" spans="1:72" x14ac:dyDescent="0.15">
      <c r="A194" t="s">
        <v>72</v>
      </c>
      <c r="B194" t="s">
        <v>3922</v>
      </c>
      <c r="C194" t="s">
        <v>74</v>
      </c>
      <c r="D194" t="s">
        <v>74</v>
      </c>
      <c r="E194" t="s">
        <v>74</v>
      </c>
      <c r="F194" t="s">
        <v>3923</v>
      </c>
      <c r="G194" t="s">
        <v>74</v>
      </c>
      <c r="H194" t="s">
        <v>74</v>
      </c>
      <c r="I194" t="s">
        <v>3924</v>
      </c>
      <c r="J194" t="s">
        <v>3925</v>
      </c>
      <c r="K194" t="s">
        <v>74</v>
      </c>
      <c r="L194" t="s">
        <v>74</v>
      </c>
      <c r="M194" t="s">
        <v>78</v>
      </c>
      <c r="N194" t="s">
        <v>79</v>
      </c>
      <c r="O194" t="s">
        <v>74</v>
      </c>
      <c r="P194" t="s">
        <v>74</v>
      </c>
      <c r="Q194" t="s">
        <v>74</v>
      </c>
      <c r="R194" t="s">
        <v>74</v>
      </c>
      <c r="S194" t="s">
        <v>74</v>
      </c>
      <c r="T194" t="s">
        <v>3926</v>
      </c>
      <c r="U194" t="s">
        <v>3927</v>
      </c>
      <c r="V194" t="s">
        <v>3928</v>
      </c>
      <c r="W194" t="s">
        <v>3929</v>
      </c>
      <c r="X194" t="s">
        <v>3930</v>
      </c>
      <c r="Y194" t="s">
        <v>3931</v>
      </c>
      <c r="Z194" t="s">
        <v>3932</v>
      </c>
      <c r="AA194" t="s">
        <v>74</v>
      </c>
      <c r="AB194" t="s">
        <v>3933</v>
      </c>
      <c r="AC194" t="s">
        <v>3934</v>
      </c>
      <c r="AD194" t="s">
        <v>3935</v>
      </c>
      <c r="AE194" t="s">
        <v>3936</v>
      </c>
      <c r="AF194" t="s">
        <v>74</v>
      </c>
      <c r="AG194">
        <v>106</v>
      </c>
      <c r="AH194">
        <v>51</v>
      </c>
      <c r="AI194">
        <v>59</v>
      </c>
      <c r="AJ194">
        <v>0</v>
      </c>
      <c r="AK194">
        <v>84</v>
      </c>
      <c r="AL194" t="s">
        <v>627</v>
      </c>
      <c r="AM194" t="s">
        <v>628</v>
      </c>
      <c r="AN194" t="s">
        <v>629</v>
      </c>
      <c r="AO194" t="s">
        <v>3937</v>
      </c>
      <c r="AP194" t="s">
        <v>3938</v>
      </c>
      <c r="AQ194" t="s">
        <v>74</v>
      </c>
      <c r="AR194" t="s">
        <v>3939</v>
      </c>
      <c r="AS194" t="s">
        <v>3940</v>
      </c>
      <c r="AT194" t="s">
        <v>3442</v>
      </c>
      <c r="AU194">
        <v>2012</v>
      </c>
      <c r="AV194">
        <v>80</v>
      </c>
      <c r="AW194">
        <v>5</v>
      </c>
      <c r="AX194" t="s">
        <v>74</v>
      </c>
      <c r="AY194" t="s">
        <v>74</v>
      </c>
      <c r="AZ194" t="s">
        <v>1913</v>
      </c>
      <c r="BA194" t="s">
        <v>74</v>
      </c>
      <c r="BB194">
        <v>966</v>
      </c>
      <c r="BC194">
        <v>990</v>
      </c>
      <c r="BD194" t="s">
        <v>74</v>
      </c>
      <c r="BE194" t="s">
        <v>3941</v>
      </c>
      <c r="BF194" t="str">
        <f>HYPERLINK("http://dx.doi.org/10.1111/j.1095-8649.2012.03242.x","http://dx.doi.org/10.1111/j.1095-8649.2012.03242.x")</f>
        <v>http://dx.doi.org/10.1111/j.1095-8649.2012.03242.x</v>
      </c>
      <c r="BG194" t="s">
        <v>74</v>
      </c>
      <c r="BH194" t="s">
        <v>74</v>
      </c>
      <c r="BI194">
        <v>25</v>
      </c>
      <c r="BJ194" t="s">
        <v>3942</v>
      </c>
      <c r="BK194" t="s">
        <v>99</v>
      </c>
      <c r="BL194" t="s">
        <v>3942</v>
      </c>
      <c r="BM194" t="s">
        <v>3943</v>
      </c>
      <c r="BN194">
        <v>22497370</v>
      </c>
      <c r="BO194" t="s">
        <v>328</v>
      </c>
      <c r="BP194" t="s">
        <v>74</v>
      </c>
      <c r="BQ194" t="s">
        <v>74</v>
      </c>
      <c r="BR194" t="s">
        <v>101</v>
      </c>
      <c r="BS194" t="s">
        <v>3944</v>
      </c>
      <c r="BT194" t="str">
        <f>HYPERLINK("https%3A%2F%2Fwww.webofscience.com%2Fwos%2Fwoscc%2Ffull-record%2FWOS:000302722800005","View Full Record in Web of Science")</f>
        <v>View Full Record in Web of Science</v>
      </c>
    </row>
    <row r="195" spans="1:72" x14ac:dyDescent="0.15">
      <c r="A195" t="s">
        <v>72</v>
      </c>
      <c r="B195" t="s">
        <v>3945</v>
      </c>
      <c r="C195" t="s">
        <v>74</v>
      </c>
      <c r="D195" t="s">
        <v>74</v>
      </c>
      <c r="E195" t="s">
        <v>74</v>
      </c>
      <c r="F195" t="s">
        <v>3946</v>
      </c>
      <c r="G195" t="s">
        <v>74</v>
      </c>
      <c r="H195" t="s">
        <v>74</v>
      </c>
      <c r="I195" t="s">
        <v>3947</v>
      </c>
      <c r="J195" t="s">
        <v>3925</v>
      </c>
      <c r="K195" t="s">
        <v>74</v>
      </c>
      <c r="L195" t="s">
        <v>74</v>
      </c>
      <c r="M195" t="s">
        <v>78</v>
      </c>
      <c r="N195" t="s">
        <v>79</v>
      </c>
      <c r="O195" t="s">
        <v>74</v>
      </c>
      <c r="P195" t="s">
        <v>74</v>
      </c>
      <c r="Q195" t="s">
        <v>74</v>
      </c>
      <c r="R195" t="s">
        <v>74</v>
      </c>
      <c r="S195" t="s">
        <v>74</v>
      </c>
      <c r="T195" t="s">
        <v>3948</v>
      </c>
      <c r="U195" t="s">
        <v>74</v>
      </c>
      <c r="V195" t="s">
        <v>3949</v>
      </c>
      <c r="W195" t="s">
        <v>3950</v>
      </c>
      <c r="X195" t="s">
        <v>74</v>
      </c>
      <c r="Y195" t="s">
        <v>3951</v>
      </c>
      <c r="Z195" t="s">
        <v>3952</v>
      </c>
      <c r="AA195" t="s">
        <v>74</v>
      </c>
      <c r="AB195" t="s">
        <v>3953</v>
      </c>
      <c r="AC195" t="s">
        <v>74</v>
      </c>
      <c r="AD195" t="s">
        <v>74</v>
      </c>
      <c r="AE195" t="s">
        <v>74</v>
      </c>
      <c r="AF195" t="s">
        <v>74</v>
      </c>
      <c r="AG195">
        <v>0</v>
      </c>
      <c r="AH195">
        <v>16</v>
      </c>
      <c r="AI195">
        <v>18</v>
      </c>
      <c r="AJ195">
        <v>0</v>
      </c>
      <c r="AK195">
        <v>14</v>
      </c>
      <c r="AL195" t="s">
        <v>3895</v>
      </c>
      <c r="AM195" t="s">
        <v>3896</v>
      </c>
      <c r="AN195" t="s">
        <v>3897</v>
      </c>
      <c r="AO195" t="s">
        <v>3937</v>
      </c>
      <c r="AP195" t="s">
        <v>74</v>
      </c>
      <c r="AQ195" t="s">
        <v>74</v>
      </c>
      <c r="AR195" t="s">
        <v>3939</v>
      </c>
      <c r="AS195" t="s">
        <v>3940</v>
      </c>
      <c r="AT195" t="s">
        <v>3442</v>
      </c>
      <c r="AU195">
        <v>2012</v>
      </c>
      <c r="AV195">
        <v>80</v>
      </c>
      <c r="AW195">
        <v>5</v>
      </c>
      <c r="AX195" t="s">
        <v>74</v>
      </c>
      <c r="AY195" t="s">
        <v>74</v>
      </c>
      <c r="AZ195" t="s">
        <v>1913</v>
      </c>
      <c r="BA195" t="s">
        <v>74</v>
      </c>
      <c r="BB195">
        <v>1704</v>
      </c>
      <c r="BC195">
        <v>1726</v>
      </c>
      <c r="BD195" t="s">
        <v>74</v>
      </c>
      <c r="BE195" t="s">
        <v>3954</v>
      </c>
      <c r="BF195" t="str">
        <f>HYPERLINK("http://dx.doi.org/10.1111/j.1095-8649.2012.03260.x","http://dx.doi.org/10.1111/j.1095-8649.2012.03260.x")</f>
        <v>http://dx.doi.org/10.1111/j.1095-8649.2012.03260.x</v>
      </c>
      <c r="BG195" t="s">
        <v>74</v>
      </c>
      <c r="BH195" t="s">
        <v>74</v>
      </c>
      <c r="BI195">
        <v>23</v>
      </c>
      <c r="BJ195" t="s">
        <v>3942</v>
      </c>
      <c r="BK195" t="s">
        <v>99</v>
      </c>
      <c r="BL195" t="s">
        <v>3942</v>
      </c>
      <c r="BM195" t="s">
        <v>3943</v>
      </c>
      <c r="BN195">
        <v>22497404</v>
      </c>
      <c r="BO195" t="s">
        <v>74</v>
      </c>
      <c r="BP195" t="s">
        <v>74</v>
      </c>
      <c r="BQ195" t="s">
        <v>74</v>
      </c>
      <c r="BR195" t="s">
        <v>101</v>
      </c>
      <c r="BS195" t="s">
        <v>3955</v>
      </c>
      <c r="BT195" t="str">
        <f>HYPERLINK("https%3A%2F%2Fwww.webofscience.com%2Fwos%2Fwoscc%2Ffull-record%2FWOS:000302722800039","View Full Record in Web of Science")</f>
        <v>View Full Record in Web of Science</v>
      </c>
    </row>
    <row r="196" spans="1:72" x14ac:dyDescent="0.15">
      <c r="A196" t="s">
        <v>72</v>
      </c>
      <c r="B196" t="s">
        <v>3956</v>
      </c>
      <c r="C196" t="s">
        <v>74</v>
      </c>
      <c r="D196" t="s">
        <v>74</v>
      </c>
      <c r="E196" t="s">
        <v>74</v>
      </c>
      <c r="F196" t="s">
        <v>3957</v>
      </c>
      <c r="G196" t="s">
        <v>74</v>
      </c>
      <c r="H196" t="s">
        <v>74</v>
      </c>
      <c r="I196" t="s">
        <v>3958</v>
      </c>
      <c r="J196" t="s">
        <v>693</v>
      </c>
      <c r="K196" t="s">
        <v>74</v>
      </c>
      <c r="L196" t="s">
        <v>74</v>
      </c>
      <c r="M196" t="s">
        <v>78</v>
      </c>
      <c r="N196" t="s">
        <v>79</v>
      </c>
      <c r="O196" t="s">
        <v>74</v>
      </c>
      <c r="P196" t="s">
        <v>74</v>
      </c>
      <c r="Q196" t="s">
        <v>74</v>
      </c>
      <c r="R196" t="s">
        <v>74</v>
      </c>
      <c r="S196" t="s">
        <v>74</v>
      </c>
      <c r="T196" t="s">
        <v>74</v>
      </c>
      <c r="U196" t="s">
        <v>3959</v>
      </c>
      <c r="V196" t="s">
        <v>3960</v>
      </c>
      <c r="W196" t="s">
        <v>3961</v>
      </c>
      <c r="X196" t="s">
        <v>697</v>
      </c>
      <c r="Y196" t="s">
        <v>3962</v>
      </c>
      <c r="Z196" t="s">
        <v>3963</v>
      </c>
      <c r="AA196" t="s">
        <v>3964</v>
      </c>
      <c r="AB196" t="s">
        <v>3965</v>
      </c>
      <c r="AC196" t="s">
        <v>3966</v>
      </c>
      <c r="AD196" t="s">
        <v>3967</v>
      </c>
      <c r="AE196" t="s">
        <v>3968</v>
      </c>
      <c r="AF196" t="s">
        <v>74</v>
      </c>
      <c r="AG196">
        <v>22</v>
      </c>
      <c r="AH196">
        <v>18</v>
      </c>
      <c r="AI196">
        <v>18</v>
      </c>
      <c r="AJ196">
        <v>0</v>
      </c>
      <c r="AK196">
        <v>8</v>
      </c>
      <c r="AL196" t="s">
        <v>681</v>
      </c>
      <c r="AM196" t="s">
        <v>656</v>
      </c>
      <c r="AN196" t="s">
        <v>682</v>
      </c>
      <c r="AO196" t="s">
        <v>705</v>
      </c>
      <c r="AP196" t="s">
        <v>74</v>
      </c>
      <c r="AQ196" t="s">
        <v>74</v>
      </c>
      <c r="AR196" t="s">
        <v>707</v>
      </c>
      <c r="AS196" t="s">
        <v>708</v>
      </c>
      <c r="AT196" t="s">
        <v>3442</v>
      </c>
      <c r="AU196">
        <v>2012</v>
      </c>
      <c r="AV196">
        <v>52</v>
      </c>
      <c r="AW196">
        <v>2</v>
      </c>
      <c r="AX196" t="s">
        <v>74</v>
      </c>
      <c r="AY196" t="s">
        <v>74</v>
      </c>
      <c r="AZ196" t="s">
        <v>74</v>
      </c>
      <c r="BA196" t="s">
        <v>74</v>
      </c>
      <c r="BB196">
        <v>157</v>
      </c>
      <c r="BC196">
        <v>170</v>
      </c>
      <c r="BD196" t="s">
        <v>74</v>
      </c>
      <c r="BE196" t="s">
        <v>3969</v>
      </c>
      <c r="BF196" t="str">
        <f>HYPERLINK("http://dx.doi.org/10.1134/S0001437012010195","http://dx.doi.org/10.1134/S0001437012010195")</f>
        <v>http://dx.doi.org/10.1134/S0001437012010195</v>
      </c>
      <c r="BG196" t="s">
        <v>74</v>
      </c>
      <c r="BH196" t="s">
        <v>74</v>
      </c>
      <c r="BI196">
        <v>14</v>
      </c>
      <c r="BJ196" t="s">
        <v>350</v>
      </c>
      <c r="BK196" t="s">
        <v>99</v>
      </c>
      <c r="BL196" t="s">
        <v>350</v>
      </c>
      <c r="BM196" t="s">
        <v>3970</v>
      </c>
      <c r="BN196" t="s">
        <v>74</v>
      </c>
      <c r="BO196" t="s">
        <v>74</v>
      </c>
      <c r="BP196" t="s">
        <v>74</v>
      </c>
      <c r="BQ196" t="s">
        <v>74</v>
      </c>
      <c r="BR196" t="s">
        <v>101</v>
      </c>
      <c r="BS196" t="s">
        <v>3971</v>
      </c>
      <c r="BT196" t="str">
        <f>HYPERLINK("https%3A%2F%2Fwww.webofscience.com%2Fwos%2Fwoscc%2Ffull-record%2FWOS:000302812300002","View Full Record in Web of Science")</f>
        <v>View Full Record in Web of Science</v>
      </c>
    </row>
    <row r="197" spans="1:72" x14ac:dyDescent="0.15">
      <c r="A197" t="s">
        <v>72</v>
      </c>
      <c r="B197" t="s">
        <v>3972</v>
      </c>
      <c r="C197" t="s">
        <v>74</v>
      </c>
      <c r="D197" t="s">
        <v>74</v>
      </c>
      <c r="E197" t="s">
        <v>74</v>
      </c>
      <c r="F197" t="s">
        <v>3973</v>
      </c>
      <c r="G197" t="s">
        <v>74</v>
      </c>
      <c r="H197" t="s">
        <v>74</v>
      </c>
      <c r="I197" t="s">
        <v>3974</v>
      </c>
      <c r="J197" t="s">
        <v>3975</v>
      </c>
      <c r="K197" t="s">
        <v>74</v>
      </c>
      <c r="L197" t="s">
        <v>74</v>
      </c>
      <c r="M197" t="s">
        <v>3976</v>
      </c>
      <c r="N197" t="s">
        <v>79</v>
      </c>
      <c r="O197" t="s">
        <v>74</v>
      </c>
      <c r="P197" t="s">
        <v>74</v>
      </c>
      <c r="Q197" t="s">
        <v>74</v>
      </c>
      <c r="R197" t="s">
        <v>74</v>
      </c>
      <c r="S197" t="s">
        <v>74</v>
      </c>
      <c r="T197" t="s">
        <v>3977</v>
      </c>
      <c r="U197" t="s">
        <v>3978</v>
      </c>
      <c r="V197" t="s">
        <v>3979</v>
      </c>
      <c r="W197" t="s">
        <v>3980</v>
      </c>
      <c r="X197" t="s">
        <v>3981</v>
      </c>
      <c r="Y197" t="s">
        <v>3982</v>
      </c>
      <c r="Z197" t="s">
        <v>3983</v>
      </c>
      <c r="AA197" t="s">
        <v>74</v>
      </c>
      <c r="AB197" t="s">
        <v>74</v>
      </c>
      <c r="AC197" t="s">
        <v>74</v>
      </c>
      <c r="AD197" t="s">
        <v>74</v>
      </c>
      <c r="AE197" t="s">
        <v>74</v>
      </c>
      <c r="AF197" t="s">
        <v>74</v>
      </c>
      <c r="AG197">
        <v>15</v>
      </c>
      <c r="AH197">
        <v>0</v>
      </c>
      <c r="AI197">
        <v>0</v>
      </c>
      <c r="AJ197">
        <v>0</v>
      </c>
      <c r="AK197">
        <v>8</v>
      </c>
      <c r="AL197" t="s">
        <v>3984</v>
      </c>
      <c r="AM197" t="s">
        <v>1084</v>
      </c>
      <c r="AN197" t="s">
        <v>3985</v>
      </c>
      <c r="AO197" t="s">
        <v>3986</v>
      </c>
      <c r="AP197" t="s">
        <v>74</v>
      </c>
      <c r="AQ197" t="s">
        <v>74</v>
      </c>
      <c r="AR197" t="s">
        <v>3987</v>
      </c>
      <c r="AS197" t="s">
        <v>3988</v>
      </c>
      <c r="AT197" t="s">
        <v>3442</v>
      </c>
      <c r="AU197">
        <v>2012</v>
      </c>
      <c r="AV197">
        <v>32</v>
      </c>
      <c r="AW197">
        <v>4</v>
      </c>
      <c r="AX197" t="s">
        <v>74</v>
      </c>
      <c r="AY197" t="s">
        <v>74</v>
      </c>
      <c r="AZ197" t="s">
        <v>74</v>
      </c>
      <c r="BA197" t="s">
        <v>74</v>
      </c>
      <c r="BB197">
        <v>1032</v>
      </c>
      <c r="BC197">
        <v>1037</v>
      </c>
      <c r="BD197" t="s">
        <v>74</v>
      </c>
      <c r="BE197" t="s">
        <v>3989</v>
      </c>
      <c r="BF197" t="str">
        <f>HYPERLINK("http://dx.doi.org/10.3964/j.issn.1000-0593(2012)04-1032-06","http://dx.doi.org/10.3964/j.issn.1000-0593(2012)04-1032-06")</f>
        <v>http://dx.doi.org/10.3964/j.issn.1000-0593(2012)04-1032-06</v>
      </c>
      <c r="BG197" t="s">
        <v>74</v>
      </c>
      <c r="BH197" t="s">
        <v>74</v>
      </c>
      <c r="BI197">
        <v>6</v>
      </c>
      <c r="BJ197" t="s">
        <v>3990</v>
      </c>
      <c r="BK197" t="s">
        <v>99</v>
      </c>
      <c r="BL197" t="s">
        <v>3990</v>
      </c>
      <c r="BM197" t="s">
        <v>3991</v>
      </c>
      <c r="BN197">
        <v>22715779</v>
      </c>
      <c r="BO197" t="s">
        <v>74</v>
      </c>
      <c r="BP197" t="s">
        <v>74</v>
      </c>
      <c r="BQ197" t="s">
        <v>74</v>
      </c>
      <c r="BR197" t="s">
        <v>101</v>
      </c>
      <c r="BS197" t="s">
        <v>3992</v>
      </c>
      <c r="BT197" t="str">
        <f>HYPERLINK("https%3A%2F%2Fwww.webofscience.com%2Fwos%2Fwoscc%2Ffull-record%2FWOS:000302450000039","View Full Record in Web of Science")</f>
        <v>View Full Record in Web of Science</v>
      </c>
    </row>
    <row r="198" spans="1:72" x14ac:dyDescent="0.15">
      <c r="A198" t="s">
        <v>72</v>
      </c>
      <c r="B198" t="s">
        <v>3993</v>
      </c>
      <c r="C198" t="s">
        <v>74</v>
      </c>
      <c r="D198" t="s">
        <v>74</v>
      </c>
      <c r="E198" t="s">
        <v>74</v>
      </c>
      <c r="F198" t="s">
        <v>3994</v>
      </c>
      <c r="G198" t="s">
        <v>74</v>
      </c>
      <c r="H198" t="s">
        <v>74</v>
      </c>
      <c r="I198" t="s">
        <v>3995</v>
      </c>
      <c r="J198" t="s">
        <v>3996</v>
      </c>
      <c r="K198" t="s">
        <v>74</v>
      </c>
      <c r="L198" t="s">
        <v>74</v>
      </c>
      <c r="M198" t="s">
        <v>78</v>
      </c>
      <c r="N198" t="s">
        <v>79</v>
      </c>
      <c r="O198" t="s">
        <v>74</v>
      </c>
      <c r="P198" t="s">
        <v>74</v>
      </c>
      <c r="Q198" t="s">
        <v>74</v>
      </c>
      <c r="R198" t="s">
        <v>74</v>
      </c>
      <c r="S198" t="s">
        <v>74</v>
      </c>
      <c r="T198" t="s">
        <v>74</v>
      </c>
      <c r="U198" t="s">
        <v>3997</v>
      </c>
      <c r="V198" t="s">
        <v>3998</v>
      </c>
      <c r="W198" t="s">
        <v>3999</v>
      </c>
      <c r="X198" t="s">
        <v>4000</v>
      </c>
      <c r="Y198" t="s">
        <v>4001</v>
      </c>
      <c r="Z198" t="s">
        <v>4002</v>
      </c>
      <c r="AA198" t="s">
        <v>4003</v>
      </c>
      <c r="AB198" t="s">
        <v>4004</v>
      </c>
      <c r="AC198" t="s">
        <v>74</v>
      </c>
      <c r="AD198" t="s">
        <v>74</v>
      </c>
      <c r="AE198" t="s">
        <v>74</v>
      </c>
      <c r="AF198" t="s">
        <v>74</v>
      </c>
      <c r="AG198">
        <v>29</v>
      </c>
      <c r="AH198">
        <v>8</v>
      </c>
      <c r="AI198">
        <v>11</v>
      </c>
      <c r="AJ198">
        <v>0</v>
      </c>
      <c r="AK198">
        <v>10</v>
      </c>
      <c r="AL198" t="s">
        <v>997</v>
      </c>
      <c r="AM198" t="s">
        <v>998</v>
      </c>
      <c r="AN198" t="s">
        <v>999</v>
      </c>
      <c r="AO198" t="s">
        <v>4005</v>
      </c>
      <c r="AP198" t="s">
        <v>4006</v>
      </c>
      <c r="AQ198" t="s">
        <v>74</v>
      </c>
      <c r="AR198" t="s">
        <v>4007</v>
      </c>
      <c r="AS198" t="s">
        <v>4008</v>
      </c>
      <c r="AT198" t="s">
        <v>3442</v>
      </c>
      <c r="AU198">
        <v>2012</v>
      </c>
      <c r="AV198">
        <v>27</v>
      </c>
      <c r="AW198">
        <v>2</v>
      </c>
      <c r="AX198" t="s">
        <v>74</v>
      </c>
      <c r="AY198" t="s">
        <v>74</v>
      </c>
      <c r="AZ198" t="s">
        <v>74</v>
      </c>
      <c r="BA198" t="s">
        <v>74</v>
      </c>
      <c r="BB198">
        <v>379</v>
      </c>
      <c r="BC198">
        <v>395</v>
      </c>
      <c r="BD198" t="s">
        <v>74</v>
      </c>
      <c r="BE198" t="s">
        <v>4009</v>
      </c>
      <c r="BF198" t="str">
        <f>HYPERLINK("http://dx.doi.org/10.1175/WAF-D-11-00020.1","http://dx.doi.org/10.1175/WAF-D-11-00020.1")</f>
        <v>http://dx.doi.org/10.1175/WAF-D-11-00020.1</v>
      </c>
      <c r="BG198" t="s">
        <v>74</v>
      </c>
      <c r="BH198" t="s">
        <v>74</v>
      </c>
      <c r="BI198">
        <v>17</v>
      </c>
      <c r="BJ198" t="s">
        <v>128</v>
      </c>
      <c r="BK198" t="s">
        <v>99</v>
      </c>
      <c r="BL198" t="s">
        <v>128</v>
      </c>
      <c r="BM198" t="s">
        <v>4010</v>
      </c>
      <c r="BN198" t="s">
        <v>74</v>
      </c>
      <c r="BO198" t="s">
        <v>259</v>
      </c>
      <c r="BP198" t="s">
        <v>74</v>
      </c>
      <c r="BQ198" t="s">
        <v>74</v>
      </c>
      <c r="BR198" t="s">
        <v>101</v>
      </c>
      <c r="BS198" t="s">
        <v>4011</v>
      </c>
      <c r="BT198" t="str">
        <f>HYPERLINK("https%3A%2F%2Fwww.webofscience.com%2Fwos%2Fwoscc%2Ffull-record%2FWOS:000302970500008","View Full Record in Web of Science")</f>
        <v>View Full Record in Web of Science</v>
      </c>
    </row>
    <row r="199" spans="1:72" x14ac:dyDescent="0.15">
      <c r="A199" t="s">
        <v>72</v>
      </c>
      <c r="B199" t="s">
        <v>4012</v>
      </c>
      <c r="C199" t="s">
        <v>74</v>
      </c>
      <c r="D199" t="s">
        <v>74</v>
      </c>
      <c r="E199" t="s">
        <v>74</v>
      </c>
      <c r="F199" t="s">
        <v>4013</v>
      </c>
      <c r="G199" t="s">
        <v>74</v>
      </c>
      <c r="H199" t="s">
        <v>74</v>
      </c>
      <c r="I199" t="s">
        <v>4014</v>
      </c>
      <c r="J199" t="s">
        <v>4015</v>
      </c>
      <c r="K199" t="s">
        <v>74</v>
      </c>
      <c r="L199" t="s">
        <v>74</v>
      </c>
      <c r="M199" t="s">
        <v>78</v>
      </c>
      <c r="N199" t="s">
        <v>79</v>
      </c>
      <c r="O199" t="s">
        <v>74</v>
      </c>
      <c r="P199" t="s">
        <v>74</v>
      </c>
      <c r="Q199" t="s">
        <v>74</v>
      </c>
      <c r="R199" t="s">
        <v>74</v>
      </c>
      <c r="S199" t="s">
        <v>74</v>
      </c>
      <c r="T199" t="s">
        <v>4016</v>
      </c>
      <c r="U199" t="s">
        <v>4017</v>
      </c>
      <c r="V199" t="s">
        <v>4018</v>
      </c>
      <c r="W199" t="s">
        <v>4019</v>
      </c>
      <c r="X199" t="s">
        <v>4020</v>
      </c>
      <c r="Y199" t="s">
        <v>4021</v>
      </c>
      <c r="Z199" t="s">
        <v>4022</v>
      </c>
      <c r="AA199" t="s">
        <v>4023</v>
      </c>
      <c r="AB199" t="s">
        <v>4024</v>
      </c>
      <c r="AC199" t="s">
        <v>74</v>
      </c>
      <c r="AD199" t="s">
        <v>74</v>
      </c>
      <c r="AE199" t="s">
        <v>74</v>
      </c>
      <c r="AF199" t="s">
        <v>74</v>
      </c>
      <c r="AG199">
        <v>44</v>
      </c>
      <c r="AH199">
        <v>12</v>
      </c>
      <c r="AI199">
        <v>12</v>
      </c>
      <c r="AJ199">
        <v>0</v>
      </c>
      <c r="AK199">
        <v>11</v>
      </c>
      <c r="AL199" t="s">
        <v>1548</v>
      </c>
      <c r="AM199" t="s">
        <v>656</v>
      </c>
      <c r="AN199" t="s">
        <v>4025</v>
      </c>
      <c r="AO199" t="s">
        <v>4026</v>
      </c>
      <c r="AP199" t="s">
        <v>4027</v>
      </c>
      <c r="AQ199" t="s">
        <v>74</v>
      </c>
      <c r="AR199" t="s">
        <v>4028</v>
      </c>
      <c r="AS199" t="s">
        <v>4029</v>
      </c>
      <c r="AT199" t="s">
        <v>3442</v>
      </c>
      <c r="AU199">
        <v>2012</v>
      </c>
      <c r="AV199">
        <v>107</v>
      </c>
      <c r="AW199" t="s">
        <v>74</v>
      </c>
      <c r="AX199" t="s">
        <v>74</v>
      </c>
      <c r="AY199" t="s">
        <v>74</v>
      </c>
      <c r="AZ199" t="s">
        <v>74</v>
      </c>
      <c r="BA199" t="s">
        <v>74</v>
      </c>
      <c r="BB199">
        <v>42</v>
      </c>
      <c r="BC199">
        <v>50</v>
      </c>
      <c r="BD199" t="s">
        <v>74</v>
      </c>
      <c r="BE199" t="s">
        <v>4030</v>
      </c>
      <c r="BF199" t="str">
        <f>HYPERLINK("http://dx.doi.org/10.1016/j.atmosres.2011.12.007","http://dx.doi.org/10.1016/j.atmosres.2011.12.007")</f>
        <v>http://dx.doi.org/10.1016/j.atmosres.2011.12.007</v>
      </c>
      <c r="BG199" t="s">
        <v>74</v>
      </c>
      <c r="BH199" t="s">
        <v>74</v>
      </c>
      <c r="BI199">
        <v>9</v>
      </c>
      <c r="BJ199" t="s">
        <v>128</v>
      </c>
      <c r="BK199" t="s">
        <v>99</v>
      </c>
      <c r="BL199" t="s">
        <v>128</v>
      </c>
      <c r="BM199" t="s">
        <v>4031</v>
      </c>
      <c r="BN199" t="s">
        <v>74</v>
      </c>
      <c r="BO199" t="s">
        <v>74</v>
      </c>
      <c r="BP199" t="s">
        <v>74</v>
      </c>
      <c r="BQ199" t="s">
        <v>74</v>
      </c>
      <c r="BR199" t="s">
        <v>101</v>
      </c>
      <c r="BS199" t="s">
        <v>4032</v>
      </c>
      <c r="BT199" t="str">
        <f>HYPERLINK("https%3A%2F%2Fwww.webofscience.com%2Fwos%2Fwoscc%2Ffull-record%2FWOS:000302507500005","View Full Record in Web of Science")</f>
        <v>View Full Record in Web of Science</v>
      </c>
    </row>
    <row r="200" spans="1:72" x14ac:dyDescent="0.15">
      <c r="A200" t="s">
        <v>72</v>
      </c>
      <c r="B200" t="s">
        <v>4033</v>
      </c>
      <c r="C200" t="s">
        <v>74</v>
      </c>
      <c r="D200" t="s">
        <v>74</v>
      </c>
      <c r="E200" t="s">
        <v>74</v>
      </c>
      <c r="F200" t="s">
        <v>4034</v>
      </c>
      <c r="G200" t="s">
        <v>74</v>
      </c>
      <c r="H200" t="s">
        <v>74</v>
      </c>
      <c r="I200" t="s">
        <v>4035</v>
      </c>
      <c r="J200" t="s">
        <v>4036</v>
      </c>
      <c r="K200" t="s">
        <v>74</v>
      </c>
      <c r="L200" t="s">
        <v>74</v>
      </c>
      <c r="M200" t="s">
        <v>78</v>
      </c>
      <c r="N200" t="s">
        <v>79</v>
      </c>
      <c r="O200" t="s">
        <v>74</v>
      </c>
      <c r="P200" t="s">
        <v>74</v>
      </c>
      <c r="Q200" t="s">
        <v>74</v>
      </c>
      <c r="R200" t="s">
        <v>74</v>
      </c>
      <c r="S200" t="s">
        <v>74</v>
      </c>
      <c r="T200" t="s">
        <v>4037</v>
      </c>
      <c r="U200" t="s">
        <v>4038</v>
      </c>
      <c r="V200" t="s">
        <v>4039</v>
      </c>
      <c r="W200" t="s">
        <v>4040</v>
      </c>
      <c r="X200" t="s">
        <v>4041</v>
      </c>
      <c r="Y200" t="s">
        <v>4042</v>
      </c>
      <c r="Z200" t="s">
        <v>4043</v>
      </c>
      <c r="AA200" t="s">
        <v>4044</v>
      </c>
      <c r="AB200" t="s">
        <v>4045</v>
      </c>
      <c r="AC200" t="s">
        <v>4046</v>
      </c>
      <c r="AD200" t="s">
        <v>4047</v>
      </c>
      <c r="AE200" t="s">
        <v>4048</v>
      </c>
      <c r="AF200" t="s">
        <v>74</v>
      </c>
      <c r="AG200">
        <v>24</v>
      </c>
      <c r="AH200">
        <v>25</v>
      </c>
      <c r="AI200">
        <v>30</v>
      </c>
      <c r="AJ200">
        <v>1</v>
      </c>
      <c r="AK200">
        <v>15</v>
      </c>
      <c r="AL200" t="s">
        <v>277</v>
      </c>
      <c r="AM200" t="s">
        <v>278</v>
      </c>
      <c r="AN200" t="s">
        <v>279</v>
      </c>
      <c r="AO200" t="s">
        <v>4049</v>
      </c>
      <c r="AP200" t="s">
        <v>4050</v>
      </c>
      <c r="AQ200" t="s">
        <v>74</v>
      </c>
      <c r="AR200" t="s">
        <v>4051</v>
      </c>
      <c r="AS200" t="s">
        <v>4052</v>
      </c>
      <c r="AT200" t="s">
        <v>3442</v>
      </c>
      <c r="AU200">
        <v>2012</v>
      </c>
      <c r="AV200">
        <v>41</v>
      </c>
      <c r="AW200" t="s">
        <v>74</v>
      </c>
      <c r="AX200" t="s">
        <v>74</v>
      </c>
      <c r="AY200" t="s">
        <v>74</v>
      </c>
      <c r="AZ200" t="s">
        <v>74</v>
      </c>
      <c r="BA200" t="s">
        <v>74</v>
      </c>
      <c r="BB200">
        <v>88</v>
      </c>
      <c r="BC200">
        <v>98</v>
      </c>
      <c r="BD200" t="s">
        <v>74</v>
      </c>
      <c r="BE200" t="s">
        <v>4053</v>
      </c>
      <c r="BF200" t="str">
        <f>HYPERLINK("http://dx.doi.org/10.1016/j.cageo.2011.08.017","http://dx.doi.org/10.1016/j.cageo.2011.08.017")</f>
        <v>http://dx.doi.org/10.1016/j.cageo.2011.08.017</v>
      </c>
      <c r="BG200" t="s">
        <v>74</v>
      </c>
      <c r="BH200" t="s">
        <v>74</v>
      </c>
      <c r="BI200">
        <v>11</v>
      </c>
      <c r="BJ200" t="s">
        <v>4054</v>
      </c>
      <c r="BK200" t="s">
        <v>99</v>
      </c>
      <c r="BL200" t="s">
        <v>4055</v>
      </c>
      <c r="BM200" t="s">
        <v>4056</v>
      </c>
      <c r="BN200" t="s">
        <v>74</v>
      </c>
      <c r="BO200" t="s">
        <v>74</v>
      </c>
      <c r="BP200" t="s">
        <v>74</v>
      </c>
      <c r="BQ200" t="s">
        <v>74</v>
      </c>
      <c r="BR200" t="s">
        <v>101</v>
      </c>
      <c r="BS200" t="s">
        <v>4057</v>
      </c>
      <c r="BT200" t="str">
        <f>HYPERLINK("https%3A%2F%2Fwww.webofscience.com%2Fwos%2Fwoscc%2Ffull-record%2FWOS:000302524200010","View Full Record in Web of Science")</f>
        <v>View Full Record in Web of Science</v>
      </c>
    </row>
    <row r="201" spans="1:72" x14ac:dyDescent="0.15">
      <c r="A201" t="s">
        <v>72</v>
      </c>
      <c r="B201" t="s">
        <v>4058</v>
      </c>
      <c r="C201" t="s">
        <v>74</v>
      </c>
      <c r="D201" t="s">
        <v>74</v>
      </c>
      <c r="E201" t="s">
        <v>74</v>
      </c>
      <c r="F201" t="s">
        <v>4059</v>
      </c>
      <c r="G201" t="s">
        <v>74</v>
      </c>
      <c r="H201" t="s">
        <v>74</v>
      </c>
      <c r="I201" t="s">
        <v>4060</v>
      </c>
      <c r="J201" t="s">
        <v>1265</v>
      </c>
      <c r="K201" t="s">
        <v>74</v>
      </c>
      <c r="L201" t="s">
        <v>74</v>
      </c>
      <c r="M201" t="s">
        <v>78</v>
      </c>
      <c r="N201" t="s">
        <v>79</v>
      </c>
      <c r="O201" t="s">
        <v>74</v>
      </c>
      <c r="P201" t="s">
        <v>74</v>
      </c>
      <c r="Q201" t="s">
        <v>74</v>
      </c>
      <c r="R201" t="s">
        <v>74</v>
      </c>
      <c r="S201" t="s">
        <v>74</v>
      </c>
      <c r="T201" t="s">
        <v>4061</v>
      </c>
      <c r="U201" t="s">
        <v>4062</v>
      </c>
      <c r="V201" t="s">
        <v>4063</v>
      </c>
      <c r="W201" t="s">
        <v>4064</v>
      </c>
      <c r="X201" t="s">
        <v>4065</v>
      </c>
      <c r="Y201" t="s">
        <v>4066</v>
      </c>
      <c r="Z201" t="s">
        <v>4067</v>
      </c>
      <c r="AA201" t="s">
        <v>4068</v>
      </c>
      <c r="AB201" t="s">
        <v>4069</v>
      </c>
      <c r="AC201" t="s">
        <v>4070</v>
      </c>
      <c r="AD201" t="s">
        <v>4071</v>
      </c>
      <c r="AE201" t="s">
        <v>4072</v>
      </c>
      <c r="AF201" t="s">
        <v>74</v>
      </c>
      <c r="AG201">
        <v>68</v>
      </c>
      <c r="AH201">
        <v>66</v>
      </c>
      <c r="AI201">
        <v>88</v>
      </c>
      <c r="AJ201">
        <v>0</v>
      </c>
      <c r="AK201">
        <v>62</v>
      </c>
      <c r="AL201" t="s">
        <v>277</v>
      </c>
      <c r="AM201" t="s">
        <v>278</v>
      </c>
      <c r="AN201" t="s">
        <v>279</v>
      </c>
      <c r="AO201" t="s">
        <v>1278</v>
      </c>
      <c r="AP201" t="s">
        <v>1279</v>
      </c>
      <c r="AQ201" t="s">
        <v>74</v>
      </c>
      <c r="AR201" t="s">
        <v>1280</v>
      </c>
      <c r="AS201" t="s">
        <v>1281</v>
      </c>
      <c r="AT201" t="s">
        <v>3442</v>
      </c>
      <c r="AU201">
        <v>2012</v>
      </c>
      <c r="AV201">
        <v>62</v>
      </c>
      <c r="AW201" t="s">
        <v>74</v>
      </c>
      <c r="AX201" t="s">
        <v>74</v>
      </c>
      <c r="AY201" t="s">
        <v>74</v>
      </c>
      <c r="AZ201" t="s">
        <v>74</v>
      </c>
      <c r="BA201" t="s">
        <v>74</v>
      </c>
      <c r="BB201">
        <v>111</v>
      </c>
      <c r="BC201">
        <v>122</v>
      </c>
      <c r="BD201" t="s">
        <v>74</v>
      </c>
      <c r="BE201" t="s">
        <v>4073</v>
      </c>
      <c r="BF201" t="str">
        <f>HYPERLINK("http://dx.doi.org/10.1016/j.dsr.2011.12.015","http://dx.doi.org/10.1016/j.dsr.2011.12.015")</f>
        <v>http://dx.doi.org/10.1016/j.dsr.2011.12.015</v>
      </c>
      <c r="BG201" t="s">
        <v>74</v>
      </c>
      <c r="BH201" t="s">
        <v>74</v>
      </c>
      <c r="BI201">
        <v>12</v>
      </c>
      <c r="BJ201" t="s">
        <v>350</v>
      </c>
      <c r="BK201" t="s">
        <v>99</v>
      </c>
      <c r="BL201" t="s">
        <v>350</v>
      </c>
      <c r="BM201" t="s">
        <v>4074</v>
      </c>
      <c r="BN201" t="s">
        <v>74</v>
      </c>
      <c r="BO201" t="s">
        <v>74</v>
      </c>
      <c r="BP201" t="s">
        <v>74</v>
      </c>
      <c r="BQ201" t="s">
        <v>74</v>
      </c>
      <c r="BR201" t="s">
        <v>101</v>
      </c>
      <c r="BS201" t="s">
        <v>4075</v>
      </c>
      <c r="BT201" t="str">
        <f>HYPERLINK("https%3A%2F%2Fwww.webofscience.com%2Fwos%2Fwoscc%2Ffull-record%2FWOS:000302672000010","View Full Record in Web of Science")</f>
        <v>View Full Record in Web of Science</v>
      </c>
    </row>
    <row r="202" spans="1:72" x14ac:dyDescent="0.15">
      <c r="A202" t="s">
        <v>72</v>
      </c>
      <c r="B202" t="s">
        <v>4076</v>
      </c>
      <c r="C202" t="s">
        <v>74</v>
      </c>
      <c r="D202" t="s">
        <v>74</v>
      </c>
      <c r="E202" t="s">
        <v>74</v>
      </c>
      <c r="F202" t="s">
        <v>4077</v>
      </c>
      <c r="G202" t="s">
        <v>74</v>
      </c>
      <c r="H202" t="s">
        <v>74</v>
      </c>
      <c r="I202" t="s">
        <v>4078</v>
      </c>
      <c r="J202" t="s">
        <v>4079</v>
      </c>
      <c r="K202" t="s">
        <v>74</v>
      </c>
      <c r="L202" t="s">
        <v>74</v>
      </c>
      <c r="M202" t="s">
        <v>78</v>
      </c>
      <c r="N202" t="s">
        <v>1073</v>
      </c>
      <c r="O202" t="s">
        <v>74</v>
      </c>
      <c r="P202" t="s">
        <v>74</v>
      </c>
      <c r="Q202" t="s">
        <v>74</v>
      </c>
      <c r="R202" t="s">
        <v>74</v>
      </c>
      <c r="S202" t="s">
        <v>74</v>
      </c>
      <c r="T202" t="s">
        <v>74</v>
      </c>
      <c r="U202" t="s">
        <v>4080</v>
      </c>
      <c r="V202" t="s">
        <v>4081</v>
      </c>
      <c r="W202" t="s">
        <v>4082</v>
      </c>
      <c r="X202" t="s">
        <v>4083</v>
      </c>
      <c r="Y202" t="s">
        <v>4084</v>
      </c>
      <c r="Z202" t="s">
        <v>4085</v>
      </c>
      <c r="AA202" t="s">
        <v>74</v>
      </c>
      <c r="AB202" t="s">
        <v>74</v>
      </c>
      <c r="AC202" t="s">
        <v>4086</v>
      </c>
      <c r="AD202" t="s">
        <v>4087</v>
      </c>
      <c r="AE202" t="s">
        <v>4088</v>
      </c>
      <c r="AF202" t="s">
        <v>74</v>
      </c>
      <c r="AG202">
        <v>56</v>
      </c>
      <c r="AH202">
        <v>58</v>
      </c>
      <c r="AI202">
        <v>65</v>
      </c>
      <c r="AJ202">
        <v>2</v>
      </c>
      <c r="AK202">
        <v>52</v>
      </c>
      <c r="AL202" t="s">
        <v>277</v>
      </c>
      <c r="AM202" t="s">
        <v>278</v>
      </c>
      <c r="AN202" t="s">
        <v>279</v>
      </c>
      <c r="AO202" t="s">
        <v>4089</v>
      </c>
      <c r="AP202" t="s">
        <v>74</v>
      </c>
      <c r="AQ202" t="s">
        <v>74</v>
      </c>
      <c r="AR202" t="s">
        <v>4090</v>
      </c>
      <c r="AS202" t="s">
        <v>4091</v>
      </c>
      <c r="AT202" t="s">
        <v>3442</v>
      </c>
      <c r="AU202">
        <v>2012</v>
      </c>
      <c r="AV202">
        <v>96</v>
      </c>
      <c r="AW202">
        <v>1</v>
      </c>
      <c r="AX202" t="s">
        <v>74</v>
      </c>
      <c r="AY202" t="s">
        <v>74</v>
      </c>
      <c r="AZ202" t="s">
        <v>74</v>
      </c>
      <c r="BA202" t="s">
        <v>74</v>
      </c>
      <c r="BB202">
        <v>93</v>
      </c>
      <c r="BC202">
        <v>107</v>
      </c>
      <c r="BD202" t="s">
        <v>74</v>
      </c>
      <c r="BE202" t="s">
        <v>4092</v>
      </c>
      <c r="BF202" t="str">
        <f>HYPERLINK("http://dx.doi.org/10.1016/j.pocean.2011.11.001","http://dx.doi.org/10.1016/j.pocean.2011.11.001")</f>
        <v>http://dx.doi.org/10.1016/j.pocean.2011.11.001</v>
      </c>
      <c r="BG202" t="s">
        <v>74</v>
      </c>
      <c r="BH202" t="s">
        <v>74</v>
      </c>
      <c r="BI202">
        <v>15</v>
      </c>
      <c r="BJ202" t="s">
        <v>350</v>
      </c>
      <c r="BK202" t="s">
        <v>99</v>
      </c>
      <c r="BL202" t="s">
        <v>350</v>
      </c>
      <c r="BM202" t="s">
        <v>4093</v>
      </c>
      <c r="BN202" t="s">
        <v>74</v>
      </c>
      <c r="BO202" t="s">
        <v>74</v>
      </c>
      <c r="BP202" t="s">
        <v>74</v>
      </c>
      <c r="BQ202" t="s">
        <v>74</v>
      </c>
      <c r="BR202" t="s">
        <v>101</v>
      </c>
      <c r="BS202" t="s">
        <v>4094</v>
      </c>
      <c r="BT202" t="str">
        <f>HYPERLINK("https%3A%2F%2Fwww.webofscience.com%2Fwos%2Fwoscc%2Ffull-record%2FWOS:000302488900006","View Full Record in Web of Science")</f>
        <v>View Full Record in Web of Science</v>
      </c>
    </row>
    <row r="203" spans="1:72" x14ac:dyDescent="0.15">
      <c r="A203" t="s">
        <v>72</v>
      </c>
      <c r="B203" t="s">
        <v>4095</v>
      </c>
      <c r="C203" t="s">
        <v>74</v>
      </c>
      <c r="D203" t="s">
        <v>74</v>
      </c>
      <c r="E203" t="s">
        <v>74</v>
      </c>
      <c r="F203" t="s">
        <v>4096</v>
      </c>
      <c r="G203" t="s">
        <v>74</v>
      </c>
      <c r="H203" t="s">
        <v>74</v>
      </c>
      <c r="I203" t="s">
        <v>4097</v>
      </c>
      <c r="J203" t="s">
        <v>4079</v>
      </c>
      <c r="K203" t="s">
        <v>74</v>
      </c>
      <c r="L203" t="s">
        <v>74</v>
      </c>
      <c r="M203" t="s">
        <v>78</v>
      </c>
      <c r="N203" t="s">
        <v>1073</v>
      </c>
      <c r="O203" t="s">
        <v>74</v>
      </c>
      <c r="P203" t="s">
        <v>74</v>
      </c>
      <c r="Q203" t="s">
        <v>74</v>
      </c>
      <c r="R203" t="s">
        <v>74</v>
      </c>
      <c r="S203" t="s">
        <v>74</v>
      </c>
      <c r="T203" t="s">
        <v>4098</v>
      </c>
      <c r="U203" t="s">
        <v>4099</v>
      </c>
      <c r="V203" t="s">
        <v>4100</v>
      </c>
      <c r="W203" t="s">
        <v>4101</v>
      </c>
      <c r="X203" t="s">
        <v>4102</v>
      </c>
      <c r="Y203" t="s">
        <v>4103</v>
      </c>
      <c r="Z203" t="s">
        <v>4104</v>
      </c>
      <c r="AA203" t="s">
        <v>74</v>
      </c>
      <c r="AB203" t="s">
        <v>74</v>
      </c>
      <c r="AC203" t="s">
        <v>4105</v>
      </c>
      <c r="AD203" t="s">
        <v>4106</v>
      </c>
      <c r="AE203" t="s">
        <v>4107</v>
      </c>
      <c r="AF203" t="s">
        <v>74</v>
      </c>
      <c r="AG203">
        <v>99</v>
      </c>
      <c r="AH203">
        <v>21</v>
      </c>
      <c r="AI203">
        <v>24</v>
      </c>
      <c r="AJ203">
        <v>4</v>
      </c>
      <c r="AK203">
        <v>26</v>
      </c>
      <c r="AL203" t="s">
        <v>277</v>
      </c>
      <c r="AM203" t="s">
        <v>278</v>
      </c>
      <c r="AN203" t="s">
        <v>279</v>
      </c>
      <c r="AO203" t="s">
        <v>4089</v>
      </c>
      <c r="AP203" t="s">
        <v>74</v>
      </c>
      <c r="AQ203" t="s">
        <v>74</v>
      </c>
      <c r="AR203" t="s">
        <v>4090</v>
      </c>
      <c r="AS203" t="s">
        <v>4091</v>
      </c>
      <c r="AT203" t="s">
        <v>3442</v>
      </c>
      <c r="AU203">
        <v>2012</v>
      </c>
      <c r="AV203">
        <v>96</v>
      </c>
      <c r="AW203">
        <v>1</v>
      </c>
      <c r="AX203" t="s">
        <v>74</v>
      </c>
      <c r="AY203" t="s">
        <v>74</v>
      </c>
      <c r="AZ203" t="s">
        <v>74</v>
      </c>
      <c r="BA203" t="s">
        <v>74</v>
      </c>
      <c r="BB203">
        <v>108</v>
      </c>
      <c r="BC203">
        <v>127</v>
      </c>
      <c r="BD203" t="s">
        <v>74</v>
      </c>
      <c r="BE203" t="s">
        <v>4108</v>
      </c>
      <c r="BF203" t="str">
        <f>HYPERLINK("http://dx.doi.org/10.1016/j.pocean.2011.11.014","http://dx.doi.org/10.1016/j.pocean.2011.11.014")</f>
        <v>http://dx.doi.org/10.1016/j.pocean.2011.11.014</v>
      </c>
      <c r="BG203" t="s">
        <v>74</v>
      </c>
      <c r="BH203" t="s">
        <v>74</v>
      </c>
      <c r="BI203">
        <v>20</v>
      </c>
      <c r="BJ203" t="s">
        <v>350</v>
      </c>
      <c r="BK203" t="s">
        <v>99</v>
      </c>
      <c r="BL203" t="s">
        <v>350</v>
      </c>
      <c r="BM203" t="s">
        <v>4093</v>
      </c>
      <c r="BN203" t="s">
        <v>74</v>
      </c>
      <c r="BO203" t="s">
        <v>74</v>
      </c>
      <c r="BP203" t="s">
        <v>74</v>
      </c>
      <c r="BQ203" t="s">
        <v>74</v>
      </c>
      <c r="BR203" t="s">
        <v>101</v>
      </c>
      <c r="BS203" t="s">
        <v>4109</v>
      </c>
      <c r="BT203" t="str">
        <f>HYPERLINK("https%3A%2F%2Fwww.webofscience.com%2Fwos%2Fwoscc%2Ffull-record%2FWOS:000302488900007","View Full Record in Web of Science")</f>
        <v>View Full Record in Web of Science</v>
      </c>
    </row>
    <row r="204" spans="1:72" x14ac:dyDescent="0.15">
      <c r="A204" t="s">
        <v>72</v>
      </c>
      <c r="B204" t="s">
        <v>4110</v>
      </c>
      <c r="C204" t="s">
        <v>74</v>
      </c>
      <c r="D204" t="s">
        <v>74</v>
      </c>
      <c r="E204" t="s">
        <v>74</v>
      </c>
      <c r="F204" t="s">
        <v>4111</v>
      </c>
      <c r="G204" t="s">
        <v>74</v>
      </c>
      <c r="H204" t="s">
        <v>74</v>
      </c>
      <c r="I204" t="s">
        <v>4112</v>
      </c>
      <c r="J204" t="s">
        <v>4113</v>
      </c>
      <c r="K204" t="s">
        <v>74</v>
      </c>
      <c r="L204" t="s">
        <v>74</v>
      </c>
      <c r="M204" t="s">
        <v>78</v>
      </c>
      <c r="N204" t="s">
        <v>79</v>
      </c>
      <c r="O204" t="s">
        <v>74</v>
      </c>
      <c r="P204" t="s">
        <v>74</v>
      </c>
      <c r="Q204" t="s">
        <v>74</v>
      </c>
      <c r="R204" t="s">
        <v>74</v>
      </c>
      <c r="S204" t="s">
        <v>74</v>
      </c>
      <c r="T204" t="s">
        <v>4114</v>
      </c>
      <c r="U204" t="s">
        <v>4115</v>
      </c>
      <c r="V204" t="s">
        <v>4116</v>
      </c>
      <c r="W204" t="s">
        <v>4117</v>
      </c>
      <c r="X204" t="s">
        <v>4118</v>
      </c>
      <c r="Y204" t="s">
        <v>4119</v>
      </c>
      <c r="Z204" t="s">
        <v>4120</v>
      </c>
      <c r="AA204" t="s">
        <v>4121</v>
      </c>
      <c r="AB204" t="s">
        <v>4122</v>
      </c>
      <c r="AC204" t="s">
        <v>4123</v>
      </c>
      <c r="AD204" t="s">
        <v>4124</v>
      </c>
      <c r="AE204" t="s">
        <v>4125</v>
      </c>
      <c r="AF204" t="s">
        <v>74</v>
      </c>
      <c r="AG204">
        <v>31</v>
      </c>
      <c r="AH204">
        <v>28</v>
      </c>
      <c r="AI204">
        <v>32</v>
      </c>
      <c r="AJ204">
        <v>0</v>
      </c>
      <c r="AK204">
        <v>24</v>
      </c>
      <c r="AL204" t="s">
        <v>627</v>
      </c>
      <c r="AM204" t="s">
        <v>628</v>
      </c>
      <c r="AN204" t="s">
        <v>629</v>
      </c>
      <c r="AO204" t="s">
        <v>4126</v>
      </c>
      <c r="AP204" t="s">
        <v>4127</v>
      </c>
      <c r="AQ204" t="s">
        <v>74</v>
      </c>
      <c r="AR204" t="s">
        <v>4128</v>
      </c>
      <c r="AS204" t="s">
        <v>4129</v>
      </c>
      <c r="AT204" t="s">
        <v>3442</v>
      </c>
      <c r="AU204">
        <v>2012</v>
      </c>
      <c r="AV204">
        <v>138</v>
      </c>
      <c r="AW204">
        <v>664</v>
      </c>
      <c r="AX204" t="s">
        <v>4130</v>
      </c>
      <c r="AY204" t="s">
        <v>74</v>
      </c>
      <c r="AZ204" t="s">
        <v>74</v>
      </c>
      <c r="BA204" t="s">
        <v>74</v>
      </c>
      <c r="BB204">
        <v>576</v>
      </c>
      <c r="BC204">
        <v>584</v>
      </c>
      <c r="BD204" t="s">
        <v>74</v>
      </c>
      <c r="BE204" t="s">
        <v>4131</v>
      </c>
      <c r="BF204" t="str">
        <f>HYPERLINK("http://dx.doi.org/10.1002/qj.910","http://dx.doi.org/10.1002/qj.910")</f>
        <v>http://dx.doi.org/10.1002/qj.910</v>
      </c>
      <c r="BG204" t="s">
        <v>74</v>
      </c>
      <c r="BH204" t="s">
        <v>74</v>
      </c>
      <c r="BI204">
        <v>9</v>
      </c>
      <c r="BJ204" t="s">
        <v>128</v>
      </c>
      <c r="BK204" t="s">
        <v>99</v>
      </c>
      <c r="BL204" t="s">
        <v>128</v>
      </c>
      <c r="BM204" t="s">
        <v>4132</v>
      </c>
      <c r="BN204" t="s">
        <v>74</v>
      </c>
      <c r="BO204" t="s">
        <v>4133</v>
      </c>
      <c r="BP204" t="s">
        <v>74</v>
      </c>
      <c r="BQ204" t="s">
        <v>74</v>
      </c>
      <c r="BR204" t="s">
        <v>101</v>
      </c>
      <c r="BS204" t="s">
        <v>4134</v>
      </c>
      <c r="BT204" t="str">
        <f>HYPERLINK("https%3A%2F%2Fwww.webofscience.com%2Fwos%2Fwoscc%2Ffull-record%2FWOS:000302714500002","View Full Record in Web of Science")</f>
        <v>View Full Record in Web of Science</v>
      </c>
    </row>
    <row r="205" spans="1:72" x14ac:dyDescent="0.15">
      <c r="A205" t="s">
        <v>72</v>
      </c>
      <c r="B205" t="s">
        <v>4135</v>
      </c>
      <c r="C205" t="s">
        <v>74</v>
      </c>
      <c r="D205" t="s">
        <v>74</v>
      </c>
      <c r="E205" t="s">
        <v>74</v>
      </c>
      <c r="F205" t="s">
        <v>4136</v>
      </c>
      <c r="G205" t="s">
        <v>74</v>
      </c>
      <c r="H205" t="s">
        <v>74</v>
      </c>
      <c r="I205" t="s">
        <v>4137</v>
      </c>
      <c r="J205" t="s">
        <v>4138</v>
      </c>
      <c r="K205" t="s">
        <v>74</v>
      </c>
      <c r="L205" t="s">
        <v>74</v>
      </c>
      <c r="M205" t="s">
        <v>78</v>
      </c>
      <c r="N205" t="s">
        <v>79</v>
      </c>
      <c r="O205" t="s">
        <v>74</v>
      </c>
      <c r="P205" t="s">
        <v>74</v>
      </c>
      <c r="Q205" t="s">
        <v>74</v>
      </c>
      <c r="R205" t="s">
        <v>74</v>
      </c>
      <c r="S205" t="s">
        <v>74</v>
      </c>
      <c r="T205" t="s">
        <v>4139</v>
      </c>
      <c r="U205" t="s">
        <v>4140</v>
      </c>
      <c r="V205" t="s">
        <v>4141</v>
      </c>
      <c r="W205" t="s">
        <v>4142</v>
      </c>
      <c r="X205" t="s">
        <v>4143</v>
      </c>
      <c r="Y205" t="s">
        <v>4144</v>
      </c>
      <c r="Z205" t="s">
        <v>4145</v>
      </c>
      <c r="AA205" t="s">
        <v>4146</v>
      </c>
      <c r="AB205" t="s">
        <v>4147</v>
      </c>
      <c r="AC205" t="s">
        <v>4148</v>
      </c>
      <c r="AD205" t="s">
        <v>4149</v>
      </c>
      <c r="AE205" t="s">
        <v>4150</v>
      </c>
      <c r="AF205" t="s">
        <v>74</v>
      </c>
      <c r="AG205">
        <v>65</v>
      </c>
      <c r="AH205">
        <v>11</v>
      </c>
      <c r="AI205">
        <v>11</v>
      </c>
      <c r="AJ205">
        <v>1</v>
      </c>
      <c r="AK205">
        <v>8</v>
      </c>
      <c r="AL205" t="s">
        <v>888</v>
      </c>
      <c r="AM205" t="s">
        <v>889</v>
      </c>
      <c r="AN205" t="s">
        <v>890</v>
      </c>
      <c r="AO205" t="s">
        <v>4151</v>
      </c>
      <c r="AP205" t="s">
        <v>74</v>
      </c>
      <c r="AQ205" t="s">
        <v>74</v>
      </c>
      <c r="AR205" t="s">
        <v>4138</v>
      </c>
      <c r="AS205" t="s">
        <v>4152</v>
      </c>
      <c r="AT205" t="s">
        <v>3442</v>
      </c>
      <c r="AU205">
        <v>2012</v>
      </c>
      <c r="AV205">
        <v>94</v>
      </c>
      <c r="AW205">
        <v>4</v>
      </c>
      <c r="AX205" t="s">
        <v>74</v>
      </c>
      <c r="AY205" t="s">
        <v>74</v>
      </c>
      <c r="AZ205" t="s">
        <v>74</v>
      </c>
      <c r="BA205" t="s">
        <v>74</v>
      </c>
      <c r="BB205">
        <v>953</v>
      </c>
      <c r="BC205">
        <v>960</v>
      </c>
      <c r="BD205" t="s">
        <v>74</v>
      </c>
      <c r="BE205" t="s">
        <v>4153</v>
      </c>
      <c r="BF205" t="str">
        <f>HYPERLINK("http://dx.doi.org/10.1016/j.biochi.2011.12.013","http://dx.doi.org/10.1016/j.biochi.2011.12.013")</f>
        <v>http://dx.doi.org/10.1016/j.biochi.2011.12.013</v>
      </c>
      <c r="BG205" t="s">
        <v>74</v>
      </c>
      <c r="BH205" t="s">
        <v>74</v>
      </c>
      <c r="BI205">
        <v>8</v>
      </c>
      <c r="BJ205" t="s">
        <v>2524</v>
      </c>
      <c r="BK205" t="s">
        <v>99</v>
      </c>
      <c r="BL205" t="s">
        <v>2524</v>
      </c>
      <c r="BM205" t="s">
        <v>4154</v>
      </c>
      <c r="BN205">
        <v>22245705</v>
      </c>
      <c r="BO205" t="s">
        <v>74</v>
      </c>
      <c r="BP205" t="s">
        <v>74</v>
      </c>
      <c r="BQ205" t="s">
        <v>74</v>
      </c>
      <c r="BR205" t="s">
        <v>101</v>
      </c>
      <c r="BS205" t="s">
        <v>4155</v>
      </c>
      <c r="BT205" t="str">
        <f>HYPERLINK("https%3A%2F%2Fwww.webofscience.com%2Fwos%2Fwoscc%2Ffull-record%2FWOS:000302045900005","View Full Record in Web of Science")</f>
        <v>View Full Record in Web of Science</v>
      </c>
    </row>
    <row r="206" spans="1:72" x14ac:dyDescent="0.15">
      <c r="A206" t="s">
        <v>72</v>
      </c>
      <c r="B206" t="s">
        <v>4156</v>
      </c>
      <c r="C206" t="s">
        <v>74</v>
      </c>
      <c r="D206" t="s">
        <v>74</v>
      </c>
      <c r="E206" t="s">
        <v>74</v>
      </c>
      <c r="F206" t="s">
        <v>4157</v>
      </c>
      <c r="G206" t="s">
        <v>74</v>
      </c>
      <c r="H206" t="s">
        <v>74</v>
      </c>
      <c r="I206" t="s">
        <v>4158</v>
      </c>
      <c r="J206" t="s">
        <v>4159</v>
      </c>
      <c r="K206" t="s">
        <v>74</v>
      </c>
      <c r="L206" t="s">
        <v>74</v>
      </c>
      <c r="M206" t="s">
        <v>78</v>
      </c>
      <c r="N206" t="s">
        <v>79</v>
      </c>
      <c r="O206" t="s">
        <v>74</v>
      </c>
      <c r="P206" t="s">
        <v>74</v>
      </c>
      <c r="Q206" t="s">
        <v>74</v>
      </c>
      <c r="R206" t="s">
        <v>74</v>
      </c>
      <c r="S206" t="s">
        <v>74</v>
      </c>
      <c r="T206" t="s">
        <v>74</v>
      </c>
      <c r="U206" t="s">
        <v>4160</v>
      </c>
      <c r="V206" t="s">
        <v>4161</v>
      </c>
      <c r="W206" t="s">
        <v>4162</v>
      </c>
      <c r="X206" t="s">
        <v>4163</v>
      </c>
      <c r="Y206" t="s">
        <v>4164</v>
      </c>
      <c r="Z206" t="s">
        <v>4165</v>
      </c>
      <c r="AA206" t="s">
        <v>74</v>
      </c>
      <c r="AB206" t="s">
        <v>4166</v>
      </c>
      <c r="AC206" t="s">
        <v>4167</v>
      </c>
      <c r="AD206" t="s">
        <v>1906</v>
      </c>
      <c r="AE206" t="s">
        <v>4168</v>
      </c>
      <c r="AF206" t="s">
        <v>74</v>
      </c>
      <c r="AG206">
        <v>22</v>
      </c>
      <c r="AH206">
        <v>14</v>
      </c>
      <c r="AI206">
        <v>14</v>
      </c>
      <c r="AJ206">
        <v>0</v>
      </c>
      <c r="AK206">
        <v>8</v>
      </c>
      <c r="AL206" t="s">
        <v>655</v>
      </c>
      <c r="AM206" t="s">
        <v>656</v>
      </c>
      <c r="AN206" t="s">
        <v>657</v>
      </c>
      <c r="AO206" t="s">
        <v>4169</v>
      </c>
      <c r="AP206" t="s">
        <v>74</v>
      </c>
      <c r="AQ206" t="s">
        <v>74</v>
      </c>
      <c r="AR206" t="s">
        <v>4170</v>
      </c>
      <c r="AS206" t="s">
        <v>4171</v>
      </c>
      <c r="AT206" t="s">
        <v>3442</v>
      </c>
      <c r="AU206">
        <v>2012</v>
      </c>
      <c r="AV206">
        <v>52</v>
      </c>
      <c r="AW206">
        <v>4</v>
      </c>
      <c r="AX206" t="s">
        <v>74</v>
      </c>
      <c r="AY206" t="s">
        <v>74</v>
      </c>
      <c r="AZ206" t="s">
        <v>74</v>
      </c>
      <c r="BA206" t="s">
        <v>74</v>
      </c>
      <c r="BB206">
        <v>1077</v>
      </c>
      <c r="BC206">
        <v>1087</v>
      </c>
      <c r="BD206" t="s">
        <v>74</v>
      </c>
      <c r="BE206" t="s">
        <v>4172</v>
      </c>
      <c r="BF206" t="str">
        <f>HYPERLINK("http://dx.doi.org/10.1007/s00348-011-1195-y","http://dx.doi.org/10.1007/s00348-011-1195-y")</f>
        <v>http://dx.doi.org/10.1007/s00348-011-1195-y</v>
      </c>
      <c r="BG206" t="s">
        <v>74</v>
      </c>
      <c r="BH206" t="s">
        <v>74</v>
      </c>
      <c r="BI206">
        <v>11</v>
      </c>
      <c r="BJ206" t="s">
        <v>4173</v>
      </c>
      <c r="BK206" t="s">
        <v>99</v>
      </c>
      <c r="BL206" t="s">
        <v>4174</v>
      </c>
      <c r="BM206" t="s">
        <v>4175</v>
      </c>
      <c r="BN206" t="s">
        <v>74</v>
      </c>
      <c r="BO206" t="s">
        <v>74</v>
      </c>
      <c r="BP206" t="s">
        <v>74</v>
      </c>
      <c r="BQ206" t="s">
        <v>74</v>
      </c>
      <c r="BR206" t="s">
        <v>101</v>
      </c>
      <c r="BS206" t="s">
        <v>4176</v>
      </c>
      <c r="BT206" t="str">
        <f>HYPERLINK("https%3A%2F%2Fwww.webofscience.com%2Fwos%2Fwoscc%2Ffull-record%2FWOS:000302340500018","View Full Record in Web of Science")</f>
        <v>View Full Record in Web of Science</v>
      </c>
    </row>
    <row r="207" spans="1:72" x14ac:dyDescent="0.15">
      <c r="A207" t="s">
        <v>72</v>
      </c>
      <c r="B207" t="s">
        <v>4177</v>
      </c>
      <c r="C207" t="s">
        <v>74</v>
      </c>
      <c r="D207" t="s">
        <v>74</v>
      </c>
      <c r="E207" t="s">
        <v>74</v>
      </c>
      <c r="F207" t="s">
        <v>4178</v>
      </c>
      <c r="G207" t="s">
        <v>74</v>
      </c>
      <c r="H207" t="s">
        <v>74</v>
      </c>
      <c r="I207" t="s">
        <v>4179</v>
      </c>
      <c r="J207" t="s">
        <v>1607</v>
      </c>
      <c r="K207" t="s">
        <v>74</v>
      </c>
      <c r="L207" t="s">
        <v>74</v>
      </c>
      <c r="M207" t="s">
        <v>78</v>
      </c>
      <c r="N207" t="s">
        <v>79</v>
      </c>
      <c r="O207" t="s">
        <v>74</v>
      </c>
      <c r="P207" t="s">
        <v>74</v>
      </c>
      <c r="Q207" t="s">
        <v>74</v>
      </c>
      <c r="R207" t="s">
        <v>74</v>
      </c>
      <c r="S207" t="s">
        <v>74</v>
      </c>
      <c r="T207" t="s">
        <v>4180</v>
      </c>
      <c r="U207" t="s">
        <v>4181</v>
      </c>
      <c r="V207" t="s">
        <v>4182</v>
      </c>
      <c r="W207" t="s">
        <v>4183</v>
      </c>
      <c r="X207" t="s">
        <v>4184</v>
      </c>
      <c r="Y207" t="s">
        <v>74</v>
      </c>
      <c r="Z207" t="s">
        <v>4185</v>
      </c>
      <c r="AA207" t="s">
        <v>4186</v>
      </c>
      <c r="AB207" t="s">
        <v>4187</v>
      </c>
      <c r="AC207" t="s">
        <v>4188</v>
      </c>
      <c r="AD207" t="s">
        <v>4189</v>
      </c>
      <c r="AE207" t="s">
        <v>4190</v>
      </c>
      <c r="AF207" t="s">
        <v>74</v>
      </c>
      <c r="AG207">
        <v>124</v>
      </c>
      <c r="AH207">
        <v>21</v>
      </c>
      <c r="AI207">
        <v>21</v>
      </c>
      <c r="AJ207">
        <v>0</v>
      </c>
      <c r="AK207">
        <v>18</v>
      </c>
      <c r="AL207" t="s">
        <v>1620</v>
      </c>
      <c r="AM207" t="s">
        <v>278</v>
      </c>
      <c r="AN207" t="s">
        <v>1621</v>
      </c>
      <c r="AO207" t="s">
        <v>1622</v>
      </c>
      <c r="AP207" t="s">
        <v>1623</v>
      </c>
      <c r="AQ207" t="s">
        <v>74</v>
      </c>
      <c r="AR207" t="s">
        <v>1624</v>
      </c>
      <c r="AS207" t="s">
        <v>1625</v>
      </c>
      <c r="AT207" t="s">
        <v>3442</v>
      </c>
      <c r="AU207">
        <v>2012</v>
      </c>
      <c r="AV207">
        <v>189</v>
      </c>
      <c r="AW207">
        <v>1</v>
      </c>
      <c r="AX207" t="s">
        <v>74</v>
      </c>
      <c r="AY207" t="s">
        <v>74</v>
      </c>
      <c r="AZ207" t="s">
        <v>74</v>
      </c>
      <c r="BA207" t="s">
        <v>74</v>
      </c>
      <c r="BB207">
        <v>204</v>
      </c>
      <c r="BC207">
        <v>228</v>
      </c>
      <c r="BD207" t="s">
        <v>74</v>
      </c>
      <c r="BE207" t="s">
        <v>4191</v>
      </c>
      <c r="BF207" t="str">
        <f>HYPERLINK("http://dx.doi.org/10.1111/j.1365-246X.2012.05357.x","http://dx.doi.org/10.1111/j.1365-246X.2012.05357.x")</f>
        <v>http://dx.doi.org/10.1111/j.1365-246X.2012.05357.x</v>
      </c>
      <c r="BG207" t="s">
        <v>74</v>
      </c>
      <c r="BH207" t="s">
        <v>74</v>
      </c>
      <c r="BI207">
        <v>25</v>
      </c>
      <c r="BJ207" t="s">
        <v>1134</v>
      </c>
      <c r="BK207" t="s">
        <v>99</v>
      </c>
      <c r="BL207" t="s">
        <v>1134</v>
      </c>
      <c r="BM207" t="s">
        <v>4192</v>
      </c>
      <c r="BN207" t="s">
        <v>74</v>
      </c>
      <c r="BO207" t="s">
        <v>217</v>
      </c>
      <c r="BP207" t="s">
        <v>74</v>
      </c>
      <c r="BQ207" t="s">
        <v>74</v>
      </c>
      <c r="BR207" t="s">
        <v>101</v>
      </c>
      <c r="BS207" t="s">
        <v>4193</v>
      </c>
      <c r="BT207" t="str">
        <f>HYPERLINK("https%3A%2F%2Fwww.webofscience.com%2Fwos%2Fwoscc%2Ffull-record%2FWOS:000301573800014","View Full Record in Web of Science")</f>
        <v>View Full Record in Web of Science</v>
      </c>
    </row>
    <row r="208" spans="1:72" x14ac:dyDescent="0.15">
      <c r="A208" t="s">
        <v>72</v>
      </c>
      <c r="B208" t="s">
        <v>4194</v>
      </c>
      <c r="C208" t="s">
        <v>74</v>
      </c>
      <c r="D208" t="s">
        <v>74</v>
      </c>
      <c r="E208" t="s">
        <v>74</v>
      </c>
      <c r="F208" t="s">
        <v>4195</v>
      </c>
      <c r="G208" t="s">
        <v>74</v>
      </c>
      <c r="H208" t="s">
        <v>74</v>
      </c>
      <c r="I208" t="s">
        <v>4196</v>
      </c>
      <c r="J208" t="s">
        <v>1607</v>
      </c>
      <c r="K208" t="s">
        <v>74</v>
      </c>
      <c r="L208" t="s">
        <v>74</v>
      </c>
      <c r="M208" t="s">
        <v>78</v>
      </c>
      <c r="N208" t="s">
        <v>79</v>
      </c>
      <c r="O208" t="s">
        <v>74</v>
      </c>
      <c r="P208" t="s">
        <v>74</v>
      </c>
      <c r="Q208" t="s">
        <v>74</v>
      </c>
      <c r="R208" t="s">
        <v>74</v>
      </c>
      <c r="S208" t="s">
        <v>74</v>
      </c>
      <c r="T208" t="s">
        <v>4197</v>
      </c>
      <c r="U208" t="s">
        <v>4198</v>
      </c>
      <c r="V208" t="s">
        <v>4199</v>
      </c>
      <c r="W208" t="s">
        <v>4200</v>
      </c>
      <c r="X208" t="s">
        <v>205</v>
      </c>
      <c r="Y208" t="s">
        <v>4201</v>
      </c>
      <c r="Z208" t="s">
        <v>4202</v>
      </c>
      <c r="AA208" t="s">
        <v>74</v>
      </c>
      <c r="AB208" t="s">
        <v>4203</v>
      </c>
      <c r="AC208" t="s">
        <v>4204</v>
      </c>
      <c r="AD208" t="s">
        <v>4205</v>
      </c>
      <c r="AE208" t="s">
        <v>4206</v>
      </c>
      <c r="AF208" t="s">
        <v>74</v>
      </c>
      <c r="AG208">
        <v>41</v>
      </c>
      <c r="AH208">
        <v>34</v>
      </c>
      <c r="AI208">
        <v>36</v>
      </c>
      <c r="AJ208">
        <v>0</v>
      </c>
      <c r="AK208">
        <v>14</v>
      </c>
      <c r="AL208" t="s">
        <v>3895</v>
      </c>
      <c r="AM208" t="s">
        <v>3896</v>
      </c>
      <c r="AN208" t="s">
        <v>3897</v>
      </c>
      <c r="AO208" t="s">
        <v>1622</v>
      </c>
      <c r="AP208" t="s">
        <v>74</v>
      </c>
      <c r="AQ208" t="s">
        <v>74</v>
      </c>
      <c r="AR208" t="s">
        <v>1624</v>
      </c>
      <c r="AS208" t="s">
        <v>1625</v>
      </c>
      <c r="AT208" t="s">
        <v>3442</v>
      </c>
      <c r="AU208">
        <v>2012</v>
      </c>
      <c r="AV208">
        <v>189</v>
      </c>
      <c r="AW208">
        <v>1</v>
      </c>
      <c r="AX208" t="s">
        <v>74</v>
      </c>
      <c r="AY208" t="s">
        <v>74</v>
      </c>
      <c r="AZ208" t="s">
        <v>74</v>
      </c>
      <c r="BA208" t="s">
        <v>74</v>
      </c>
      <c r="BB208">
        <v>414</v>
      </c>
      <c r="BC208">
        <v>427</v>
      </c>
      <c r="BD208" t="s">
        <v>74</v>
      </c>
      <c r="BE208" t="s">
        <v>4207</v>
      </c>
      <c r="BF208" t="str">
        <f>HYPERLINK("http://dx.doi.org/10.1111/j.1365-246X.2012.05363.x","http://dx.doi.org/10.1111/j.1365-246X.2012.05363.x")</f>
        <v>http://dx.doi.org/10.1111/j.1365-246X.2012.05363.x</v>
      </c>
      <c r="BG208" t="s">
        <v>74</v>
      </c>
      <c r="BH208" t="s">
        <v>74</v>
      </c>
      <c r="BI208">
        <v>14</v>
      </c>
      <c r="BJ208" t="s">
        <v>1134</v>
      </c>
      <c r="BK208" t="s">
        <v>99</v>
      </c>
      <c r="BL208" t="s">
        <v>1134</v>
      </c>
      <c r="BM208" t="s">
        <v>4192</v>
      </c>
      <c r="BN208" t="s">
        <v>74</v>
      </c>
      <c r="BO208" t="s">
        <v>217</v>
      </c>
      <c r="BP208" t="s">
        <v>74</v>
      </c>
      <c r="BQ208" t="s">
        <v>74</v>
      </c>
      <c r="BR208" t="s">
        <v>101</v>
      </c>
      <c r="BS208" t="s">
        <v>4208</v>
      </c>
      <c r="BT208" t="str">
        <f>HYPERLINK("https%3A%2F%2Fwww.webofscience.com%2Fwos%2Fwoscc%2Ffull-record%2FWOS:000301573800029","View Full Record in Web of Science")</f>
        <v>View Full Record in Web of Science</v>
      </c>
    </row>
    <row r="209" spans="1:72" x14ac:dyDescent="0.15">
      <c r="A209" t="s">
        <v>72</v>
      </c>
      <c r="B209" t="s">
        <v>4209</v>
      </c>
      <c r="C209" t="s">
        <v>74</v>
      </c>
      <c r="D209" t="s">
        <v>74</v>
      </c>
      <c r="E209" t="s">
        <v>74</v>
      </c>
      <c r="F209" t="s">
        <v>4210</v>
      </c>
      <c r="G209" t="s">
        <v>74</v>
      </c>
      <c r="H209" t="s">
        <v>74</v>
      </c>
      <c r="I209" t="s">
        <v>4211</v>
      </c>
      <c r="J209" t="s">
        <v>1151</v>
      </c>
      <c r="K209" t="s">
        <v>74</v>
      </c>
      <c r="L209" t="s">
        <v>74</v>
      </c>
      <c r="M209" t="s">
        <v>78</v>
      </c>
      <c r="N209" t="s">
        <v>79</v>
      </c>
      <c r="O209" t="s">
        <v>74</v>
      </c>
      <c r="P209" t="s">
        <v>74</v>
      </c>
      <c r="Q209" t="s">
        <v>74</v>
      </c>
      <c r="R209" t="s">
        <v>74</v>
      </c>
      <c r="S209" t="s">
        <v>74</v>
      </c>
      <c r="T209" t="s">
        <v>74</v>
      </c>
      <c r="U209" t="s">
        <v>4212</v>
      </c>
      <c r="V209" t="s">
        <v>4213</v>
      </c>
      <c r="W209" t="s">
        <v>4214</v>
      </c>
      <c r="X209" t="s">
        <v>180</v>
      </c>
      <c r="Y209" t="s">
        <v>4215</v>
      </c>
      <c r="Z209" t="s">
        <v>4216</v>
      </c>
      <c r="AA209" t="s">
        <v>4217</v>
      </c>
      <c r="AB209" t="s">
        <v>4218</v>
      </c>
      <c r="AC209" t="s">
        <v>4219</v>
      </c>
      <c r="AD209" t="s">
        <v>4220</v>
      </c>
      <c r="AE209" t="s">
        <v>4221</v>
      </c>
      <c r="AF209" t="s">
        <v>74</v>
      </c>
      <c r="AG209">
        <v>44</v>
      </c>
      <c r="AH209">
        <v>11</v>
      </c>
      <c r="AI209">
        <v>11</v>
      </c>
      <c r="AJ209">
        <v>0</v>
      </c>
      <c r="AK209">
        <v>13</v>
      </c>
      <c r="AL209" t="s">
        <v>997</v>
      </c>
      <c r="AM209" t="s">
        <v>998</v>
      </c>
      <c r="AN209" t="s">
        <v>999</v>
      </c>
      <c r="AO209" t="s">
        <v>1163</v>
      </c>
      <c r="AP209" t="s">
        <v>74</v>
      </c>
      <c r="AQ209" t="s">
        <v>74</v>
      </c>
      <c r="AR209" t="s">
        <v>1165</v>
      </c>
      <c r="AS209" t="s">
        <v>1166</v>
      </c>
      <c r="AT209" t="s">
        <v>3442</v>
      </c>
      <c r="AU209">
        <v>2012</v>
      </c>
      <c r="AV209">
        <v>25</v>
      </c>
      <c r="AW209">
        <v>7</v>
      </c>
      <c r="AX209" t="s">
        <v>74</v>
      </c>
      <c r="AY209" t="s">
        <v>74</v>
      </c>
      <c r="AZ209" t="s">
        <v>74</v>
      </c>
      <c r="BA209" t="s">
        <v>74</v>
      </c>
      <c r="BB209">
        <v>2279</v>
      </c>
      <c r="BC209">
        <v>2290</v>
      </c>
      <c r="BD209" t="s">
        <v>74</v>
      </c>
      <c r="BE209" t="s">
        <v>4222</v>
      </c>
      <c r="BF209" t="str">
        <f>HYPERLINK("http://dx.doi.org/10.1175/JCLI-D-11-00030.1","http://dx.doi.org/10.1175/JCLI-D-11-00030.1")</f>
        <v>http://dx.doi.org/10.1175/JCLI-D-11-00030.1</v>
      </c>
      <c r="BG209" t="s">
        <v>74</v>
      </c>
      <c r="BH209" t="s">
        <v>74</v>
      </c>
      <c r="BI209">
        <v>12</v>
      </c>
      <c r="BJ209" t="s">
        <v>128</v>
      </c>
      <c r="BK209" t="s">
        <v>99</v>
      </c>
      <c r="BL209" t="s">
        <v>128</v>
      </c>
      <c r="BM209" t="s">
        <v>4223</v>
      </c>
      <c r="BN209" t="s">
        <v>74</v>
      </c>
      <c r="BO209" t="s">
        <v>1094</v>
      </c>
      <c r="BP209" t="s">
        <v>74</v>
      </c>
      <c r="BQ209" t="s">
        <v>74</v>
      </c>
      <c r="BR209" t="s">
        <v>101</v>
      </c>
      <c r="BS209" t="s">
        <v>4224</v>
      </c>
      <c r="BT209" t="str">
        <f>HYPERLINK("https%3A%2F%2Fwww.webofscience.com%2Fwos%2Fwoscc%2Ffull-record%2FWOS:000302142800006","View Full Record in Web of Science")</f>
        <v>View Full Record in Web of Science</v>
      </c>
    </row>
    <row r="210" spans="1:72" x14ac:dyDescent="0.15">
      <c r="A210" t="s">
        <v>72</v>
      </c>
      <c r="B210" t="s">
        <v>4225</v>
      </c>
      <c r="C210" t="s">
        <v>74</v>
      </c>
      <c r="D210" t="s">
        <v>74</v>
      </c>
      <c r="E210" t="s">
        <v>74</v>
      </c>
      <c r="F210" t="s">
        <v>4226</v>
      </c>
      <c r="G210" t="s">
        <v>74</v>
      </c>
      <c r="H210" t="s">
        <v>74</v>
      </c>
      <c r="I210" t="s">
        <v>4227</v>
      </c>
      <c r="J210" t="s">
        <v>1151</v>
      </c>
      <c r="K210" t="s">
        <v>74</v>
      </c>
      <c r="L210" t="s">
        <v>74</v>
      </c>
      <c r="M210" t="s">
        <v>78</v>
      </c>
      <c r="N210" t="s">
        <v>79</v>
      </c>
      <c r="O210" t="s">
        <v>74</v>
      </c>
      <c r="P210" t="s">
        <v>74</v>
      </c>
      <c r="Q210" t="s">
        <v>74</v>
      </c>
      <c r="R210" t="s">
        <v>74</v>
      </c>
      <c r="S210" t="s">
        <v>74</v>
      </c>
      <c r="T210" t="s">
        <v>74</v>
      </c>
      <c r="U210" t="s">
        <v>4228</v>
      </c>
      <c r="V210" t="s">
        <v>4229</v>
      </c>
      <c r="W210" t="s">
        <v>4230</v>
      </c>
      <c r="X210" t="s">
        <v>4231</v>
      </c>
      <c r="Y210" t="s">
        <v>4232</v>
      </c>
      <c r="Z210" t="s">
        <v>4233</v>
      </c>
      <c r="AA210" t="s">
        <v>4234</v>
      </c>
      <c r="AB210" t="s">
        <v>4235</v>
      </c>
      <c r="AC210" t="s">
        <v>4236</v>
      </c>
      <c r="AD210" t="s">
        <v>4237</v>
      </c>
      <c r="AE210" t="s">
        <v>4238</v>
      </c>
      <c r="AF210" t="s">
        <v>74</v>
      </c>
      <c r="AG210">
        <v>89</v>
      </c>
      <c r="AH210">
        <v>44</v>
      </c>
      <c r="AI210">
        <v>48</v>
      </c>
      <c r="AJ210">
        <v>0</v>
      </c>
      <c r="AK210">
        <v>26</v>
      </c>
      <c r="AL210" t="s">
        <v>997</v>
      </c>
      <c r="AM210" t="s">
        <v>998</v>
      </c>
      <c r="AN210" t="s">
        <v>999</v>
      </c>
      <c r="AO210" t="s">
        <v>1163</v>
      </c>
      <c r="AP210" t="s">
        <v>1164</v>
      </c>
      <c r="AQ210" t="s">
        <v>74</v>
      </c>
      <c r="AR210" t="s">
        <v>1165</v>
      </c>
      <c r="AS210" t="s">
        <v>1166</v>
      </c>
      <c r="AT210" t="s">
        <v>3442</v>
      </c>
      <c r="AU210">
        <v>2012</v>
      </c>
      <c r="AV210">
        <v>25</v>
      </c>
      <c r="AW210">
        <v>7</v>
      </c>
      <c r="AX210" t="s">
        <v>74</v>
      </c>
      <c r="AY210" t="s">
        <v>74</v>
      </c>
      <c r="AZ210" t="s">
        <v>74</v>
      </c>
      <c r="BA210" t="s">
        <v>74</v>
      </c>
      <c r="BB210">
        <v>2421</v>
      </c>
      <c r="BC210">
        <v>2439</v>
      </c>
      <c r="BD210" t="s">
        <v>74</v>
      </c>
      <c r="BE210" t="s">
        <v>4239</v>
      </c>
      <c r="BF210" t="str">
        <f>HYPERLINK("http://dx.doi.org/10.1175/JCLI-D-11-00085.1","http://dx.doi.org/10.1175/JCLI-D-11-00085.1")</f>
        <v>http://dx.doi.org/10.1175/JCLI-D-11-00085.1</v>
      </c>
      <c r="BG210" t="s">
        <v>74</v>
      </c>
      <c r="BH210" t="s">
        <v>74</v>
      </c>
      <c r="BI210">
        <v>19</v>
      </c>
      <c r="BJ210" t="s">
        <v>128</v>
      </c>
      <c r="BK210" t="s">
        <v>99</v>
      </c>
      <c r="BL210" t="s">
        <v>128</v>
      </c>
      <c r="BM210" t="s">
        <v>4223</v>
      </c>
      <c r="BN210" t="s">
        <v>74</v>
      </c>
      <c r="BO210" t="s">
        <v>638</v>
      </c>
      <c r="BP210" t="s">
        <v>74</v>
      </c>
      <c r="BQ210" t="s">
        <v>74</v>
      </c>
      <c r="BR210" t="s">
        <v>101</v>
      </c>
      <c r="BS210" t="s">
        <v>4240</v>
      </c>
      <c r="BT210" t="str">
        <f>HYPERLINK("https%3A%2F%2Fwww.webofscience.com%2Fwos%2Fwoscc%2Ffull-record%2FWOS:000302142800015","View Full Record in Web of Science")</f>
        <v>View Full Record in Web of Science</v>
      </c>
    </row>
    <row r="211" spans="1:72" x14ac:dyDescent="0.15">
      <c r="A211" t="s">
        <v>72</v>
      </c>
      <c r="B211" t="s">
        <v>4241</v>
      </c>
      <c r="C211" t="s">
        <v>74</v>
      </c>
      <c r="D211" t="s">
        <v>74</v>
      </c>
      <c r="E211" t="s">
        <v>74</v>
      </c>
      <c r="F211" t="s">
        <v>4242</v>
      </c>
      <c r="G211" t="s">
        <v>74</v>
      </c>
      <c r="H211" t="s">
        <v>74</v>
      </c>
      <c r="I211" t="s">
        <v>4243</v>
      </c>
      <c r="J211" t="s">
        <v>4244</v>
      </c>
      <c r="K211" t="s">
        <v>74</v>
      </c>
      <c r="L211" t="s">
        <v>74</v>
      </c>
      <c r="M211" t="s">
        <v>78</v>
      </c>
      <c r="N211" t="s">
        <v>79</v>
      </c>
      <c r="O211" t="s">
        <v>74</v>
      </c>
      <c r="P211" t="s">
        <v>74</v>
      </c>
      <c r="Q211" t="s">
        <v>74</v>
      </c>
      <c r="R211" t="s">
        <v>74</v>
      </c>
      <c r="S211" t="s">
        <v>74</v>
      </c>
      <c r="T211" t="s">
        <v>4245</v>
      </c>
      <c r="U211" t="s">
        <v>4246</v>
      </c>
      <c r="V211" t="s">
        <v>4247</v>
      </c>
      <c r="W211" t="s">
        <v>4248</v>
      </c>
      <c r="X211" t="s">
        <v>4249</v>
      </c>
      <c r="Y211" t="s">
        <v>4250</v>
      </c>
      <c r="Z211" t="s">
        <v>4251</v>
      </c>
      <c r="AA211" t="s">
        <v>4252</v>
      </c>
      <c r="AB211" t="s">
        <v>4253</v>
      </c>
      <c r="AC211" t="s">
        <v>4254</v>
      </c>
      <c r="AD211" t="s">
        <v>4255</v>
      </c>
      <c r="AE211" t="s">
        <v>74</v>
      </c>
      <c r="AF211" t="s">
        <v>74</v>
      </c>
      <c r="AG211">
        <v>53</v>
      </c>
      <c r="AH211">
        <v>10</v>
      </c>
      <c r="AI211">
        <v>10</v>
      </c>
      <c r="AJ211">
        <v>0</v>
      </c>
      <c r="AK211">
        <v>20</v>
      </c>
      <c r="AL211" t="s">
        <v>655</v>
      </c>
      <c r="AM211" t="s">
        <v>1442</v>
      </c>
      <c r="AN211" t="s">
        <v>1443</v>
      </c>
      <c r="AO211" t="s">
        <v>4256</v>
      </c>
      <c r="AP211" t="s">
        <v>4257</v>
      </c>
      <c r="AQ211" t="s">
        <v>74</v>
      </c>
      <c r="AR211" t="s">
        <v>4258</v>
      </c>
      <c r="AS211" t="s">
        <v>4259</v>
      </c>
      <c r="AT211" t="s">
        <v>3442</v>
      </c>
      <c r="AU211">
        <v>2012</v>
      </c>
      <c r="AV211">
        <v>68</v>
      </c>
      <c r="AW211">
        <v>2</v>
      </c>
      <c r="AX211" t="s">
        <v>74</v>
      </c>
      <c r="AY211" t="s">
        <v>74</v>
      </c>
      <c r="AZ211" t="s">
        <v>74</v>
      </c>
      <c r="BA211" t="s">
        <v>74</v>
      </c>
      <c r="BB211">
        <v>243</v>
      </c>
      <c r="BC211">
        <v>265</v>
      </c>
      <c r="BD211" t="s">
        <v>74</v>
      </c>
      <c r="BE211" t="s">
        <v>4260</v>
      </c>
      <c r="BF211" t="str">
        <f>HYPERLINK("http://dx.doi.org/10.1007/s10872-011-0093-5","http://dx.doi.org/10.1007/s10872-011-0093-5")</f>
        <v>http://dx.doi.org/10.1007/s10872-011-0093-5</v>
      </c>
      <c r="BG211" t="s">
        <v>74</v>
      </c>
      <c r="BH211" t="s">
        <v>74</v>
      </c>
      <c r="BI211">
        <v>23</v>
      </c>
      <c r="BJ211" t="s">
        <v>350</v>
      </c>
      <c r="BK211" t="s">
        <v>99</v>
      </c>
      <c r="BL211" t="s">
        <v>350</v>
      </c>
      <c r="BM211" t="s">
        <v>4261</v>
      </c>
      <c r="BN211" t="s">
        <v>74</v>
      </c>
      <c r="BO211" t="s">
        <v>74</v>
      </c>
      <c r="BP211" t="s">
        <v>74</v>
      </c>
      <c r="BQ211" t="s">
        <v>74</v>
      </c>
      <c r="BR211" t="s">
        <v>101</v>
      </c>
      <c r="BS211" t="s">
        <v>4262</v>
      </c>
      <c r="BT211" t="str">
        <f>HYPERLINK("https%3A%2F%2Fwww.webofscience.com%2Fwos%2Fwoscc%2Ffull-record%2FWOS:000302291600002","View Full Record in Web of Science")</f>
        <v>View Full Record in Web of Science</v>
      </c>
    </row>
    <row r="212" spans="1:72" x14ac:dyDescent="0.15">
      <c r="A212" t="s">
        <v>72</v>
      </c>
      <c r="B212" t="s">
        <v>4263</v>
      </c>
      <c r="C212" t="s">
        <v>74</v>
      </c>
      <c r="D212" t="s">
        <v>74</v>
      </c>
      <c r="E212" t="s">
        <v>74</v>
      </c>
      <c r="F212" t="s">
        <v>4264</v>
      </c>
      <c r="G212" t="s">
        <v>74</v>
      </c>
      <c r="H212" t="s">
        <v>74</v>
      </c>
      <c r="I212" t="s">
        <v>4265</v>
      </c>
      <c r="J212" t="s">
        <v>4266</v>
      </c>
      <c r="K212" t="s">
        <v>74</v>
      </c>
      <c r="L212" t="s">
        <v>74</v>
      </c>
      <c r="M212" t="s">
        <v>78</v>
      </c>
      <c r="N212" t="s">
        <v>79</v>
      </c>
      <c r="O212" t="s">
        <v>74</v>
      </c>
      <c r="P212" t="s">
        <v>74</v>
      </c>
      <c r="Q212" t="s">
        <v>74</v>
      </c>
      <c r="R212" t="s">
        <v>74</v>
      </c>
      <c r="S212" t="s">
        <v>74</v>
      </c>
      <c r="T212" t="s">
        <v>74</v>
      </c>
      <c r="U212" t="s">
        <v>4267</v>
      </c>
      <c r="V212" t="s">
        <v>4268</v>
      </c>
      <c r="W212" t="s">
        <v>4269</v>
      </c>
      <c r="X212" t="s">
        <v>4270</v>
      </c>
      <c r="Y212" t="s">
        <v>4271</v>
      </c>
      <c r="Z212" t="s">
        <v>4272</v>
      </c>
      <c r="AA212" t="s">
        <v>4273</v>
      </c>
      <c r="AB212" t="s">
        <v>4274</v>
      </c>
      <c r="AC212" t="s">
        <v>4275</v>
      </c>
      <c r="AD212" t="s">
        <v>4276</v>
      </c>
      <c r="AE212" t="s">
        <v>4277</v>
      </c>
      <c r="AF212" t="s">
        <v>74</v>
      </c>
      <c r="AG212">
        <v>56</v>
      </c>
      <c r="AH212">
        <v>162</v>
      </c>
      <c r="AI212">
        <v>165</v>
      </c>
      <c r="AJ212">
        <v>3</v>
      </c>
      <c r="AK212">
        <v>42</v>
      </c>
      <c r="AL212" t="s">
        <v>997</v>
      </c>
      <c r="AM212" t="s">
        <v>998</v>
      </c>
      <c r="AN212" t="s">
        <v>999</v>
      </c>
      <c r="AO212" t="s">
        <v>4278</v>
      </c>
      <c r="AP212" t="s">
        <v>4279</v>
      </c>
      <c r="AQ212" t="s">
        <v>74</v>
      </c>
      <c r="AR212" t="s">
        <v>4280</v>
      </c>
      <c r="AS212" t="s">
        <v>4281</v>
      </c>
      <c r="AT212" t="s">
        <v>3442</v>
      </c>
      <c r="AU212">
        <v>2012</v>
      </c>
      <c r="AV212">
        <v>69</v>
      </c>
      <c r="AW212">
        <v>4</v>
      </c>
      <c r="AX212" t="s">
        <v>74</v>
      </c>
      <c r="AY212" t="s">
        <v>74</v>
      </c>
      <c r="AZ212" t="s">
        <v>74</v>
      </c>
      <c r="BA212" t="s">
        <v>74</v>
      </c>
      <c r="BB212">
        <v>1378</v>
      </c>
      <c r="BC212">
        <v>1396</v>
      </c>
      <c r="BD212" t="s">
        <v>74</v>
      </c>
      <c r="BE212" t="s">
        <v>4282</v>
      </c>
      <c r="BF212" t="str">
        <f>HYPERLINK("http://dx.doi.org/10.1175/JAS-D-11-0101.1","http://dx.doi.org/10.1175/JAS-D-11-0101.1")</f>
        <v>http://dx.doi.org/10.1175/JAS-D-11-0101.1</v>
      </c>
      <c r="BG212" t="s">
        <v>74</v>
      </c>
      <c r="BH212" t="s">
        <v>74</v>
      </c>
      <c r="BI212">
        <v>19</v>
      </c>
      <c r="BJ212" t="s">
        <v>128</v>
      </c>
      <c r="BK212" t="s">
        <v>99</v>
      </c>
      <c r="BL212" t="s">
        <v>128</v>
      </c>
      <c r="BM212" t="s">
        <v>4283</v>
      </c>
      <c r="BN212" t="s">
        <v>74</v>
      </c>
      <c r="BO212" t="s">
        <v>1094</v>
      </c>
      <c r="BP212" t="s">
        <v>74</v>
      </c>
      <c r="BQ212" t="s">
        <v>74</v>
      </c>
      <c r="BR212" t="s">
        <v>101</v>
      </c>
      <c r="BS212" t="s">
        <v>4284</v>
      </c>
      <c r="BT212" t="str">
        <f>HYPERLINK("https%3A%2F%2Fwww.webofscience.com%2Fwos%2Fwoscc%2Ffull-record%2FWOS:000302206800013","View Full Record in Web of Science")</f>
        <v>View Full Record in Web of Science</v>
      </c>
    </row>
    <row r="213" spans="1:72" x14ac:dyDescent="0.15">
      <c r="A213" t="s">
        <v>72</v>
      </c>
      <c r="B213" t="s">
        <v>4285</v>
      </c>
      <c r="C213" t="s">
        <v>74</v>
      </c>
      <c r="D213" t="s">
        <v>74</v>
      </c>
      <c r="E213" t="s">
        <v>74</v>
      </c>
      <c r="F213" t="s">
        <v>4286</v>
      </c>
      <c r="G213" t="s">
        <v>74</v>
      </c>
      <c r="H213" t="s">
        <v>74</v>
      </c>
      <c r="I213" t="s">
        <v>4287</v>
      </c>
      <c r="J213" t="s">
        <v>4288</v>
      </c>
      <c r="K213" t="s">
        <v>74</v>
      </c>
      <c r="L213" t="s">
        <v>74</v>
      </c>
      <c r="M213" t="s">
        <v>78</v>
      </c>
      <c r="N213" t="s">
        <v>79</v>
      </c>
      <c r="O213" t="s">
        <v>74</v>
      </c>
      <c r="P213" t="s">
        <v>74</v>
      </c>
      <c r="Q213" t="s">
        <v>74</v>
      </c>
      <c r="R213" t="s">
        <v>74</v>
      </c>
      <c r="S213" t="s">
        <v>74</v>
      </c>
      <c r="T213" t="s">
        <v>4289</v>
      </c>
      <c r="U213" t="s">
        <v>74</v>
      </c>
      <c r="V213" t="s">
        <v>4290</v>
      </c>
      <c r="W213" t="s">
        <v>4291</v>
      </c>
      <c r="X213" t="s">
        <v>4292</v>
      </c>
      <c r="Y213" t="s">
        <v>4293</v>
      </c>
      <c r="Z213" t="s">
        <v>4294</v>
      </c>
      <c r="AA213" t="s">
        <v>4295</v>
      </c>
      <c r="AB213" t="s">
        <v>4296</v>
      </c>
      <c r="AC213" t="s">
        <v>4297</v>
      </c>
      <c r="AD213" t="s">
        <v>4298</v>
      </c>
      <c r="AE213" t="s">
        <v>4299</v>
      </c>
      <c r="AF213" t="s">
        <v>74</v>
      </c>
      <c r="AG213">
        <v>14</v>
      </c>
      <c r="AH213">
        <v>3</v>
      </c>
      <c r="AI213">
        <v>3</v>
      </c>
      <c r="AJ213">
        <v>2</v>
      </c>
      <c r="AK213">
        <v>19</v>
      </c>
      <c r="AL213" t="s">
        <v>277</v>
      </c>
      <c r="AM213" t="s">
        <v>278</v>
      </c>
      <c r="AN213" t="s">
        <v>279</v>
      </c>
      <c r="AO213" t="s">
        <v>4300</v>
      </c>
      <c r="AP213" t="s">
        <v>74</v>
      </c>
      <c r="AQ213" t="s">
        <v>74</v>
      </c>
      <c r="AR213" t="s">
        <v>4301</v>
      </c>
      <c r="AS213" t="s">
        <v>4302</v>
      </c>
      <c r="AT213" t="s">
        <v>3442</v>
      </c>
      <c r="AU213">
        <v>2012</v>
      </c>
      <c r="AV213">
        <v>43</v>
      </c>
      <c r="AW213" t="s">
        <v>74</v>
      </c>
      <c r="AX213" t="s">
        <v>74</v>
      </c>
      <c r="AY213" t="s">
        <v>74</v>
      </c>
      <c r="AZ213" t="s">
        <v>74</v>
      </c>
      <c r="BA213" t="s">
        <v>74</v>
      </c>
      <c r="BB213">
        <v>56</v>
      </c>
      <c r="BC213">
        <v>63</v>
      </c>
      <c r="BD213" t="s">
        <v>74</v>
      </c>
      <c r="BE213" t="s">
        <v>4303</v>
      </c>
      <c r="BF213" t="str">
        <f>HYPERLINK("http://dx.doi.org/10.1016/j.oceaneng.2012.01.018","http://dx.doi.org/10.1016/j.oceaneng.2012.01.018")</f>
        <v>http://dx.doi.org/10.1016/j.oceaneng.2012.01.018</v>
      </c>
      <c r="BG213" t="s">
        <v>74</v>
      </c>
      <c r="BH213" t="s">
        <v>74</v>
      </c>
      <c r="BI213">
        <v>8</v>
      </c>
      <c r="BJ213" t="s">
        <v>4304</v>
      </c>
      <c r="BK213" t="s">
        <v>99</v>
      </c>
      <c r="BL213" t="s">
        <v>4305</v>
      </c>
      <c r="BM213" t="s">
        <v>4306</v>
      </c>
      <c r="BN213" t="s">
        <v>74</v>
      </c>
      <c r="BO213" t="s">
        <v>74</v>
      </c>
      <c r="BP213" t="s">
        <v>74</v>
      </c>
      <c r="BQ213" t="s">
        <v>74</v>
      </c>
      <c r="BR213" t="s">
        <v>101</v>
      </c>
      <c r="BS213" t="s">
        <v>4307</v>
      </c>
      <c r="BT213" t="str">
        <f>HYPERLINK("https%3A%2F%2Fwww.webofscience.com%2Fwos%2Fwoscc%2Ffull-record%2FWOS:000302108900006","View Full Record in Web of Science")</f>
        <v>View Full Record in Web of Science</v>
      </c>
    </row>
    <row r="214" spans="1:72" x14ac:dyDescent="0.15">
      <c r="A214" t="s">
        <v>72</v>
      </c>
      <c r="B214" t="s">
        <v>4308</v>
      </c>
      <c r="C214" t="s">
        <v>74</v>
      </c>
      <c r="D214" t="s">
        <v>74</v>
      </c>
      <c r="E214" t="s">
        <v>74</v>
      </c>
      <c r="F214" t="s">
        <v>4309</v>
      </c>
      <c r="G214" t="s">
        <v>74</v>
      </c>
      <c r="H214" t="s">
        <v>74</v>
      </c>
      <c r="I214" t="s">
        <v>4310</v>
      </c>
      <c r="J214" t="s">
        <v>4311</v>
      </c>
      <c r="K214" t="s">
        <v>74</v>
      </c>
      <c r="L214" t="s">
        <v>74</v>
      </c>
      <c r="M214" t="s">
        <v>78</v>
      </c>
      <c r="N214" t="s">
        <v>79</v>
      </c>
      <c r="O214" t="s">
        <v>74</v>
      </c>
      <c r="P214" t="s">
        <v>74</v>
      </c>
      <c r="Q214" t="s">
        <v>74</v>
      </c>
      <c r="R214" t="s">
        <v>74</v>
      </c>
      <c r="S214" t="s">
        <v>74</v>
      </c>
      <c r="T214" t="s">
        <v>74</v>
      </c>
      <c r="U214" t="s">
        <v>4312</v>
      </c>
      <c r="V214" t="s">
        <v>4313</v>
      </c>
      <c r="W214" t="s">
        <v>4314</v>
      </c>
      <c r="X214" t="s">
        <v>4315</v>
      </c>
      <c r="Y214" t="s">
        <v>4316</v>
      </c>
      <c r="Z214" t="s">
        <v>4317</v>
      </c>
      <c r="AA214" t="s">
        <v>74</v>
      </c>
      <c r="AB214" t="s">
        <v>74</v>
      </c>
      <c r="AC214" t="s">
        <v>74</v>
      </c>
      <c r="AD214" t="s">
        <v>74</v>
      </c>
      <c r="AE214" t="s">
        <v>74</v>
      </c>
      <c r="AF214" t="s">
        <v>74</v>
      </c>
      <c r="AG214">
        <v>187</v>
      </c>
      <c r="AH214">
        <v>13</v>
      </c>
      <c r="AI214">
        <v>13</v>
      </c>
      <c r="AJ214">
        <v>0</v>
      </c>
      <c r="AK214">
        <v>21</v>
      </c>
      <c r="AL214" t="s">
        <v>1111</v>
      </c>
      <c r="AM214" t="s">
        <v>656</v>
      </c>
      <c r="AN214" t="s">
        <v>1209</v>
      </c>
      <c r="AO214" t="s">
        <v>4318</v>
      </c>
      <c r="AP214" t="s">
        <v>4319</v>
      </c>
      <c r="AQ214" t="s">
        <v>74</v>
      </c>
      <c r="AR214" t="s">
        <v>4320</v>
      </c>
      <c r="AS214" t="s">
        <v>4321</v>
      </c>
      <c r="AT214" t="s">
        <v>3442</v>
      </c>
      <c r="AU214">
        <v>2012</v>
      </c>
      <c r="AV214">
        <v>48</v>
      </c>
      <c r="AW214">
        <v>245</v>
      </c>
      <c r="AX214" t="s">
        <v>74</v>
      </c>
      <c r="AY214" t="s">
        <v>74</v>
      </c>
      <c r="AZ214" t="s">
        <v>74</v>
      </c>
      <c r="BA214" t="s">
        <v>74</v>
      </c>
      <c r="BB214">
        <v>123</v>
      </c>
      <c r="BC214">
        <v>144</v>
      </c>
      <c r="BD214" t="s">
        <v>74</v>
      </c>
      <c r="BE214" t="s">
        <v>4322</v>
      </c>
      <c r="BF214" t="str">
        <f>HYPERLINK("http://dx.doi.org/10.1017/S0032247411000118","http://dx.doi.org/10.1017/S0032247411000118")</f>
        <v>http://dx.doi.org/10.1017/S0032247411000118</v>
      </c>
      <c r="BG214" t="s">
        <v>74</v>
      </c>
      <c r="BH214" t="s">
        <v>74</v>
      </c>
      <c r="BI214">
        <v>22</v>
      </c>
      <c r="BJ214" t="s">
        <v>3749</v>
      </c>
      <c r="BK214" t="s">
        <v>99</v>
      </c>
      <c r="BL214" t="s">
        <v>1259</v>
      </c>
      <c r="BM214" t="s">
        <v>4323</v>
      </c>
      <c r="BN214" t="s">
        <v>74</v>
      </c>
      <c r="BO214" t="s">
        <v>74</v>
      </c>
      <c r="BP214" t="s">
        <v>74</v>
      </c>
      <c r="BQ214" t="s">
        <v>74</v>
      </c>
      <c r="BR214" t="s">
        <v>101</v>
      </c>
      <c r="BS214" t="s">
        <v>4324</v>
      </c>
      <c r="BT214" t="str">
        <f>HYPERLINK("https%3A%2F%2Fwww.webofscience.com%2Fwos%2Fwoscc%2Ffull-record%2FWOS:000301068500002","View Full Record in Web of Science")</f>
        <v>View Full Record in Web of Science</v>
      </c>
    </row>
    <row r="215" spans="1:72" x14ac:dyDescent="0.15">
      <c r="A215" t="s">
        <v>72</v>
      </c>
      <c r="B215" t="s">
        <v>4325</v>
      </c>
      <c r="C215" t="s">
        <v>74</v>
      </c>
      <c r="D215" t="s">
        <v>74</v>
      </c>
      <c r="E215" t="s">
        <v>74</v>
      </c>
      <c r="F215" t="s">
        <v>4326</v>
      </c>
      <c r="G215" t="s">
        <v>74</v>
      </c>
      <c r="H215" t="s">
        <v>74</v>
      </c>
      <c r="I215" t="s">
        <v>4327</v>
      </c>
      <c r="J215" t="s">
        <v>4311</v>
      </c>
      <c r="K215" t="s">
        <v>74</v>
      </c>
      <c r="L215" t="s">
        <v>74</v>
      </c>
      <c r="M215" t="s">
        <v>78</v>
      </c>
      <c r="N215" t="s">
        <v>79</v>
      </c>
      <c r="O215" t="s">
        <v>74</v>
      </c>
      <c r="P215" t="s">
        <v>74</v>
      </c>
      <c r="Q215" t="s">
        <v>74</v>
      </c>
      <c r="R215" t="s">
        <v>74</v>
      </c>
      <c r="S215" t="s">
        <v>74</v>
      </c>
      <c r="T215" t="s">
        <v>74</v>
      </c>
      <c r="U215" t="s">
        <v>4328</v>
      </c>
      <c r="V215" t="s">
        <v>4329</v>
      </c>
      <c r="W215" t="s">
        <v>4330</v>
      </c>
      <c r="X215" t="s">
        <v>4331</v>
      </c>
      <c r="Y215" t="s">
        <v>4332</v>
      </c>
      <c r="Z215" t="s">
        <v>4333</v>
      </c>
      <c r="AA215" t="s">
        <v>74</v>
      </c>
      <c r="AB215" t="s">
        <v>74</v>
      </c>
      <c r="AC215" t="s">
        <v>4334</v>
      </c>
      <c r="AD215" t="s">
        <v>4335</v>
      </c>
      <c r="AE215" t="s">
        <v>4336</v>
      </c>
      <c r="AF215" t="s">
        <v>74</v>
      </c>
      <c r="AG215">
        <v>45</v>
      </c>
      <c r="AH215">
        <v>17</v>
      </c>
      <c r="AI215">
        <v>18</v>
      </c>
      <c r="AJ215">
        <v>0</v>
      </c>
      <c r="AK215">
        <v>3</v>
      </c>
      <c r="AL215" t="s">
        <v>1111</v>
      </c>
      <c r="AM215" t="s">
        <v>656</v>
      </c>
      <c r="AN215" t="s">
        <v>1209</v>
      </c>
      <c r="AO215" t="s">
        <v>4318</v>
      </c>
      <c r="AP215" t="s">
        <v>74</v>
      </c>
      <c r="AQ215" t="s">
        <v>74</v>
      </c>
      <c r="AR215" t="s">
        <v>4320</v>
      </c>
      <c r="AS215" t="s">
        <v>4321</v>
      </c>
      <c r="AT215" t="s">
        <v>3442</v>
      </c>
      <c r="AU215">
        <v>2012</v>
      </c>
      <c r="AV215">
        <v>48</v>
      </c>
      <c r="AW215">
        <v>245</v>
      </c>
      <c r="AX215" t="s">
        <v>74</v>
      </c>
      <c r="AY215" t="s">
        <v>74</v>
      </c>
      <c r="AZ215" t="s">
        <v>74</v>
      </c>
      <c r="BA215" t="s">
        <v>74</v>
      </c>
      <c r="BB215">
        <v>157</v>
      </c>
      <c r="BC215">
        <v>164</v>
      </c>
      <c r="BD215" t="s">
        <v>74</v>
      </c>
      <c r="BE215" t="s">
        <v>4337</v>
      </c>
      <c r="BF215" t="str">
        <f>HYPERLINK("http://dx.doi.org/10.1017/S0032247411000222","http://dx.doi.org/10.1017/S0032247411000222")</f>
        <v>http://dx.doi.org/10.1017/S0032247411000222</v>
      </c>
      <c r="BG215" t="s">
        <v>74</v>
      </c>
      <c r="BH215" t="s">
        <v>74</v>
      </c>
      <c r="BI215">
        <v>8</v>
      </c>
      <c r="BJ215" t="s">
        <v>3749</v>
      </c>
      <c r="BK215" t="s">
        <v>99</v>
      </c>
      <c r="BL215" t="s">
        <v>1259</v>
      </c>
      <c r="BM215" t="s">
        <v>4323</v>
      </c>
      <c r="BN215">
        <v>23564976</v>
      </c>
      <c r="BO215" t="s">
        <v>2894</v>
      </c>
      <c r="BP215" t="s">
        <v>74</v>
      </c>
      <c r="BQ215" t="s">
        <v>74</v>
      </c>
      <c r="BR215" t="s">
        <v>101</v>
      </c>
      <c r="BS215" t="s">
        <v>4338</v>
      </c>
      <c r="BT215" t="str">
        <f>HYPERLINK("https%3A%2F%2Fwww.webofscience.com%2Fwos%2Fwoscc%2Ffull-record%2FWOS:000301068500005","View Full Record in Web of Science")</f>
        <v>View Full Record in Web of Science</v>
      </c>
    </row>
    <row r="216" spans="1:72" x14ac:dyDescent="0.15">
      <c r="A216" t="s">
        <v>72</v>
      </c>
      <c r="B216" t="s">
        <v>4339</v>
      </c>
      <c r="C216" t="s">
        <v>74</v>
      </c>
      <c r="D216" t="s">
        <v>74</v>
      </c>
      <c r="E216" t="s">
        <v>74</v>
      </c>
      <c r="F216" t="s">
        <v>4340</v>
      </c>
      <c r="G216" t="s">
        <v>74</v>
      </c>
      <c r="H216" t="s">
        <v>74</v>
      </c>
      <c r="I216" t="s">
        <v>4341</v>
      </c>
      <c r="J216" t="s">
        <v>4311</v>
      </c>
      <c r="K216" t="s">
        <v>74</v>
      </c>
      <c r="L216" t="s">
        <v>74</v>
      </c>
      <c r="M216" t="s">
        <v>78</v>
      </c>
      <c r="N216" t="s">
        <v>79</v>
      </c>
      <c r="O216" t="s">
        <v>74</v>
      </c>
      <c r="P216" t="s">
        <v>74</v>
      </c>
      <c r="Q216" t="s">
        <v>74</v>
      </c>
      <c r="R216" t="s">
        <v>74</v>
      </c>
      <c r="S216" t="s">
        <v>74</v>
      </c>
      <c r="T216" t="s">
        <v>74</v>
      </c>
      <c r="U216" t="s">
        <v>74</v>
      </c>
      <c r="V216" t="s">
        <v>4342</v>
      </c>
      <c r="W216" t="s">
        <v>4343</v>
      </c>
      <c r="X216" t="s">
        <v>4315</v>
      </c>
      <c r="Y216" t="s">
        <v>4344</v>
      </c>
      <c r="Z216" t="s">
        <v>4345</v>
      </c>
      <c r="AA216" t="s">
        <v>74</v>
      </c>
      <c r="AB216" t="s">
        <v>74</v>
      </c>
      <c r="AC216" t="s">
        <v>74</v>
      </c>
      <c r="AD216" t="s">
        <v>74</v>
      </c>
      <c r="AE216" t="s">
        <v>74</v>
      </c>
      <c r="AF216" t="s">
        <v>74</v>
      </c>
      <c r="AG216">
        <v>28</v>
      </c>
      <c r="AH216">
        <v>0</v>
      </c>
      <c r="AI216">
        <v>0</v>
      </c>
      <c r="AJ216">
        <v>0</v>
      </c>
      <c r="AK216">
        <v>31</v>
      </c>
      <c r="AL216" t="s">
        <v>1111</v>
      </c>
      <c r="AM216" t="s">
        <v>656</v>
      </c>
      <c r="AN216" t="s">
        <v>1209</v>
      </c>
      <c r="AO216" t="s">
        <v>4318</v>
      </c>
      <c r="AP216" t="s">
        <v>74</v>
      </c>
      <c r="AQ216" t="s">
        <v>74</v>
      </c>
      <c r="AR216" t="s">
        <v>4320</v>
      </c>
      <c r="AS216" t="s">
        <v>4321</v>
      </c>
      <c r="AT216" t="s">
        <v>3442</v>
      </c>
      <c r="AU216">
        <v>2012</v>
      </c>
      <c r="AV216">
        <v>48</v>
      </c>
      <c r="AW216">
        <v>245</v>
      </c>
      <c r="AX216" t="s">
        <v>74</v>
      </c>
      <c r="AY216" t="s">
        <v>74</v>
      </c>
      <c r="AZ216" t="s">
        <v>74</v>
      </c>
      <c r="BA216" t="s">
        <v>74</v>
      </c>
      <c r="BB216">
        <v>184</v>
      </c>
      <c r="BC216">
        <v>191</v>
      </c>
      <c r="BD216" t="s">
        <v>74</v>
      </c>
      <c r="BE216" t="s">
        <v>4346</v>
      </c>
      <c r="BF216" t="str">
        <f>HYPERLINK("http://dx.doi.org/10.1017/S0032247411000271","http://dx.doi.org/10.1017/S0032247411000271")</f>
        <v>http://dx.doi.org/10.1017/S0032247411000271</v>
      </c>
      <c r="BG216" t="s">
        <v>74</v>
      </c>
      <c r="BH216" t="s">
        <v>74</v>
      </c>
      <c r="BI216">
        <v>8</v>
      </c>
      <c r="BJ216" t="s">
        <v>3749</v>
      </c>
      <c r="BK216" t="s">
        <v>99</v>
      </c>
      <c r="BL216" t="s">
        <v>1259</v>
      </c>
      <c r="BM216" t="s">
        <v>4323</v>
      </c>
      <c r="BN216" t="s">
        <v>74</v>
      </c>
      <c r="BO216" t="s">
        <v>74</v>
      </c>
      <c r="BP216" t="s">
        <v>74</v>
      </c>
      <c r="BQ216" t="s">
        <v>74</v>
      </c>
      <c r="BR216" t="s">
        <v>101</v>
      </c>
      <c r="BS216" t="s">
        <v>4347</v>
      </c>
      <c r="BT216" t="str">
        <f>HYPERLINK("https%3A%2F%2Fwww.webofscience.com%2Fwos%2Fwoscc%2Ffull-record%2FWOS:000301068500008","View Full Record in Web of Science")</f>
        <v>View Full Record in Web of Science</v>
      </c>
    </row>
    <row r="217" spans="1:72" x14ac:dyDescent="0.15">
      <c r="A217" t="s">
        <v>72</v>
      </c>
      <c r="B217" t="s">
        <v>4348</v>
      </c>
      <c r="C217" t="s">
        <v>74</v>
      </c>
      <c r="D217" t="s">
        <v>74</v>
      </c>
      <c r="E217" t="s">
        <v>74</v>
      </c>
      <c r="F217" t="s">
        <v>4349</v>
      </c>
      <c r="G217" t="s">
        <v>74</v>
      </c>
      <c r="H217" t="s">
        <v>74</v>
      </c>
      <c r="I217" t="s">
        <v>4350</v>
      </c>
      <c r="J217" t="s">
        <v>1219</v>
      </c>
      <c r="K217" t="s">
        <v>74</v>
      </c>
      <c r="L217" t="s">
        <v>74</v>
      </c>
      <c r="M217" t="s">
        <v>78</v>
      </c>
      <c r="N217" t="s">
        <v>79</v>
      </c>
      <c r="O217" t="s">
        <v>74</v>
      </c>
      <c r="P217" t="s">
        <v>74</v>
      </c>
      <c r="Q217" t="s">
        <v>74</v>
      </c>
      <c r="R217" t="s">
        <v>74</v>
      </c>
      <c r="S217" t="s">
        <v>74</v>
      </c>
      <c r="T217" t="s">
        <v>4351</v>
      </c>
      <c r="U217" t="s">
        <v>4352</v>
      </c>
      <c r="V217" t="s">
        <v>4353</v>
      </c>
      <c r="W217" t="s">
        <v>4354</v>
      </c>
      <c r="X217" t="s">
        <v>4355</v>
      </c>
      <c r="Y217" t="s">
        <v>4356</v>
      </c>
      <c r="Z217" t="s">
        <v>4357</v>
      </c>
      <c r="AA217" t="s">
        <v>4358</v>
      </c>
      <c r="AB217" t="s">
        <v>4359</v>
      </c>
      <c r="AC217" t="s">
        <v>4360</v>
      </c>
      <c r="AD217" t="s">
        <v>4361</v>
      </c>
      <c r="AE217" t="s">
        <v>4362</v>
      </c>
      <c r="AF217" t="s">
        <v>74</v>
      </c>
      <c r="AG217">
        <v>18</v>
      </c>
      <c r="AH217">
        <v>4</v>
      </c>
      <c r="AI217">
        <v>7</v>
      </c>
      <c r="AJ217">
        <v>0</v>
      </c>
      <c r="AK217">
        <v>18</v>
      </c>
      <c r="AL217" t="s">
        <v>1083</v>
      </c>
      <c r="AM217" t="s">
        <v>1084</v>
      </c>
      <c r="AN217" t="s">
        <v>1085</v>
      </c>
      <c r="AO217" t="s">
        <v>1230</v>
      </c>
      <c r="AP217" t="s">
        <v>1231</v>
      </c>
      <c r="AQ217" t="s">
        <v>74</v>
      </c>
      <c r="AR217" t="s">
        <v>1232</v>
      </c>
      <c r="AS217" t="s">
        <v>1233</v>
      </c>
      <c r="AT217" t="s">
        <v>3442</v>
      </c>
      <c r="AU217">
        <v>2012</v>
      </c>
      <c r="AV217">
        <v>55</v>
      </c>
      <c r="AW217">
        <v>4</v>
      </c>
      <c r="AX217" t="s">
        <v>74</v>
      </c>
      <c r="AY217" t="s">
        <v>74</v>
      </c>
      <c r="AZ217" t="s">
        <v>74</v>
      </c>
      <c r="BA217" t="s">
        <v>74</v>
      </c>
      <c r="BB217">
        <v>622</v>
      </c>
      <c r="BC217">
        <v>632</v>
      </c>
      <c r="BD217" t="s">
        <v>74</v>
      </c>
      <c r="BE217" t="s">
        <v>4363</v>
      </c>
      <c r="BF217" t="str">
        <f>HYPERLINK("http://dx.doi.org/10.1007/s11430-011-4270-6","http://dx.doi.org/10.1007/s11430-011-4270-6")</f>
        <v>http://dx.doi.org/10.1007/s11430-011-4270-6</v>
      </c>
      <c r="BG217" t="s">
        <v>74</v>
      </c>
      <c r="BH217" t="s">
        <v>74</v>
      </c>
      <c r="BI217">
        <v>11</v>
      </c>
      <c r="BJ217" t="s">
        <v>194</v>
      </c>
      <c r="BK217" t="s">
        <v>99</v>
      </c>
      <c r="BL217" t="s">
        <v>195</v>
      </c>
      <c r="BM217" t="s">
        <v>4364</v>
      </c>
      <c r="BN217" t="s">
        <v>74</v>
      </c>
      <c r="BO217" t="s">
        <v>74</v>
      </c>
      <c r="BP217" t="s">
        <v>74</v>
      </c>
      <c r="BQ217" t="s">
        <v>74</v>
      </c>
      <c r="BR217" t="s">
        <v>101</v>
      </c>
      <c r="BS217" t="s">
        <v>4365</v>
      </c>
      <c r="BT217" t="str">
        <f>HYPERLINK("https%3A%2F%2Fwww.webofscience.com%2Fwos%2Fwoscc%2Ffull-record%2FWOS:000302297300010","View Full Record in Web of Science")</f>
        <v>View Full Record in Web of Science</v>
      </c>
    </row>
    <row r="218" spans="1:72" x14ac:dyDescent="0.15">
      <c r="A218" t="s">
        <v>72</v>
      </c>
      <c r="B218" t="s">
        <v>4366</v>
      </c>
      <c r="C218" t="s">
        <v>74</v>
      </c>
      <c r="D218" t="s">
        <v>74</v>
      </c>
      <c r="E218" t="s">
        <v>74</v>
      </c>
      <c r="F218" t="s">
        <v>4367</v>
      </c>
      <c r="G218" t="s">
        <v>74</v>
      </c>
      <c r="H218" t="s">
        <v>74</v>
      </c>
      <c r="I218" t="s">
        <v>4368</v>
      </c>
      <c r="J218" t="s">
        <v>4369</v>
      </c>
      <c r="K218" t="s">
        <v>74</v>
      </c>
      <c r="L218" t="s">
        <v>74</v>
      </c>
      <c r="M218" t="s">
        <v>78</v>
      </c>
      <c r="N218" t="s">
        <v>79</v>
      </c>
      <c r="O218" t="s">
        <v>74</v>
      </c>
      <c r="P218" t="s">
        <v>74</v>
      </c>
      <c r="Q218" t="s">
        <v>74</v>
      </c>
      <c r="R218" t="s">
        <v>74</v>
      </c>
      <c r="S218" t="s">
        <v>74</v>
      </c>
      <c r="T218" t="s">
        <v>74</v>
      </c>
      <c r="U218" t="s">
        <v>4370</v>
      </c>
      <c r="V218" t="s">
        <v>4371</v>
      </c>
      <c r="W218" t="s">
        <v>4372</v>
      </c>
      <c r="X218" t="s">
        <v>4373</v>
      </c>
      <c r="Y218" t="s">
        <v>4374</v>
      </c>
      <c r="Z218" t="s">
        <v>4375</v>
      </c>
      <c r="AA218" t="s">
        <v>74</v>
      </c>
      <c r="AB218" t="s">
        <v>4376</v>
      </c>
      <c r="AC218" t="s">
        <v>4377</v>
      </c>
      <c r="AD218" t="s">
        <v>4378</v>
      </c>
      <c r="AE218" t="s">
        <v>4379</v>
      </c>
      <c r="AF218" t="s">
        <v>74</v>
      </c>
      <c r="AG218">
        <v>79</v>
      </c>
      <c r="AH218">
        <v>11</v>
      </c>
      <c r="AI218">
        <v>13</v>
      </c>
      <c r="AJ218">
        <v>1</v>
      </c>
      <c r="AK218">
        <v>32</v>
      </c>
      <c r="AL218" t="s">
        <v>2414</v>
      </c>
      <c r="AM218" t="s">
        <v>2415</v>
      </c>
      <c r="AN218" t="s">
        <v>2416</v>
      </c>
      <c r="AO218" t="s">
        <v>4380</v>
      </c>
      <c r="AP218" t="s">
        <v>4381</v>
      </c>
      <c r="AQ218" t="s">
        <v>74</v>
      </c>
      <c r="AR218" t="s">
        <v>4382</v>
      </c>
      <c r="AS218" t="s">
        <v>4383</v>
      </c>
      <c r="AT218" t="s">
        <v>3442</v>
      </c>
      <c r="AU218">
        <v>2012</v>
      </c>
      <c r="AV218">
        <v>159</v>
      </c>
      <c r="AW218">
        <v>4</v>
      </c>
      <c r="AX218" t="s">
        <v>74</v>
      </c>
      <c r="AY218" t="s">
        <v>74</v>
      </c>
      <c r="AZ218" t="s">
        <v>74</v>
      </c>
      <c r="BA218" t="s">
        <v>74</v>
      </c>
      <c r="BB218">
        <v>817</v>
      </c>
      <c r="BC218">
        <v>827</v>
      </c>
      <c r="BD218" t="s">
        <v>74</v>
      </c>
      <c r="BE218" t="s">
        <v>4384</v>
      </c>
      <c r="BF218" t="str">
        <f>HYPERLINK("http://dx.doi.org/10.1007/s00227-011-1857-6","http://dx.doi.org/10.1007/s00227-011-1857-6")</f>
        <v>http://dx.doi.org/10.1007/s00227-011-1857-6</v>
      </c>
      <c r="BG218" t="s">
        <v>74</v>
      </c>
      <c r="BH218" t="s">
        <v>74</v>
      </c>
      <c r="BI218">
        <v>11</v>
      </c>
      <c r="BJ218" t="s">
        <v>588</v>
      </c>
      <c r="BK218" t="s">
        <v>99</v>
      </c>
      <c r="BL218" t="s">
        <v>588</v>
      </c>
      <c r="BM218" t="s">
        <v>4385</v>
      </c>
      <c r="BN218">
        <v>24391272</v>
      </c>
      <c r="BO218" t="s">
        <v>2894</v>
      </c>
      <c r="BP218" t="s">
        <v>74</v>
      </c>
      <c r="BQ218" t="s">
        <v>74</v>
      </c>
      <c r="BR218" t="s">
        <v>101</v>
      </c>
      <c r="BS218" t="s">
        <v>4386</v>
      </c>
      <c r="BT218" t="str">
        <f>HYPERLINK("https%3A%2F%2Fwww.webofscience.com%2Fwos%2Fwoscc%2Ffull-record%2FWOS:000301845900010","View Full Record in Web of Science")</f>
        <v>View Full Record in Web of Science</v>
      </c>
    </row>
    <row r="219" spans="1:72" x14ac:dyDescent="0.15">
      <c r="A219" t="s">
        <v>72</v>
      </c>
      <c r="B219" t="s">
        <v>4387</v>
      </c>
      <c r="C219" t="s">
        <v>74</v>
      </c>
      <c r="D219" t="s">
        <v>74</v>
      </c>
      <c r="E219" t="s">
        <v>74</v>
      </c>
      <c r="F219" t="s">
        <v>4388</v>
      </c>
      <c r="G219" t="s">
        <v>74</v>
      </c>
      <c r="H219" t="s">
        <v>74</v>
      </c>
      <c r="I219" t="s">
        <v>4389</v>
      </c>
      <c r="J219" t="s">
        <v>4390</v>
      </c>
      <c r="K219" t="s">
        <v>74</v>
      </c>
      <c r="L219" t="s">
        <v>74</v>
      </c>
      <c r="M219" t="s">
        <v>78</v>
      </c>
      <c r="N219" t="s">
        <v>79</v>
      </c>
      <c r="O219" t="s">
        <v>74</v>
      </c>
      <c r="P219" t="s">
        <v>74</v>
      </c>
      <c r="Q219" t="s">
        <v>74</v>
      </c>
      <c r="R219" t="s">
        <v>74</v>
      </c>
      <c r="S219" t="s">
        <v>74</v>
      </c>
      <c r="T219" t="s">
        <v>4391</v>
      </c>
      <c r="U219" t="s">
        <v>4392</v>
      </c>
      <c r="V219" t="s">
        <v>4393</v>
      </c>
      <c r="W219" t="s">
        <v>4394</v>
      </c>
      <c r="X219" t="s">
        <v>4395</v>
      </c>
      <c r="Y219" t="s">
        <v>4396</v>
      </c>
      <c r="Z219" t="s">
        <v>4397</v>
      </c>
      <c r="AA219" t="s">
        <v>74</v>
      </c>
      <c r="AB219" t="s">
        <v>74</v>
      </c>
      <c r="AC219" t="s">
        <v>4398</v>
      </c>
      <c r="AD219" t="s">
        <v>4399</v>
      </c>
      <c r="AE219" t="s">
        <v>4400</v>
      </c>
      <c r="AF219" t="s">
        <v>74</v>
      </c>
      <c r="AG219">
        <v>36</v>
      </c>
      <c r="AH219">
        <v>15</v>
      </c>
      <c r="AI219">
        <v>16</v>
      </c>
      <c r="AJ219">
        <v>0</v>
      </c>
      <c r="AK219">
        <v>16</v>
      </c>
      <c r="AL219" t="s">
        <v>655</v>
      </c>
      <c r="AM219" t="s">
        <v>1442</v>
      </c>
      <c r="AN219" t="s">
        <v>1443</v>
      </c>
      <c r="AO219" t="s">
        <v>4401</v>
      </c>
      <c r="AP219" t="s">
        <v>4402</v>
      </c>
      <c r="AQ219" t="s">
        <v>74</v>
      </c>
      <c r="AR219" t="s">
        <v>4403</v>
      </c>
      <c r="AS219" t="s">
        <v>4404</v>
      </c>
      <c r="AT219" t="s">
        <v>3442</v>
      </c>
      <c r="AU219">
        <v>2012</v>
      </c>
      <c r="AV219">
        <v>184</v>
      </c>
      <c r="AW219">
        <v>4</v>
      </c>
      <c r="AX219" t="s">
        <v>74</v>
      </c>
      <c r="AY219" t="s">
        <v>74</v>
      </c>
      <c r="AZ219" t="s">
        <v>74</v>
      </c>
      <c r="BA219" t="s">
        <v>74</v>
      </c>
      <c r="BB219">
        <v>2359</v>
      </c>
      <c r="BC219">
        <v>2372</v>
      </c>
      <c r="BD219" t="s">
        <v>74</v>
      </c>
      <c r="BE219" t="s">
        <v>4405</v>
      </c>
      <c r="BF219" t="str">
        <f>HYPERLINK("http://dx.doi.org/10.1007/s10661-011-2122-7","http://dx.doi.org/10.1007/s10661-011-2122-7")</f>
        <v>http://dx.doi.org/10.1007/s10661-011-2122-7</v>
      </c>
      <c r="BG219" t="s">
        <v>74</v>
      </c>
      <c r="BH219" t="s">
        <v>74</v>
      </c>
      <c r="BI219">
        <v>14</v>
      </c>
      <c r="BJ219" t="s">
        <v>1258</v>
      </c>
      <c r="BK219" t="s">
        <v>99</v>
      </c>
      <c r="BL219" t="s">
        <v>1259</v>
      </c>
      <c r="BM219" t="s">
        <v>4406</v>
      </c>
      <c r="BN219">
        <v>21614620</v>
      </c>
      <c r="BO219" t="s">
        <v>74</v>
      </c>
      <c r="BP219" t="s">
        <v>74</v>
      </c>
      <c r="BQ219" t="s">
        <v>74</v>
      </c>
      <c r="BR219" t="s">
        <v>101</v>
      </c>
      <c r="BS219" t="s">
        <v>4407</v>
      </c>
      <c r="BT219" t="str">
        <f>HYPERLINK("https%3A%2F%2Fwww.webofscience.com%2Fwos%2Fwoscc%2Ffull-record%2FWOS:000300848100044","View Full Record in Web of Science")</f>
        <v>View Full Record in Web of Science</v>
      </c>
    </row>
    <row r="220" spans="1:72" x14ac:dyDescent="0.15">
      <c r="A220" t="s">
        <v>72</v>
      </c>
      <c r="B220" t="s">
        <v>4408</v>
      </c>
      <c r="C220" t="s">
        <v>74</v>
      </c>
      <c r="D220" t="s">
        <v>74</v>
      </c>
      <c r="E220" t="s">
        <v>74</v>
      </c>
      <c r="F220" t="s">
        <v>4409</v>
      </c>
      <c r="G220" t="s">
        <v>74</v>
      </c>
      <c r="H220" t="s">
        <v>74</v>
      </c>
      <c r="I220" t="s">
        <v>4410</v>
      </c>
      <c r="J220" t="s">
        <v>4411</v>
      </c>
      <c r="K220" t="s">
        <v>74</v>
      </c>
      <c r="L220" t="s">
        <v>74</v>
      </c>
      <c r="M220" t="s">
        <v>78</v>
      </c>
      <c r="N220" t="s">
        <v>79</v>
      </c>
      <c r="O220" t="s">
        <v>74</v>
      </c>
      <c r="P220" t="s">
        <v>74</v>
      </c>
      <c r="Q220" t="s">
        <v>74</v>
      </c>
      <c r="R220" t="s">
        <v>74</v>
      </c>
      <c r="S220" t="s">
        <v>74</v>
      </c>
      <c r="T220" t="s">
        <v>74</v>
      </c>
      <c r="U220" t="s">
        <v>4412</v>
      </c>
      <c r="V220" t="s">
        <v>4413</v>
      </c>
      <c r="W220" t="s">
        <v>4414</v>
      </c>
      <c r="X220" t="s">
        <v>3775</v>
      </c>
      <c r="Y220" t="s">
        <v>4415</v>
      </c>
      <c r="Z220" t="s">
        <v>4416</v>
      </c>
      <c r="AA220" t="s">
        <v>4417</v>
      </c>
      <c r="AB220" t="s">
        <v>4418</v>
      </c>
      <c r="AC220" t="s">
        <v>4419</v>
      </c>
      <c r="AD220" t="s">
        <v>3852</v>
      </c>
      <c r="AE220" t="s">
        <v>4420</v>
      </c>
      <c r="AF220" t="s">
        <v>74</v>
      </c>
      <c r="AG220">
        <v>45</v>
      </c>
      <c r="AH220">
        <v>41</v>
      </c>
      <c r="AI220">
        <v>46</v>
      </c>
      <c r="AJ220">
        <v>0</v>
      </c>
      <c r="AK220">
        <v>48</v>
      </c>
      <c r="AL220" t="s">
        <v>2030</v>
      </c>
      <c r="AM220" t="s">
        <v>119</v>
      </c>
      <c r="AN220" t="s">
        <v>2031</v>
      </c>
      <c r="AO220" t="s">
        <v>4421</v>
      </c>
      <c r="AP220" t="s">
        <v>74</v>
      </c>
      <c r="AQ220" t="s">
        <v>74</v>
      </c>
      <c r="AR220" t="s">
        <v>4422</v>
      </c>
      <c r="AS220" t="s">
        <v>4423</v>
      </c>
      <c r="AT220" t="s">
        <v>3442</v>
      </c>
      <c r="AU220">
        <v>2012</v>
      </c>
      <c r="AV220">
        <v>78</v>
      </c>
      <c r="AW220">
        <v>7</v>
      </c>
      <c r="AX220" t="s">
        <v>74</v>
      </c>
      <c r="AY220" t="s">
        <v>74</v>
      </c>
      <c r="AZ220" t="s">
        <v>74</v>
      </c>
      <c r="BA220" t="s">
        <v>74</v>
      </c>
      <c r="BB220">
        <v>2402</v>
      </c>
      <c r="BC220">
        <v>2409</v>
      </c>
      <c r="BD220" t="s">
        <v>74</v>
      </c>
      <c r="BE220" t="s">
        <v>4424</v>
      </c>
      <c r="BF220" t="str">
        <f>HYPERLINK("http://dx.doi.org/10.1128/AEM.07130-11","http://dx.doi.org/10.1128/AEM.07130-11")</f>
        <v>http://dx.doi.org/10.1128/AEM.07130-11</v>
      </c>
      <c r="BG220" t="s">
        <v>74</v>
      </c>
      <c r="BH220" t="s">
        <v>74</v>
      </c>
      <c r="BI220">
        <v>8</v>
      </c>
      <c r="BJ220" t="s">
        <v>4425</v>
      </c>
      <c r="BK220" t="s">
        <v>99</v>
      </c>
      <c r="BL220" t="s">
        <v>4425</v>
      </c>
      <c r="BM220" t="s">
        <v>4426</v>
      </c>
      <c r="BN220">
        <v>22286998</v>
      </c>
      <c r="BO220" t="s">
        <v>822</v>
      </c>
      <c r="BP220" t="s">
        <v>74</v>
      </c>
      <c r="BQ220" t="s">
        <v>74</v>
      </c>
      <c r="BR220" t="s">
        <v>101</v>
      </c>
      <c r="BS220" t="s">
        <v>4427</v>
      </c>
      <c r="BT220" t="str">
        <f>HYPERLINK("https%3A%2F%2Fwww.webofscience.com%2Fwos%2Fwoscc%2Ffull-record%2FWOS:000301344300038","View Full Record in Web of Science")</f>
        <v>View Full Record in Web of Science</v>
      </c>
    </row>
    <row r="221" spans="1:72" x14ac:dyDescent="0.15">
      <c r="A221" t="s">
        <v>72</v>
      </c>
      <c r="B221" t="s">
        <v>4428</v>
      </c>
      <c r="C221" t="s">
        <v>74</v>
      </c>
      <c r="D221" t="s">
        <v>74</v>
      </c>
      <c r="E221" t="s">
        <v>74</v>
      </c>
      <c r="F221" t="s">
        <v>4429</v>
      </c>
      <c r="G221" t="s">
        <v>74</v>
      </c>
      <c r="H221" t="s">
        <v>74</v>
      </c>
      <c r="I221" t="s">
        <v>4430</v>
      </c>
      <c r="J221" t="s">
        <v>4431</v>
      </c>
      <c r="K221" t="s">
        <v>74</v>
      </c>
      <c r="L221" t="s">
        <v>74</v>
      </c>
      <c r="M221" t="s">
        <v>78</v>
      </c>
      <c r="N221" t="s">
        <v>2606</v>
      </c>
      <c r="O221" t="s">
        <v>4432</v>
      </c>
      <c r="P221" t="s">
        <v>4433</v>
      </c>
      <c r="Q221" t="s">
        <v>4434</v>
      </c>
      <c r="R221" t="s">
        <v>74</v>
      </c>
      <c r="S221" t="s">
        <v>4435</v>
      </c>
      <c r="T221" t="s">
        <v>4436</v>
      </c>
      <c r="U221" t="s">
        <v>4437</v>
      </c>
      <c r="V221" t="s">
        <v>4438</v>
      </c>
      <c r="W221" t="s">
        <v>4439</v>
      </c>
      <c r="X221" t="s">
        <v>4440</v>
      </c>
      <c r="Y221" t="s">
        <v>4441</v>
      </c>
      <c r="Z221" t="s">
        <v>4442</v>
      </c>
      <c r="AA221" t="s">
        <v>74</v>
      </c>
      <c r="AB221" t="s">
        <v>4443</v>
      </c>
      <c r="AC221" t="s">
        <v>74</v>
      </c>
      <c r="AD221" t="s">
        <v>74</v>
      </c>
      <c r="AE221" t="s">
        <v>74</v>
      </c>
      <c r="AF221" t="s">
        <v>74</v>
      </c>
      <c r="AG221">
        <v>56</v>
      </c>
      <c r="AH221">
        <v>29</v>
      </c>
      <c r="AI221">
        <v>33</v>
      </c>
      <c r="AJ221">
        <v>1</v>
      </c>
      <c r="AK221">
        <v>23</v>
      </c>
      <c r="AL221" t="s">
        <v>655</v>
      </c>
      <c r="AM221" t="s">
        <v>1442</v>
      </c>
      <c r="AN221" t="s">
        <v>1443</v>
      </c>
      <c r="AO221" t="s">
        <v>4444</v>
      </c>
      <c r="AP221" t="s">
        <v>4445</v>
      </c>
      <c r="AQ221" t="s">
        <v>74</v>
      </c>
      <c r="AR221" t="s">
        <v>4446</v>
      </c>
      <c r="AS221" t="s">
        <v>4447</v>
      </c>
      <c r="AT221" t="s">
        <v>3442</v>
      </c>
      <c r="AU221">
        <v>2012</v>
      </c>
      <c r="AV221">
        <v>143</v>
      </c>
      <c r="AW221">
        <v>1</v>
      </c>
      <c r="AX221" t="s">
        <v>74</v>
      </c>
      <c r="AY221" t="s">
        <v>74</v>
      </c>
      <c r="AZ221" t="s">
        <v>1913</v>
      </c>
      <c r="BA221" t="s">
        <v>74</v>
      </c>
      <c r="BB221">
        <v>189</v>
      </c>
      <c r="BC221">
        <v>206</v>
      </c>
      <c r="BD221" t="s">
        <v>74</v>
      </c>
      <c r="BE221" t="s">
        <v>4448</v>
      </c>
      <c r="BF221" t="str">
        <f>HYPERLINK("http://dx.doi.org/10.1007/s10546-011-9675-4","http://dx.doi.org/10.1007/s10546-011-9675-4")</f>
        <v>http://dx.doi.org/10.1007/s10546-011-9675-4</v>
      </c>
      <c r="BG221" t="s">
        <v>74</v>
      </c>
      <c r="BH221" t="s">
        <v>74</v>
      </c>
      <c r="BI221">
        <v>18</v>
      </c>
      <c r="BJ221" t="s">
        <v>128</v>
      </c>
      <c r="BK221" t="s">
        <v>2624</v>
      </c>
      <c r="BL221" t="s">
        <v>128</v>
      </c>
      <c r="BM221" t="s">
        <v>4449</v>
      </c>
      <c r="BN221" t="s">
        <v>74</v>
      </c>
      <c r="BO221" t="s">
        <v>1094</v>
      </c>
      <c r="BP221" t="s">
        <v>74</v>
      </c>
      <c r="BQ221" t="s">
        <v>74</v>
      </c>
      <c r="BR221" t="s">
        <v>101</v>
      </c>
      <c r="BS221" t="s">
        <v>4450</v>
      </c>
      <c r="BT221" t="str">
        <f>HYPERLINK("https%3A%2F%2Fwww.webofscience.com%2Fwos%2Fwoscc%2Ffull-record%2FWOS:000301460900013","View Full Record in Web of Science")</f>
        <v>View Full Record in Web of Science</v>
      </c>
    </row>
    <row r="222" spans="1:72" x14ac:dyDescent="0.15">
      <c r="A222" t="s">
        <v>72</v>
      </c>
      <c r="B222" t="s">
        <v>4451</v>
      </c>
      <c r="C222" t="s">
        <v>74</v>
      </c>
      <c r="D222" t="s">
        <v>74</v>
      </c>
      <c r="E222" t="s">
        <v>74</v>
      </c>
      <c r="F222" t="s">
        <v>4452</v>
      </c>
      <c r="G222" t="s">
        <v>74</v>
      </c>
      <c r="H222" t="s">
        <v>74</v>
      </c>
      <c r="I222" t="s">
        <v>4453</v>
      </c>
      <c r="J222" t="s">
        <v>2303</v>
      </c>
      <c r="K222" t="s">
        <v>74</v>
      </c>
      <c r="L222" t="s">
        <v>74</v>
      </c>
      <c r="M222" t="s">
        <v>78</v>
      </c>
      <c r="N222" t="s">
        <v>79</v>
      </c>
      <c r="O222" t="s">
        <v>74</v>
      </c>
      <c r="P222" t="s">
        <v>74</v>
      </c>
      <c r="Q222" t="s">
        <v>74</v>
      </c>
      <c r="R222" t="s">
        <v>74</v>
      </c>
      <c r="S222" t="s">
        <v>74</v>
      </c>
      <c r="T222" t="s">
        <v>4454</v>
      </c>
      <c r="U222" t="s">
        <v>4455</v>
      </c>
      <c r="V222" t="s">
        <v>4456</v>
      </c>
      <c r="W222" t="s">
        <v>4457</v>
      </c>
      <c r="X222" t="s">
        <v>4458</v>
      </c>
      <c r="Y222" t="s">
        <v>4459</v>
      </c>
      <c r="Z222" t="s">
        <v>4460</v>
      </c>
      <c r="AA222" t="s">
        <v>4461</v>
      </c>
      <c r="AB222" t="s">
        <v>4462</v>
      </c>
      <c r="AC222" t="s">
        <v>4463</v>
      </c>
      <c r="AD222" t="s">
        <v>4463</v>
      </c>
      <c r="AE222" t="s">
        <v>4464</v>
      </c>
      <c r="AF222" t="s">
        <v>74</v>
      </c>
      <c r="AG222">
        <v>40</v>
      </c>
      <c r="AH222">
        <v>18</v>
      </c>
      <c r="AI222">
        <v>22</v>
      </c>
      <c r="AJ222">
        <v>1</v>
      </c>
      <c r="AK222">
        <v>33</v>
      </c>
      <c r="AL222" t="s">
        <v>655</v>
      </c>
      <c r="AM222" t="s">
        <v>656</v>
      </c>
      <c r="AN222" t="s">
        <v>1908</v>
      </c>
      <c r="AO222" t="s">
        <v>2316</v>
      </c>
      <c r="AP222" t="s">
        <v>2338</v>
      </c>
      <c r="AQ222" t="s">
        <v>74</v>
      </c>
      <c r="AR222" t="s">
        <v>2317</v>
      </c>
      <c r="AS222" t="s">
        <v>2318</v>
      </c>
      <c r="AT222" t="s">
        <v>3442</v>
      </c>
      <c r="AU222">
        <v>2012</v>
      </c>
      <c r="AV222">
        <v>35</v>
      </c>
      <c r="AW222">
        <v>4</v>
      </c>
      <c r="AX222" t="s">
        <v>74</v>
      </c>
      <c r="AY222" t="s">
        <v>74</v>
      </c>
      <c r="AZ222" t="s">
        <v>74</v>
      </c>
      <c r="BA222" t="s">
        <v>74</v>
      </c>
      <c r="BB222">
        <v>491</v>
      </c>
      <c r="BC222">
        <v>497</v>
      </c>
      <c r="BD222" t="s">
        <v>74</v>
      </c>
      <c r="BE222" t="s">
        <v>4465</v>
      </c>
      <c r="BF222" t="str">
        <f>HYPERLINK("http://dx.doi.org/10.1007/s00300-011-1093-z","http://dx.doi.org/10.1007/s00300-011-1093-z")</f>
        <v>http://dx.doi.org/10.1007/s00300-011-1093-z</v>
      </c>
      <c r="BG222" t="s">
        <v>74</v>
      </c>
      <c r="BH222" t="s">
        <v>74</v>
      </c>
      <c r="BI222">
        <v>7</v>
      </c>
      <c r="BJ222" t="s">
        <v>2320</v>
      </c>
      <c r="BK222" t="s">
        <v>99</v>
      </c>
      <c r="BL222" t="s">
        <v>1784</v>
      </c>
      <c r="BM222" t="s">
        <v>4466</v>
      </c>
      <c r="BN222" t="s">
        <v>74</v>
      </c>
      <c r="BO222" t="s">
        <v>74</v>
      </c>
      <c r="BP222" t="s">
        <v>74</v>
      </c>
      <c r="BQ222" t="s">
        <v>74</v>
      </c>
      <c r="BR222" t="s">
        <v>101</v>
      </c>
      <c r="BS222" t="s">
        <v>4467</v>
      </c>
      <c r="BT222" t="str">
        <f>HYPERLINK("https%3A%2F%2Fwww.webofscience.com%2Fwos%2Fwoscc%2Ffull-record%2FWOS:000301451600002","View Full Record in Web of Science")</f>
        <v>View Full Record in Web of Science</v>
      </c>
    </row>
    <row r="223" spans="1:72" x14ac:dyDescent="0.15">
      <c r="A223" t="s">
        <v>72</v>
      </c>
      <c r="B223" t="s">
        <v>4468</v>
      </c>
      <c r="C223" t="s">
        <v>74</v>
      </c>
      <c r="D223" t="s">
        <v>74</v>
      </c>
      <c r="E223" t="s">
        <v>74</v>
      </c>
      <c r="F223" t="s">
        <v>4469</v>
      </c>
      <c r="G223" t="s">
        <v>74</v>
      </c>
      <c r="H223" t="s">
        <v>74</v>
      </c>
      <c r="I223" t="s">
        <v>4470</v>
      </c>
      <c r="J223" t="s">
        <v>2303</v>
      </c>
      <c r="K223" t="s">
        <v>74</v>
      </c>
      <c r="L223" t="s">
        <v>74</v>
      </c>
      <c r="M223" t="s">
        <v>78</v>
      </c>
      <c r="N223" t="s">
        <v>79</v>
      </c>
      <c r="O223" t="s">
        <v>74</v>
      </c>
      <c r="P223" t="s">
        <v>74</v>
      </c>
      <c r="Q223" t="s">
        <v>74</v>
      </c>
      <c r="R223" t="s">
        <v>74</v>
      </c>
      <c r="S223" t="s">
        <v>74</v>
      </c>
      <c r="T223" t="s">
        <v>4471</v>
      </c>
      <c r="U223" t="s">
        <v>4472</v>
      </c>
      <c r="V223" t="s">
        <v>4473</v>
      </c>
      <c r="W223" t="s">
        <v>4474</v>
      </c>
      <c r="X223" t="s">
        <v>4475</v>
      </c>
      <c r="Y223" t="s">
        <v>4476</v>
      </c>
      <c r="Z223" t="s">
        <v>4477</v>
      </c>
      <c r="AA223" t="s">
        <v>4478</v>
      </c>
      <c r="AB223" t="s">
        <v>4479</v>
      </c>
      <c r="AC223" t="s">
        <v>4480</v>
      </c>
      <c r="AD223" t="s">
        <v>4481</v>
      </c>
      <c r="AE223" t="s">
        <v>4482</v>
      </c>
      <c r="AF223" t="s">
        <v>74</v>
      </c>
      <c r="AG223">
        <v>67</v>
      </c>
      <c r="AH223">
        <v>15</v>
      </c>
      <c r="AI223">
        <v>16</v>
      </c>
      <c r="AJ223">
        <v>0</v>
      </c>
      <c r="AK223">
        <v>46</v>
      </c>
      <c r="AL223" t="s">
        <v>655</v>
      </c>
      <c r="AM223" t="s">
        <v>656</v>
      </c>
      <c r="AN223" t="s">
        <v>657</v>
      </c>
      <c r="AO223" t="s">
        <v>2316</v>
      </c>
      <c r="AP223" t="s">
        <v>2338</v>
      </c>
      <c r="AQ223" t="s">
        <v>74</v>
      </c>
      <c r="AR223" t="s">
        <v>2317</v>
      </c>
      <c r="AS223" t="s">
        <v>2318</v>
      </c>
      <c r="AT223" t="s">
        <v>3442</v>
      </c>
      <c r="AU223">
        <v>2012</v>
      </c>
      <c r="AV223">
        <v>35</v>
      </c>
      <c r="AW223">
        <v>4</v>
      </c>
      <c r="AX223" t="s">
        <v>74</v>
      </c>
      <c r="AY223" t="s">
        <v>74</v>
      </c>
      <c r="AZ223" t="s">
        <v>74</v>
      </c>
      <c r="BA223" t="s">
        <v>74</v>
      </c>
      <c r="BB223">
        <v>509</v>
      </c>
      <c r="BC223">
        <v>517</v>
      </c>
      <c r="BD223" t="s">
        <v>74</v>
      </c>
      <c r="BE223" t="s">
        <v>4483</v>
      </c>
      <c r="BF223" t="str">
        <f>HYPERLINK("http://dx.doi.org/10.1007/s00300-011-1096-9","http://dx.doi.org/10.1007/s00300-011-1096-9")</f>
        <v>http://dx.doi.org/10.1007/s00300-011-1096-9</v>
      </c>
      <c r="BG223" t="s">
        <v>74</v>
      </c>
      <c r="BH223" t="s">
        <v>74</v>
      </c>
      <c r="BI223">
        <v>9</v>
      </c>
      <c r="BJ223" t="s">
        <v>2320</v>
      </c>
      <c r="BK223" t="s">
        <v>99</v>
      </c>
      <c r="BL223" t="s">
        <v>1784</v>
      </c>
      <c r="BM223" t="s">
        <v>4466</v>
      </c>
      <c r="BN223" t="s">
        <v>74</v>
      </c>
      <c r="BO223" t="s">
        <v>74</v>
      </c>
      <c r="BP223" t="s">
        <v>74</v>
      </c>
      <c r="BQ223" t="s">
        <v>74</v>
      </c>
      <c r="BR223" t="s">
        <v>101</v>
      </c>
      <c r="BS223" t="s">
        <v>4484</v>
      </c>
      <c r="BT223" t="str">
        <f>HYPERLINK("https%3A%2F%2Fwww.webofscience.com%2Fwos%2Fwoscc%2Ffull-record%2FWOS:000301451600004","View Full Record in Web of Science")</f>
        <v>View Full Record in Web of Science</v>
      </c>
    </row>
    <row r="224" spans="1:72" x14ac:dyDescent="0.15">
      <c r="A224" t="s">
        <v>72</v>
      </c>
      <c r="B224" t="s">
        <v>4485</v>
      </c>
      <c r="C224" t="s">
        <v>74</v>
      </c>
      <c r="D224" t="s">
        <v>74</v>
      </c>
      <c r="E224" t="s">
        <v>74</v>
      </c>
      <c r="F224" t="s">
        <v>4486</v>
      </c>
      <c r="G224" t="s">
        <v>74</v>
      </c>
      <c r="H224" t="s">
        <v>74</v>
      </c>
      <c r="I224" t="s">
        <v>4487</v>
      </c>
      <c r="J224" t="s">
        <v>2303</v>
      </c>
      <c r="K224" t="s">
        <v>74</v>
      </c>
      <c r="L224" t="s">
        <v>74</v>
      </c>
      <c r="M224" t="s">
        <v>78</v>
      </c>
      <c r="N224" t="s">
        <v>79</v>
      </c>
      <c r="O224" t="s">
        <v>74</v>
      </c>
      <c r="P224" t="s">
        <v>74</v>
      </c>
      <c r="Q224" t="s">
        <v>74</v>
      </c>
      <c r="R224" t="s">
        <v>74</v>
      </c>
      <c r="S224" t="s">
        <v>74</v>
      </c>
      <c r="T224" t="s">
        <v>4488</v>
      </c>
      <c r="U224" t="s">
        <v>4489</v>
      </c>
      <c r="V224" t="s">
        <v>4490</v>
      </c>
      <c r="W224" t="s">
        <v>4491</v>
      </c>
      <c r="X224" t="s">
        <v>4492</v>
      </c>
      <c r="Y224" t="s">
        <v>4493</v>
      </c>
      <c r="Z224" t="s">
        <v>4494</v>
      </c>
      <c r="AA224" t="s">
        <v>4495</v>
      </c>
      <c r="AB224" t="s">
        <v>4496</v>
      </c>
      <c r="AC224" t="s">
        <v>4497</v>
      </c>
      <c r="AD224" t="s">
        <v>4498</v>
      </c>
      <c r="AE224" t="s">
        <v>4499</v>
      </c>
      <c r="AF224" t="s">
        <v>74</v>
      </c>
      <c r="AG224">
        <v>38</v>
      </c>
      <c r="AH224">
        <v>11</v>
      </c>
      <c r="AI224">
        <v>12</v>
      </c>
      <c r="AJ224">
        <v>0</v>
      </c>
      <c r="AK224">
        <v>14</v>
      </c>
      <c r="AL224" t="s">
        <v>655</v>
      </c>
      <c r="AM224" t="s">
        <v>656</v>
      </c>
      <c r="AN224" t="s">
        <v>1908</v>
      </c>
      <c r="AO224" t="s">
        <v>2316</v>
      </c>
      <c r="AP224" t="s">
        <v>2338</v>
      </c>
      <c r="AQ224" t="s">
        <v>74</v>
      </c>
      <c r="AR224" t="s">
        <v>2317</v>
      </c>
      <c r="AS224" t="s">
        <v>2318</v>
      </c>
      <c r="AT224" t="s">
        <v>3442</v>
      </c>
      <c r="AU224">
        <v>2012</v>
      </c>
      <c r="AV224">
        <v>35</v>
      </c>
      <c r="AW224">
        <v>4</v>
      </c>
      <c r="AX224" t="s">
        <v>74</v>
      </c>
      <c r="AY224" t="s">
        <v>74</v>
      </c>
      <c r="AZ224" t="s">
        <v>74</v>
      </c>
      <c r="BA224" t="s">
        <v>74</v>
      </c>
      <c r="BB224">
        <v>585</v>
      </c>
      <c r="BC224">
        <v>592</v>
      </c>
      <c r="BD224" t="s">
        <v>74</v>
      </c>
      <c r="BE224" t="s">
        <v>4500</v>
      </c>
      <c r="BF224" t="str">
        <f>HYPERLINK("http://dx.doi.org/10.1007/s00300-011-1104-0","http://dx.doi.org/10.1007/s00300-011-1104-0")</f>
        <v>http://dx.doi.org/10.1007/s00300-011-1104-0</v>
      </c>
      <c r="BG224" t="s">
        <v>74</v>
      </c>
      <c r="BH224" t="s">
        <v>74</v>
      </c>
      <c r="BI224">
        <v>8</v>
      </c>
      <c r="BJ224" t="s">
        <v>2320</v>
      </c>
      <c r="BK224" t="s">
        <v>99</v>
      </c>
      <c r="BL224" t="s">
        <v>1784</v>
      </c>
      <c r="BM224" t="s">
        <v>4466</v>
      </c>
      <c r="BN224" t="s">
        <v>74</v>
      </c>
      <c r="BO224" t="s">
        <v>328</v>
      </c>
      <c r="BP224" t="s">
        <v>74</v>
      </c>
      <c r="BQ224" t="s">
        <v>74</v>
      </c>
      <c r="BR224" t="s">
        <v>101</v>
      </c>
      <c r="BS224" t="s">
        <v>4501</v>
      </c>
      <c r="BT224" t="str">
        <f>HYPERLINK("https%3A%2F%2Fwww.webofscience.com%2Fwos%2Fwoscc%2Ffull-record%2FWOS:000301451600011","View Full Record in Web of Science")</f>
        <v>View Full Record in Web of Science</v>
      </c>
    </row>
    <row r="225" spans="1:72" x14ac:dyDescent="0.15">
      <c r="A225" t="s">
        <v>72</v>
      </c>
      <c r="B225" t="s">
        <v>4502</v>
      </c>
      <c r="C225" t="s">
        <v>74</v>
      </c>
      <c r="D225" t="s">
        <v>74</v>
      </c>
      <c r="E225" t="s">
        <v>74</v>
      </c>
      <c r="F225" t="s">
        <v>4503</v>
      </c>
      <c r="G225" t="s">
        <v>74</v>
      </c>
      <c r="H225" t="s">
        <v>74</v>
      </c>
      <c r="I225" t="s">
        <v>4504</v>
      </c>
      <c r="J225" t="s">
        <v>2303</v>
      </c>
      <c r="K225" t="s">
        <v>74</v>
      </c>
      <c r="L225" t="s">
        <v>74</v>
      </c>
      <c r="M225" t="s">
        <v>78</v>
      </c>
      <c r="N225" t="s">
        <v>79</v>
      </c>
      <c r="O225" t="s">
        <v>74</v>
      </c>
      <c r="P225" t="s">
        <v>74</v>
      </c>
      <c r="Q225" t="s">
        <v>74</v>
      </c>
      <c r="R225" t="s">
        <v>74</v>
      </c>
      <c r="S225" t="s">
        <v>74</v>
      </c>
      <c r="T225" t="s">
        <v>4505</v>
      </c>
      <c r="U225" t="s">
        <v>4506</v>
      </c>
      <c r="V225" t="s">
        <v>4507</v>
      </c>
      <c r="W225" t="s">
        <v>4508</v>
      </c>
      <c r="X225" t="s">
        <v>4509</v>
      </c>
      <c r="Y225" t="s">
        <v>4510</v>
      </c>
      <c r="Z225" t="s">
        <v>4511</v>
      </c>
      <c r="AA225" t="s">
        <v>4512</v>
      </c>
      <c r="AB225" t="s">
        <v>4513</v>
      </c>
      <c r="AC225" t="s">
        <v>4514</v>
      </c>
      <c r="AD225" t="s">
        <v>4515</v>
      </c>
      <c r="AE225" t="s">
        <v>4516</v>
      </c>
      <c r="AF225" t="s">
        <v>74</v>
      </c>
      <c r="AG225">
        <v>120</v>
      </c>
      <c r="AH225">
        <v>24</v>
      </c>
      <c r="AI225">
        <v>27</v>
      </c>
      <c r="AJ225">
        <v>0</v>
      </c>
      <c r="AK225">
        <v>31</v>
      </c>
      <c r="AL225" t="s">
        <v>655</v>
      </c>
      <c r="AM225" t="s">
        <v>656</v>
      </c>
      <c r="AN225" t="s">
        <v>1908</v>
      </c>
      <c r="AO225" t="s">
        <v>2316</v>
      </c>
      <c r="AP225" t="s">
        <v>2338</v>
      </c>
      <c r="AQ225" t="s">
        <v>74</v>
      </c>
      <c r="AR225" t="s">
        <v>2317</v>
      </c>
      <c r="AS225" t="s">
        <v>2318</v>
      </c>
      <c r="AT225" t="s">
        <v>3442</v>
      </c>
      <c r="AU225">
        <v>2012</v>
      </c>
      <c r="AV225">
        <v>35</v>
      </c>
      <c r="AW225">
        <v>4</v>
      </c>
      <c r="AX225" t="s">
        <v>74</v>
      </c>
      <c r="AY225" t="s">
        <v>74</v>
      </c>
      <c r="AZ225" t="s">
        <v>74</v>
      </c>
      <c r="BA225" t="s">
        <v>74</v>
      </c>
      <c r="BB225">
        <v>611</v>
      </c>
      <c r="BC225">
        <v>623</v>
      </c>
      <c r="BD225" t="s">
        <v>74</v>
      </c>
      <c r="BE225" t="s">
        <v>4517</v>
      </c>
      <c r="BF225" t="str">
        <f>HYPERLINK("http://dx.doi.org/10.1007/s00300-011-1106-y","http://dx.doi.org/10.1007/s00300-011-1106-y")</f>
        <v>http://dx.doi.org/10.1007/s00300-011-1106-y</v>
      </c>
      <c r="BG225" t="s">
        <v>74</v>
      </c>
      <c r="BH225" t="s">
        <v>74</v>
      </c>
      <c r="BI225">
        <v>13</v>
      </c>
      <c r="BJ225" t="s">
        <v>2320</v>
      </c>
      <c r="BK225" t="s">
        <v>99</v>
      </c>
      <c r="BL225" t="s">
        <v>1784</v>
      </c>
      <c r="BM225" t="s">
        <v>4466</v>
      </c>
      <c r="BN225" t="s">
        <v>74</v>
      </c>
      <c r="BO225" t="s">
        <v>74</v>
      </c>
      <c r="BP225" t="s">
        <v>74</v>
      </c>
      <c r="BQ225" t="s">
        <v>74</v>
      </c>
      <c r="BR225" t="s">
        <v>101</v>
      </c>
      <c r="BS225" t="s">
        <v>4518</v>
      </c>
      <c r="BT225" t="str">
        <f>HYPERLINK("https%3A%2F%2Fwww.webofscience.com%2Fwos%2Fwoscc%2Ffull-record%2FWOS:000301451600013","View Full Record in Web of Science")</f>
        <v>View Full Record in Web of Science</v>
      </c>
    </row>
    <row r="226" spans="1:72" x14ac:dyDescent="0.15">
      <c r="A226" t="s">
        <v>72</v>
      </c>
      <c r="B226" t="s">
        <v>4519</v>
      </c>
      <c r="C226" t="s">
        <v>74</v>
      </c>
      <c r="D226" t="s">
        <v>74</v>
      </c>
      <c r="E226" t="s">
        <v>74</v>
      </c>
      <c r="F226" t="s">
        <v>4520</v>
      </c>
      <c r="G226" t="s">
        <v>74</v>
      </c>
      <c r="H226" t="s">
        <v>74</v>
      </c>
      <c r="I226" t="s">
        <v>4521</v>
      </c>
      <c r="J226" t="s">
        <v>4522</v>
      </c>
      <c r="K226" t="s">
        <v>74</v>
      </c>
      <c r="L226" t="s">
        <v>74</v>
      </c>
      <c r="M226" t="s">
        <v>78</v>
      </c>
      <c r="N226" t="s">
        <v>79</v>
      </c>
      <c r="O226" t="s">
        <v>74</v>
      </c>
      <c r="P226" t="s">
        <v>74</v>
      </c>
      <c r="Q226" t="s">
        <v>74</v>
      </c>
      <c r="R226" t="s">
        <v>74</v>
      </c>
      <c r="S226" t="s">
        <v>74</v>
      </c>
      <c r="T226" t="s">
        <v>4523</v>
      </c>
      <c r="U226" t="s">
        <v>4524</v>
      </c>
      <c r="V226" t="s">
        <v>4525</v>
      </c>
      <c r="W226" t="s">
        <v>4526</v>
      </c>
      <c r="X226" t="s">
        <v>4527</v>
      </c>
      <c r="Y226" t="s">
        <v>4528</v>
      </c>
      <c r="Z226" t="s">
        <v>4529</v>
      </c>
      <c r="AA226" t="s">
        <v>4530</v>
      </c>
      <c r="AB226" t="s">
        <v>4531</v>
      </c>
      <c r="AC226" t="s">
        <v>4532</v>
      </c>
      <c r="AD226" t="s">
        <v>4533</v>
      </c>
      <c r="AE226" t="s">
        <v>4534</v>
      </c>
      <c r="AF226" t="s">
        <v>74</v>
      </c>
      <c r="AG226">
        <v>21</v>
      </c>
      <c r="AH226">
        <v>15</v>
      </c>
      <c r="AI226">
        <v>16</v>
      </c>
      <c r="AJ226">
        <v>1</v>
      </c>
      <c r="AK226">
        <v>34</v>
      </c>
      <c r="AL226" t="s">
        <v>935</v>
      </c>
      <c r="AM226" t="s">
        <v>369</v>
      </c>
      <c r="AN226" t="s">
        <v>936</v>
      </c>
      <c r="AO226" t="s">
        <v>4535</v>
      </c>
      <c r="AP226" t="s">
        <v>4536</v>
      </c>
      <c r="AQ226" t="s">
        <v>74</v>
      </c>
      <c r="AR226" t="s">
        <v>4537</v>
      </c>
      <c r="AS226" t="s">
        <v>4538</v>
      </c>
      <c r="AT226" t="s">
        <v>3442</v>
      </c>
      <c r="AU226">
        <v>2012</v>
      </c>
      <c r="AV226">
        <v>106</v>
      </c>
      <c r="AW226" t="s">
        <v>74</v>
      </c>
      <c r="AX226" t="s">
        <v>74</v>
      </c>
      <c r="AY226" t="s">
        <v>74</v>
      </c>
      <c r="AZ226" t="s">
        <v>1913</v>
      </c>
      <c r="BA226" t="s">
        <v>74</v>
      </c>
      <c r="BB226">
        <v>60</v>
      </c>
      <c r="BC226">
        <v>69</v>
      </c>
      <c r="BD226" t="s">
        <v>74</v>
      </c>
      <c r="BE226" t="s">
        <v>4539</v>
      </c>
      <c r="BF226" t="str">
        <f>HYPERLINK("http://dx.doi.org/10.1016/j.agwat.2011.06.004","http://dx.doi.org/10.1016/j.agwat.2011.06.004")</f>
        <v>http://dx.doi.org/10.1016/j.agwat.2011.06.004</v>
      </c>
      <c r="BG226" t="s">
        <v>74</v>
      </c>
      <c r="BH226" t="s">
        <v>74</v>
      </c>
      <c r="BI226">
        <v>10</v>
      </c>
      <c r="BJ226" t="s">
        <v>4540</v>
      </c>
      <c r="BK226" t="s">
        <v>99</v>
      </c>
      <c r="BL226" t="s">
        <v>4541</v>
      </c>
      <c r="BM226" t="s">
        <v>4542</v>
      </c>
      <c r="BN226" t="s">
        <v>74</v>
      </c>
      <c r="BO226" t="s">
        <v>74</v>
      </c>
      <c r="BP226" t="s">
        <v>74</v>
      </c>
      <c r="BQ226" t="s">
        <v>74</v>
      </c>
      <c r="BR226" t="s">
        <v>101</v>
      </c>
      <c r="BS226" t="s">
        <v>4543</v>
      </c>
      <c r="BT226" t="str">
        <f>HYPERLINK("https%3A%2F%2Fwww.webofscience.com%2Fwos%2Fwoscc%2Ffull-record%2FWOS:000303078100009","View Full Record in Web of Science")</f>
        <v>View Full Record in Web of Science</v>
      </c>
    </row>
    <row r="227" spans="1:72" x14ac:dyDescent="0.15">
      <c r="A227" t="s">
        <v>72</v>
      </c>
      <c r="B227" t="s">
        <v>4544</v>
      </c>
      <c r="C227" t="s">
        <v>74</v>
      </c>
      <c r="D227" t="s">
        <v>74</v>
      </c>
      <c r="E227" t="s">
        <v>74</v>
      </c>
      <c r="F227" t="s">
        <v>4545</v>
      </c>
      <c r="G227" t="s">
        <v>74</v>
      </c>
      <c r="H227" t="s">
        <v>74</v>
      </c>
      <c r="I227" t="s">
        <v>4546</v>
      </c>
      <c r="J227" t="s">
        <v>4522</v>
      </c>
      <c r="K227" t="s">
        <v>74</v>
      </c>
      <c r="L227" t="s">
        <v>74</v>
      </c>
      <c r="M227" t="s">
        <v>78</v>
      </c>
      <c r="N227" t="s">
        <v>79</v>
      </c>
      <c r="O227" t="s">
        <v>74</v>
      </c>
      <c r="P227" t="s">
        <v>74</v>
      </c>
      <c r="Q227" t="s">
        <v>74</v>
      </c>
      <c r="R227" t="s">
        <v>74</v>
      </c>
      <c r="S227" t="s">
        <v>74</v>
      </c>
      <c r="T227" t="s">
        <v>4547</v>
      </c>
      <c r="U227" t="s">
        <v>4548</v>
      </c>
      <c r="V227" t="s">
        <v>4549</v>
      </c>
      <c r="W227" t="s">
        <v>4550</v>
      </c>
      <c r="X227" t="s">
        <v>4527</v>
      </c>
      <c r="Y227" t="s">
        <v>4551</v>
      </c>
      <c r="Z227" t="s">
        <v>4529</v>
      </c>
      <c r="AA227" t="s">
        <v>4552</v>
      </c>
      <c r="AB227" t="s">
        <v>4553</v>
      </c>
      <c r="AC227" t="s">
        <v>4532</v>
      </c>
      <c r="AD227" t="s">
        <v>4533</v>
      </c>
      <c r="AE227" t="s">
        <v>4554</v>
      </c>
      <c r="AF227" t="s">
        <v>74</v>
      </c>
      <c r="AG227">
        <v>30</v>
      </c>
      <c r="AH227">
        <v>15</v>
      </c>
      <c r="AI227">
        <v>16</v>
      </c>
      <c r="AJ227">
        <v>0</v>
      </c>
      <c r="AK227">
        <v>28</v>
      </c>
      <c r="AL227" t="s">
        <v>368</v>
      </c>
      <c r="AM227" t="s">
        <v>369</v>
      </c>
      <c r="AN227" t="s">
        <v>370</v>
      </c>
      <c r="AO227" t="s">
        <v>4535</v>
      </c>
      <c r="AP227" t="s">
        <v>74</v>
      </c>
      <c r="AQ227" t="s">
        <v>74</v>
      </c>
      <c r="AR227" t="s">
        <v>4537</v>
      </c>
      <c r="AS227" t="s">
        <v>4538</v>
      </c>
      <c r="AT227" t="s">
        <v>3442</v>
      </c>
      <c r="AU227">
        <v>2012</v>
      </c>
      <c r="AV227">
        <v>106</v>
      </c>
      <c r="AW227" t="s">
        <v>74</v>
      </c>
      <c r="AX227" t="s">
        <v>74</v>
      </c>
      <c r="AY227" t="s">
        <v>74</v>
      </c>
      <c r="AZ227" t="s">
        <v>1913</v>
      </c>
      <c r="BA227" t="s">
        <v>74</v>
      </c>
      <c r="BB227">
        <v>70</v>
      </c>
      <c r="BC227">
        <v>77</v>
      </c>
      <c r="BD227" t="s">
        <v>74</v>
      </c>
      <c r="BE227" t="s">
        <v>4555</v>
      </c>
      <c r="BF227" t="str">
        <f>HYPERLINK("http://dx.doi.org/10.1016/j.agwat.2011.07.012","http://dx.doi.org/10.1016/j.agwat.2011.07.012")</f>
        <v>http://dx.doi.org/10.1016/j.agwat.2011.07.012</v>
      </c>
      <c r="BG227" t="s">
        <v>74</v>
      </c>
      <c r="BH227" t="s">
        <v>74</v>
      </c>
      <c r="BI227">
        <v>8</v>
      </c>
      <c r="BJ227" t="s">
        <v>4540</v>
      </c>
      <c r="BK227" t="s">
        <v>99</v>
      </c>
      <c r="BL227" t="s">
        <v>4541</v>
      </c>
      <c r="BM227" t="s">
        <v>4542</v>
      </c>
      <c r="BN227" t="s">
        <v>74</v>
      </c>
      <c r="BO227" t="s">
        <v>74</v>
      </c>
      <c r="BP227" t="s">
        <v>74</v>
      </c>
      <c r="BQ227" t="s">
        <v>74</v>
      </c>
      <c r="BR227" t="s">
        <v>101</v>
      </c>
      <c r="BS227" t="s">
        <v>4556</v>
      </c>
      <c r="BT227" t="str">
        <f>HYPERLINK("https%3A%2F%2Fwww.webofscience.com%2Fwos%2Fwoscc%2Ffull-record%2FWOS:000303078100010","View Full Record in Web of Science")</f>
        <v>View Full Record in Web of Science</v>
      </c>
    </row>
    <row r="228" spans="1:72" x14ac:dyDescent="0.15">
      <c r="A228" t="s">
        <v>72</v>
      </c>
      <c r="B228" t="s">
        <v>4557</v>
      </c>
      <c r="C228" t="s">
        <v>74</v>
      </c>
      <c r="D228" t="s">
        <v>74</v>
      </c>
      <c r="E228" t="s">
        <v>74</v>
      </c>
      <c r="F228" t="s">
        <v>4558</v>
      </c>
      <c r="G228" t="s">
        <v>74</v>
      </c>
      <c r="H228" t="s">
        <v>74</v>
      </c>
      <c r="I228" t="s">
        <v>4559</v>
      </c>
      <c r="J228" t="s">
        <v>4522</v>
      </c>
      <c r="K228" t="s">
        <v>74</v>
      </c>
      <c r="L228" t="s">
        <v>74</v>
      </c>
      <c r="M228" t="s">
        <v>78</v>
      </c>
      <c r="N228" t="s">
        <v>79</v>
      </c>
      <c r="O228" t="s">
        <v>74</v>
      </c>
      <c r="P228" t="s">
        <v>74</v>
      </c>
      <c r="Q228" t="s">
        <v>74</v>
      </c>
      <c r="R228" t="s">
        <v>74</v>
      </c>
      <c r="S228" t="s">
        <v>74</v>
      </c>
      <c r="T228" t="s">
        <v>4560</v>
      </c>
      <c r="U228" t="s">
        <v>4561</v>
      </c>
      <c r="V228" t="s">
        <v>4562</v>
      </c>
      <c r="W228" t="s">
        <v>4563</v>
      </c>
      <c r="X228" t="s">
        <v>4527</v>
      </c>
      <c r="Y228" t="s">
        <v>4564</v>
      </c>
      <c r="Z228" t="s">
        <v>4529</v>
      </c>
      <c r="AA228" t="s">
        <v>4565</v>
      </c>
      <c r="AB228" t="s">
        <v>4531</v>
      </c>
      <c r="AC228" t="s">
        <v>4532</v>
      </c>
      <c r="AD228" t="s">
        <v>4533</v>
      </c>
      <c r="AE228" t="s">
        <v>4566</v>
      </c>
      <c r="AF228" t="s">
        <v>74</v>
      </c>
      <c r="AG228">
        <v>25</v>
      </c>
      <c r="AH228">
        <v>15</v>
      </c>
      <c r="AI228">
        <v>16</v>
      </c>
      <c r="AJ228">
        <v>0</v>
      </c>
      <c r="AK228">
        <v>28</v>
      </c>
      <c r="AL228" t="s">
        <v>935</v>
      </c>
      <c r="AM228" t="s">
        <v>369</v>
      </c>
      <c r="AN228" t="s">
        <v>936</v>
      </c>
      <c r="AO228" t="s">
        <v>4535</v>
      </c>
      <c r="AP228" t="s">
        <v>4536</v>
      </c>
      <c r="AQ228" t="s">
        <v>74</v>
      </c>
      <c r="AR228" t="s">
        <v>4537</v>
      </c>
      <c r="AS228" t="s">
        <v>4538</v>
      </c>
      <c r="AT228" t="s">
        <v>3442</v>
      </c>
      <c r="AU228">
        <v>2012</v>
      </c>
      <c r="AV228">
        <v>106</v>
      </c>
      <c r="AW228" t="s">
        <v>74</v>
      </c>
      <c r="AX228" t="s">
        <v>74</v>
      </c>
      <c r="AY228" t="s">
        <v>74</v>
      </c>
      <c r="AZ228" t="s">
        <v>1913</v>
      </c>
      <c r="BA228" t="s">
        <v>74</v>
      </c>
      <c r="BB228">
        <v>78</v>
      </c>
      <c r="BC228">
        <v>85</v>
      </c>
      <c r="BD228" t="s">
        <v>74</v>
      </c>
      <c r="BE228" t="s">
        <v>4567</v>
      </c>
      <c r="BF228" t="str">
        <f>HYPERLINK("http://dx.doi.org/10.1016/j.agwat.2011.11.001","http://dx.doi.org/10.1016/j.agwat.2011.11.001")</f>
        <v>http://dx.doi.org/10.1016/j.agwat.2011.11.001</v>
      </c>
      <c r="BG228" t="s">
        <v>74</v>
      </c>
      <c r="BH228" t="s">
        <v>74</v>
      </c>
      <c r="BI228">
        <v>8</v>
      </c>
      <c r="BJ228" t="s">
        <v>4540</v>
      </c>
      <c r="BK228" t="s">
        <v>99</v>
      </c>
      <c r="BL228" t="s">
        <v>4541</v>
      </c>
      <c r="BM228" t="s">
        <v>4542</v>
      </c>
      <c r="BN228" t="s">
        <v>74</v>
      </c>
      <c r="BO228" t="s">
        <v>74</v>
      </c>
      <c r="BP228" t="s">
        <v>74</v>
      </c>
      <c r="BQ228" t="s">
        <v>74</v>
      </c>
      <c r="BR228" t="s">
        <v>101</v>
      </c>
      <c r="BS228" t="s">
        <v>4568</v>
      </c>
      <c r="BT228" t="str">
        <f>HYPERLINK("https%3A%2F%2Fwww.webofscience.com%2Fwos%2Fwoscc%2Ffull-record%2FWOS:000303078100011","View Full Record in Web of Science")</f>
        <v>View Full Record in Web of Science</v>
      </c>
    </row>
    <row r="229" spans="1:72" x14ac:dyDescent="0.15">
      <c r="A229" t="s">
        <v>72</v>
      </c>
      <c r="B229" t="s">
        <v>4569</v>
      </c>
      <c r="C229" t="s">
        <v>74</v>
      </c>
      <c r="D229" t="s">
        <v>74</v>
      </c>
      <c r="E229" t="s">
        <v>74</v>
      </c>
      <c r="F229" t="s">
        <v>4570</v>
      </c>
      <c r="G229" t="s">
        <v>74</v>
      </c>
      <c r="H229" t="s">
        <v>74</v>
      </c>
      <c r="I229" t="s">
        <v>4571</v>
      </c>
      <c r="J229" t="s">
        <v>4572</v>
      </c>
      <c r="K229" t="s">
        <v>74</v>
      </c>
      <c r="L229" t="s">
        <v>74</v>
      </c>
      <c r="M229" t="s">
        <v>78</v>
      </c>
      <c r="N229" t="s">
        <v>79</v>
      </c>
      <c r="O229" t="s">
        <v>74</v>
      </c>
      <c r="P229" t="s">
        <v>74</v>
      </c>
      <c r="Q229" t="s">
        <v>74</v>
      </c>
      <c r="R229" t="s">
        <v>74</v>
      </c>
      <c r="S229" t="s">
        <v>74</v>
      </c>
      <c r="T229" t="s">
        <v>4573</v>
      </c>
      <c r="U229" t="s">
        <v>4574</v>
      </c>
      <c r="V229" t="s">
        <v>4575</v>
      </c>
      <c r="W229" t="s">
        <v>4576</v>
      </c>
      <c r="X229" t="s">
        <v>4577</v>
      </c>
      <c r="Y229" t="s">
        <v>4578</v>
      </c>
      <c r="Z229" t="s">
        <v>4579</v>
      </c>
      <c r="AA229" t="s">
        <v>4580</v>
      </c>
      <c r="AB229" t="s">
        <v>4581</v>
      </c>
      <c r="AC229" t="s">
        <v>4582</v>
      </c>
      <c r="AD229" t="s">
        <v>4582</v>
      </c>
      <c r="AE229" t="s">
        <v>4583</v>
      </c>
      <c r="AF229" t="s">
        <v>74</v>
      </c>
      <c r="AG229">
        <v>13</v>
      </c>
      <c r="AH229">
        <v>8</v>
      </c>
      <c r="AI229">
        <v>9</v>
      </c>
      <c r="AJ229">
        <v>0</v>
      </c>
      <c r="AK229">
        <v>12</v>
      </c>
      <c r="AL229" t="s">
        <v>627</v>
      </c>
      <c r="AM229" t="s">
        <v>628</v>
      </c>
      <c r="AN229" t="s">
        <v>629</v>
      </c>
      <c r="AO229" t="s">
        <v>4584</v>
      </c>
      <c r="AP229" t="s">
        <v>4585</v>
      </c>
      <c r="AQ229" t="s">
        <v>74</v>
      </c>
      <c r="AR229" t="s">
        <v>4586</v>
      </c>
      <c r="AS229" t="s">
        <v>4587</v>
      </c>
      <c r="AT229" t="s">
        <v>3442</v>
      </c>
      <c r="AU229">
        <v>2012</v>
      </c>
      <c r="AV229">
        <v>99</v>
      </c>
      <c r="AW229">
        <v>4</v>
      </c>
      <c r="AX229" t="s">
        <v>74</v>
      </c>
      <c r="AY229" t="s">
        <v>74</v>
      </c>
      <c r="AZ229" t="s">
        <v>74</v>
      </c>
      <c r="BA229" t="s">
        <v>74</v>
      </c>
      <c r="BB229" t="s">
        <v>4588</v>
      </c>
      <c r="BC229" t="s">
        <v>4589</v>
      </c>
      <c r="BD229" t="s">
        <v>74</v>
      </c>
      <c r="BE229" t="s">
        <v>4590</v>
      </c>
      <c r="BF229" t="str">
        <f>HYPERLINK("http://dx.doi.org/10.3732/ajb.1100440","http://dx.doi.org/10.3732/ajb.1100440")</f>
        <v>http://dx.doi.org/10.3732/ajb.1100440</v>
      </c>
      <c r="BG229" t="s">
        <v>74</v>
      </c>
      <c r="BH229" t="s">
        <v>74</v>
      </c>
      <c r="BI229">
        <v>3</v>
      </c>
      <c r="BJ229" t="s">
        <v>396</v>
      </c>
      <c r="BK229" t="s">
        <v>99</v>
      </c>
      <c r="BL229" t="s">
        <v>396</v>
      </c>
      <c r="BM229" t="s">
        <v>4591</v>
      </c>
      <c r="BN229">
        <v>22447983</v>
      </c>
      <c r="BO229" t="s">
        <v>308</v>
      </c>
      <c r="BP229" t="s">
        <v>74</v>
      </c>
      <c r="BQ229" t="s">
        <v>74</v>
      </c>
      <c r="BR229" t="s">
        <v>101</v>
      </c>
      <c r="BS229" t="s">
        <v>4592</v>
      </c>
      <c r="BT229" t="str">
        <f>HYPERLINK("https%3A%2F%2Fwww.webofscience.com%2Fwos%2Fwoscc%2Ffull-record%2FWOS:000302810400001","View Full Record in Web of Science")</f>
        <v>View Full Record in Web of Science</v>
      </c>
    </row>
    <row r="230" spans="1:72" x14ac:dyDescent="0.15">
      <c r="A230" t="s">
        <v>72</v>
      </c>
      <c r="B230" t="s">
        <v>4593</v>
      </c>
      <c r="C230" t="s">
        <v>74</v>
      </c>
      <c r="D230" t="s">
        <v>74</v>
      </c>
      <c r="E230" t="s">
        <v>74</v>
      </c>
      <c r="F230" t="s">
        <v>4594</v>
      </c>
      <c r="G230" t="s">
        <v>74</v>
      </c>
      <c r="H230" t="s">
        <v>74</v>
      </c>
      <c r="I230" t="s">
        <v>4595</v>
      </c>
      <c r="J230" t="s">
        <v>4596</v>
      </c>
      <c r="K230" t="s">
        <v>74</v>
      </c>
      <c r="L230" t="s">
        <v>74</v>
      </c>
      <c r="M230" t="s">
        <v>78</v>
      </c>
      <c r="N230" t="s">
        <v>79</v>
      </c>
      <c r="O230" t="s">
        <v>74</v>
      </c>
      <c r="P230" t="s">
        <v>74</v>
      </c>
      <c r="Q230" t="s">
        <v>74</v>
      </c>
      <c r="R230" t="s">
        <v>74</v>
      </c>
      <c r="S230" t="s">
        <v>74</v>
      </c>
      <c r="T230" t="s">
        <v>4597</v>
      </c>
      <c r="U230" t="s">
        <v>4598</v>
      </c>
      <c r="V230" t="s">
        <v>4599</v>
      </c>
      <c r="W230" t="s">
        <v>4600</v>
      </c>
      <c r="X230" t="s">
        <v>4601</v>
      </c>
      <c r="Y230" t="s">
        <v>4602</v>
      </c>
      <c r="Z230" t="s">
        <v>4603</v>
      </c>
      <c r="AA230" t="s">
        <v>4604</v>
      </c>
      <c r="AB230" t="s">
        <v>4605</v>
      </c>
      <c r="AC230" t="s">
        <v>4606</v>
      </c>
      <c r="AD230" t="s">
        <v>4607</v>
      </c>
      <c r="AE230" t="s">
        <v>4608</v>
      </c>
      <c r="AF230" t="s">
        <v>74</v>
      </c>
      <c r="AG230">
        <v>58</v>
      </c>
      <c r="AH230">
        <v>49</v>
      </c>
      <c r="AI230">
        <v>53</v>
      </c>
      <c r="AJ230">
        <v>2</v>
      </c>
      <c r="AK230">
        <v>61</v>
      </c>
      <c r="AL230" t="s">
        <v>2414</v>
      </c>
      <c r="AM230" t="s">
        <v>2415</v>
      </c>
      <c r="AN230" t="s">
        <v>2416</v>
      </c>
      <c r="AO230" t="s">
        <v>4609</v>
      </c>
      <c r="AP230" t="s">
        <v>4610</v>
      </c>
      <c r="AQ230" t="s">
        <v>74</v>
      </c>
      <c r="AR230" t="s">
        <v>4611</v>
      </c>
      <c r="AS230" t="s">
        <v>4612</v>
      </c>
      <c r="AT230" t="s">
        <v>3442</v>
      </c>
      <c r="AU230">
        <v>2012</v>
      </c>
      <c r="AV230">
        <v>403</v>
      </c>
      <c r="AW230">
        <v>1</v>
      </c>
      <c r="AX230" t="s">
        <v>74</v>
      </c>
      <c r="AY230" t="s">
        <v>74</v>
      </c>
      <c r="AZ230" t="s">
        <v>74</v>
      </c>
      <c r="BA230" t="s">
        <v>74</v>
      </c>
      <c r="BB230">
        <v>131</v>
      </c>
      <c r="BC230">
        <v>144</v>
      </c>
      <c r="BD230" t="s">
        <v>74</v>
      </c>
      <c r="BE230" t="s">
        <v>4613</v>
      </c>
      <c r="BF230" t="str">
        <f>HYPERLINK("http://dx.doi.org/10.1007/s00216-012-5829-6","http://dx.doi.org/10.1007/s00216-012-5829-6")</f>
        <v>http://dx.doi.org/10.1007/s00216-012-5829-6</v>
      </c>
      <c r="BG230" t="s">
        <v>74</v>
      </c>
      <c r="BH230" t="s">
        <v>74</v>
      </c>
      <c r="BI230">
        <v>14</v>
      </c>
      <c r="BJ230" t="s">
        <v>4614</v>
      </c>
      <c r="BK230" t="s">
        <v>99</v>
      </c>
      <c r="BL230" t="s">
        <v>4615</v>
      </c>
      <c r="BM230" t="s">
        <v>4616</v>
      </c>
      <c r="BN230">
        <v>22349404</v>
      </c>
      <c r="BO230" t="s">
        <v>74</v>
      </c>
      <c r="BP230" t="s">
        <v>74</v>
      </c>
      <c r="BQ230" t="s">
        <v>74</v>
      </c>
      <c r="BR230" t="s">
        <v>101</v>
      </c>
      <c r="BS230" t="s">
        <v>4617</v>
      </c>
      <c r="BT230" t="str">
        <f>HYPERLINK("https%3A%2F%2Fwww.webofscience.com%2Fwos%2Fwoscc%2Ffull-record%2FWOS:000301839700007","View Full Record in Web of Science")</f>
        <v>View Full Record in Web of Science</v>
      </c>
    </row>
    <row r="231" spans="1:72" x14ac:dyDescent="0.15">
      <c r="A231" t="s">
        <v>72</v>
      </c>
      <c r="B231" t="s">
        <v>4618</v>
      </c>
      <c r="C231" t="s">
        <v>74</v>
      </c>
      <c r="D231" t="s">
        <v>74</v>
      </c>
      <c r="E231" t="s">
        <v>74</v>
      </c>
      <c r="F231" t="s">
        <v>4619</v>
      </c>
      <c r="G231" t="s">
        <v>74</v>
      </c>
      <c r="H231" t="s">
        <v>74</v>
      </c>
      <c r="I231" t="s">
        <v>4620</v>
      </c>
      <c r="J231" t="s">
        <v>4621</v>
      </c>
      <c r="K231" t="s">
        <v>74</v>
      </c>
      <c r="L231" t="s">
        <v>74</v>
      </c>
      <c r="M231" t="s">
        <v>78</v>
      </c>
      <c r="N231" t="s">
        <v>79</v>
      </c>
      <c r="O231" t="s">
        <v>74</v>
      </c>
      <c r="P231" t="s">
        <v>74</v>
      </c>
      <c r="Q231" t="s">
        <v>74</v>
      </c>
      <c r="R231" t="s">
        <v>74</v>
      </c>
      <c r="S231" t="s">
        <v>74</v>
      </c>
      <c r="T231" t="s">
        <v>4622</v>
      </c>
      <c r="U231" t="s">
        <v>4623</v>
      </c>
      <c r="V231" t="s">
        <v>4624</v>
      </c>
      <c r="W231" t="s">
        <v>4625</v>
      </c>
      <c r="X231" t="s">
        <v>4626</v>
      </c>
      <c r="Y231" t="s">
        <v>4627</v>
      </c>
      <c r="Z231" t="s">
        <v>4628</v>
      </c>
      <c r="AA231" t="s">
        <v>74</v>
      </c>
      <c r="AB231" t="s">
        <v>74</v>
      </c>
      <c r="AC231" t="s">
        <v>4629</v>
      </c>
      <c r="AD231" t="s">
        <v>4630</v>
      </c>
      <c r="AE231" t="s">
        <v>4631</v>
      </c>
      <c r="AF231" t="s">
        <v>74</v>
      </c>
      <c r="AG231">
        <v>91</v>
      </c>
      <c r="AH231">
        <v>78</v>
      </c>
      <c r="AI231">
        <v>84</v>
      </c>
      <c r="AJ231">
        <v>2</v>
      </c>
      <c r="AK231">
        <v>76</v>
      </c>
      <c r="AL231" t="s">
        <v>4632</v>
      </c>
      <c r="AM231" t="s">
        <v>147</v>
      </c>
      <c r="AN231" t="s">
        <v>4633</v>
      </c>
      <c r="AO231" t="s">
        <v>4634</v>
      </c>
      <c r="AP231" t="s">
        <v>4635</v>
      </c>
      <c r="AQ231" t="s">
        <v>74</v>
      </c>
      <c r="AR231" t="s">
        <v>4636</v>
      </c>
      <c r="AS231" t="s">
        <v>4637</v>
      </c>
      <c r="AT231" t="s">
        <v>3442</v>
      </c>
      <c r="AU231">
        <v>2012</v>
      </c>
      <c r="AV231">
        <v>83</v>
      </c>
      <c r="AW231">
        <v>4</v>
      </c>
      <c r="AX231" t="s">
        <v>74</v>
      </c>
      <c r="AY231" t="s">
        <v>74</v>
      </c>
      <c r="AZ231" t="s">
        <v>74</v>
      </c>
      <c r="BA231" t="s">
        <v>74</v>
      </c>
      <c r="BB231">
        <v>979</v>
      </c>
      <c r="BC231">
        <v>989</v>
      </c>
      <c r="BD231" t="s">
        <v>74</v>
      </c>
      <c r="BE231" t="s">
        <v>4638</v>
      </c>
      <c r="BF231" t="str">
        <f>HYPERLINK("http://dx.doi.org/10.1016/j.anbehav.2012.01.019","http://dx.doi.org/10.1016/j.anbehav.2012.01.019")</f>
        <v>http://dx.doi.org/10.1016/j.anbehav.2012.01.019</v>
      </c>
      <c r="BG231" t="s">
        <v>74</v>
      </c>
      <c r="BH231" t="s">
        <v>74</v>
      </c>
      <c r="BI231">
        <v>11</v>
      </c>
      <c r="BJ231" t="s">
        <v>4639</v>
      </c>
      <c r="BK231" t="s">
        <v>99</v>
      </c>
      <c r="BL231" t="s">
        <v>4639</v>
      </c>
      <c r="BM231" t="s">
        <v>4640</v>
      </c>
      <c r="BN231" t="s">
        <v>74</v>
      </c>
      <c r="BO231" t="s">
        <v>74</v>
      </c>
      <c r="BP231" t="s">
        <v>74</v>
      </c>
      <c r="BQ231" t="s">
        <v>74</v>
      </c>
      <c r="BR231" t="s">
        <v>101</v>
      </c>
      <c r="BS231" t="s">
        <v>4641</v>
      </c>
      <c r="BT231" t="str">
        <f>HYPERLINK("https%3A%2F%2Fwww.webofscience.com%2Fwos%2Fwoscc%2Ffull-record%2FWOS:000301975500019","View Full Record in Web of Science")</f>
        <v>View Full Record in Web of Science</v>
      </c>
    </row>
    <row r="232" spans="1:72" x14ac:dyDescent="0.15">
      <c r="A232" t="s">
        <v>72</v>
      </c>
      <c r="B232" t="s">
        <v>4642</v>
      </c>
      <c r="C232" t="s">
        <v>74</v>
      </c>
      <c r="D232" t="s">
        <v>74</v>
      </c>
      <c r="E232" t="s">
        <v>74</v>
      </c>
      <c r="F232" t="s">
        <v>4643</v>
      </c>
      <c r="G232" t="s">
        <v>74</v>
      </c>
      <c r="H232" t="s">
        <v>74</v>
      </c>
      <c r="I232" t="s">
        <v>4644</v>
      </c>
      <c r="J232" t="s">
        <v>4645</v>
      </c>
      <c r="K232" t="s">
        <v>74</v>
      </c>
      <c r="L232" t="s">
        <v>74</v>
      </c>
      <c r="M232" t="s">
        <v>78</v>
      </c>
      <c r="N232" t="s">
        <v>2225</v>
      </c>
      <c r="O232" t="s">
        <v>74</v>
      </c>
      <c r="P232" t="s">
        <v>74</v>
      </c>
      <c r="Q232" t="s">
        <v>74</v>
      </c>
      <c r="R232" t="s">
        <v>74</v>
      </c>
      <c r="S232" t="s">
        <v>74</v>
      </c>
      <c r="T232" t="s">
        <v>74</v>
      </c>
      <c r="U232" t="s">
        <v>74</v>
      </c>
      <c r="V232" t="s">
        <v>74</v>
      </c>
      <c r="W232" t="s">
        <v>74</v>
      </c>
      <c r="X232" t="s">
        <v>74</v>
      </c>
      <c r="Y232" t="s">
        <v>74</v>
      </c>
      <c r="Z232" t="s">
        <v>74</v>
      </c>
      <c r="AA232" t="s">
        <v>74</v>
      </c>
      <c r="AB232" t="s">
        <v>74</v>
      </c>
      <c r="AC232" t="s">
        <v>74</v>
      </c>
      <c r="AD232" t="s">
        <v>74</v>
      </c>
      <c r="AE232" t="s">
        <v>74</v>
      </c>
      <c r="AF232" t="s">
        <v>74</v>
      </c>
      <c r="AG232">
        <v>0</v>
      </c>
      <c r="AH232">
        <v>2</v>
      </c>
      <c r="AI232">
        <v>4</v>
      </c>
      <c r="AJ232">
        <v>0</v>
      </c>
      <c r="AK232">
        <v>3</v>
      </c>
      <c r="AL232" t="s">
        <v>1111</v>
      </c>
      <c r="AM232" t="s">
        <v>656</v>
      </c>
      <c r="AN232" t="s">
        <v>1209</v>
      </c>
      <c r="AO232" t="s">
        <v>4646</v>
      </c>
      <c r="AP232" t="s">
        <v>74</v>
      </c>
      <c r="AQ232" t="s">
        <v>74</v>
      </c>
      <c r="AR232" t="s">
        <v>4647</v>
      </c>
      <c r="AS232" t="s">
        <v>4648</v>
      </c>
      <c r="AT232" t="s">
        <v>3442</v>
      </c>
      <c r="AU232">
        <v>2012</v>
      </c>
      <c r="AV232">
        <v>24</v>
      </c>
      <c r="AW232">
        <v>2</v>
      </c>
      <c r="AX232" t="s">
        <v>74</v>
      </c>
      <c r="AY232" t="s">
        <v>74</v>
      </c>
      <c r="AZ232" t="s">
        <v>74</v>
      </c>
      <c r="BA232" t="s">
        <v>74</v>
      </c>
      <c r="BB232">
        <v>113</v>
      </c>
      <c r="BC232">
        <v>113</v>
      </c>
      <c r="BD232" t="s">
        <v>74</v>
      </c>
      <c r="BE232" t="s">
        <v>4649</v>
      </c>
      <c r="BF232" t="str">
        <f>HYPERLINK("http://dx.doi.org/10.1017/S0954102012000156","http://dx.doi.org/10.1017/S0954102012000156")</f>
        <v>http://dx.doi.org/10.1017/S0954102012000156</v>
      </c>
      <c r="BG232" t="s">
        <v>74</v>
      </c>
      <c r="BH232" t="s">
        <v>74</v>
      </c>
      <c r="BI232">
        <v>1</v>
      </c>
      <c r="BJ232" t="s">
        <v>4650</v>
      </c>
      <c r="BK232" t="s">
        <v>99</v>
      </c>
      <c r="BL232" t="s">
        <v>4651</v>
      </c>
      <c r="BM232" t="s">
        <v>4652</v>
      </c>
      <c r="BN232" t="s">
        <v>74</v>
      </c>
      <c r="BO232" t="s">
        <v>217</v>
      </c>
      <c r="BP232" t="s">
        <v>74</v>
      </c>
      <c r="BQ232" t="s">
        <v>74</v>
      </c>
      <c r="BR232" t="s">
        <v>101</v>
      </c>
      <c r="BS232" t="s">
        <v>4653</v>
      </c>
      <c r="BT232" t="str">
        <f>HYPERLINK("https%3A%2F%2Fwww.webofscience.com%2Fwos%2Fwoscc%2Ffull-record%2FWOS:000300878400001","View Full Record in Web of Science")</f>
        <v>View Full Record in Web of Science</v>
      </c>
    </row>
    <row r="233" spans="1:72" x14ac:dyDescent="0.15">
      <c r="A233" t="s">
        <v>72</v>
      </c>
      <c r="B233" t="s">
        <v>4654</v>
      </c>
      <c r="C233" t="s">
        <v>74</v>
      </c>
      <c r="D233" t="s">
        <v>74</v>
      </c>
      <c r="E233" t="s">
        <v>74</v>
      </c>
      <c r="F233" t="s">
        <v>4655</v>
      </c>
      <c r="G233" t="s">
        <v>74</v>
      </c>
      <c r="H233" t="s">
        <v>74</v>
      </c>
      <c r="I233" t="s">
        <v>4656</v>
      </c>
      <c r="J233" t="s">
        <v>4645</v>
      </c>
      <c r="K233" t="s">
        <v>74</v>
      </c>
      <c r="L233" t="s">
        <v>74</v>
      </c>
      <c r="M233" t="s">
        <v>78</v>
      </c>
      <c r="N233" t="s">
        <v>79</v>
      </c>
      <c r="O233" t="s">
        <v>74</v>
      </c>
      <c r="P233" t="s">
        <v>74</v>
      </c>
      <c r="Q233" t="s">
        <v>74</v>
      </c>
      <c r="R233" t="s">
        <v>74</v>
      </c>
      <c r="S233" t="s">
        <v>74</v>
      </c>
      <c r="T233" t="s">
        <v>4657</v>
      </c>
      <c r="U233" t="s">
        <v>4658</v>
      </c>
      <c r="V233" t="s">
        <v>4659</v>
      </c>
      <c r="W233" t="s">
        <v>4660</v>
      </c>
      <c r="X233" t="s">
        <v>4661</v>
      </c>
      <c r="Y233" t="s">
        <v>4662</v>
      </c>
      <c r="Z233" t="s">
        <v>4663</v>
      </c>
      <c r="AA233" t="s">
        <v>4664</v>
      </c>
      <c r="AB233" t="s">
        <v>4665</v>
      </c>
      <c r="AC233" t="s">
        <v>4666</v>
      </c>
      <c r="AD233" t="s">
        <v>4667</v>
      </c>
      <c r="AE233" t="s">
        <v>4668</v>
      </c>
      <c r="AF233" t="s">
        <v>74</v>
      </c>
      <c r="AG233">
        <v>37</v>
      </c>
      <c r="AH233">
        <v>22</v>
      </c>
      <c r="AI233">
        <v>24</v>
      </c>
      <c r="AJ233">
        <v>0</v>
      </c>
      <c r="AK233">
        <v>17</v>
      </c>
      <c r="AL233" t="s">
        <v>1111</v>
      </c>
      <c r="AM233" t="s">
        <v>656</v>
      </c>
      <c r="AN233" t="s">
        <v>1209</v>
      </c>
      <c r="AO233" t="s">
        <v>4646</v>
      </c>
      <c r="AP233" t="s">
        <v>74</v>
      </c>
      <c r="AQ233" t="s">
        <v>74</v>
      </c>
      <c r="AR233" t="s">
        <v>4647</v>
      </c>
      <c r="AS233" t="s">
        <v>4648</v>
      </c>
      <c r="AT233" t="s">
        <v>3442</v>
      </c>
      <c r="AU233">
        <v>2012</v>
      </c>
      <c r="AV233">
        <v>24</v>
      </c>
      <c r="AW233">
        <v>2</v>
      </c>
      <c r="AX233" t="s">
        <v>74</v>
      </c>
      <c r="AY233" t="s">
        <v>74</v>
      </c>
      <c r="AZ233" t="s">
        <v>74</v>
      </c>
      <c r="BA233" t="s">
        <v>74</v>
      </c>
      <c r="BB233">
        <v>173</v>
      </c>
      <c r="BC233">
        <v>182</v>
      </c>
      <c r="BD233" t="s">
        <v>74</v>
      </c>
      <c r="BE233" t="s">
        <v>4669</v>
      </c>
      <c r="BF233" t="str">
        <f>HYPERLINK("http://dx.doi.org/10.1017/S0954102011000794","http://dx.doi.org/10.1017/S0954102011000794")</f>
        <v>http://dx.doi.org/10.1017/S0954102011000794</v>
      </c>
      <c r="BG233" t="s">
        <v>74</v>
      </c>
      <c r="BH233" t="s">
        <v>74</v>
      </c>
      <c r="BI233">
        <v>10</v>
      </c>
      <c r="BJ233" t="s">
        <v>4650</v>
      </c>
      <c r="BK233" t="s">
        <v>99</v>
      </c>
      <c r="BL233" t="s">
        <v>4651</v>
      </c>
      <c r="BM233" t="s">
        <v>4652</v>
      </c>
      <c r="BN233" t="s">
        <v>74</v>
      </c>
      <c r="BO233" t="s">
        <v>156</v>
      </c>
      <c r="BP233" t="s">
        <v>74</v>
      </c>
      <c r="BQ233" t="s">
        <v>74</v>
      </c>
      <c r="BR233" t="s">
        <v>101</v>
      </c>
      <c r="BS233" t="s">
        <v>4670</v>
      </c>
      <c r="BT233" t="str">
        <f>HYPERLINK("https%3A%2F%2Fwww.webofscience.com%2Fwos%2Fwoscc%2Ffull-record%2FWOS:000300878400009","View Full Record in Web of Science")</f>
        <v>View Full Record in Web of Science</v>
      </c>
    </row>
    <row r="234" spans="1:72" x14ac:dyDescent="0.15">
      <c r="A234" t="s">
        <v>72</v>
      </c>
      <c r="B234" t="s">
        <v>4671</v>
      </c>
      <c r="C234" t="s">
        <v>74</v>
      </c>
      <c r="D234" t="s">
        <v>74</v>
      </c>
      <c r="E234" t="s">
        <v>74</v>
      </c>
      <c r="F234" t="s">
        <v>4672</v>
      </c>
      <c r="G234" t="s">
        <v>74</v>
      </c>
      <c r="H234" t="s">
        <v>74</v>
      </c>
      <c r="I234" t="s">
        <v>4673</v>
      </c>
      <c r="J234" t="s">
        <v>4674</v>
      </c>
      <c r="K234" t="s">
        <v>74</v>
      </c>
      <c r="L234" t="s">
        <v>74</v>
      </c>
      <c r="M234" t="s">
        <v>78</v>
      </c>
      <c r="N234" t="s">
        <v>79</v>
      </c>
      <c r="O234" t="s">
        <v>74</v>
      </c>
      <c r="P234" t="s">
        <v>74</v>
      </c>
      <c r="Q234" t="s">
        <v>74</v>
      </c>
      <c r="R234" t="s">
        <v>74</v>
      </c>
      <c r="S234" t="s">
        <v>74</v>
      </c>
      <c r="T234" t="s">
        <v>4675</v>
      </c>
      <c r="U234" t="s">
        <v>4676</v>
      </c>
      <c r="V234" t="s">
        <v>4677</v>
      </c>
      <c r="W234" t="s">
        <v>4678</v>
      </c>
      <c r="X234" t="s">
        <v>4679</v>
      </c>
      <c r="Y234" t="s">
        <v>4680</v>
      </c>
      <c r="Z234" t="s">
        <v>4681</v>
      </c>
      <c r="AA234" t="s">
        <v>4682</v>
      </c>
      <c r="AB234" t="s">
        <v>4683</v>
      </c>
      <c r="AC234" t="s">
        <v>4684</v>
      </c>
      <c r="AD234" t="s">
        <v>4685</v>
      </c>
      <c r="AE234" t="s">
        <v>4686</v>
      </c>
      <c r="AF234" t="s">
        <v>74</v>
      </c>
      <c r="AG234">
        <v>43</v>
      </c>
      <c r="AH234">
        <v>51</v>
      </c>
      <c r="AI234">
        <v>59</v>
      </c>
      <c r="AJ234">
        <v>2</v>
      </c>
      <c r="AK234">
        <v>92</v>
      </c>
      <c r="AL234" t="s">
        <v>935</v>
      </c>
      <c r="AM234" t="s">
        <v>369</v>
      </c>
      <c r="AN234" t="s">
        <v>936</v>
      </c>
      <c r="AO234" t="s">
        <v>4687</v>
      </c>
      <c r="AP234" t="s">
        <v>4688</v>
      </c>
      <c r="AQ234" t="s">
        <v>74</v>
      </c>
      <c r="AR234" t="s">
        <v>4689</v>
      </c>
      <c r="AS234" t="s">
        <v>4690</v>
      </c>
      <c r="AT234" t="s">
        <v>3442</v>
      </c>
      <c r="AU234">
        <v>2012</v>
      </c>
      <c r="AV234">
        <v>55</v>
      </c>
      <c r="AW234" t="s">
        <v>74</v>
      </c>
      <c r="AX234" t="s">
        <v>74</v>
      </c>
      <c r="AY234" t="s">
        <v>74</v>
      </c>
      <c r="AZ234" t="s">
        <v>74</v>
      </c>
      <c r="BA234" t="s">
        <v>74</v>
      </c>
      <c r="BB234">
        <v>1</v>
      </c>
      <c r="BC234">
        <v>9</v>
      </c>
      <c r="BD234" t="s">
        <v>74</v>
      </c>
      <c r="BE234" t="s">
        <v>4691</v>
      </c>
      <c r="BF234" t="str">
        <f>HYPERLINK("http://dx.doi.org/10.1016/j.apsoil.2011.12.008","http://dx.doi.org/10.1016/j.apsoil.2011.12.008")</f>
        <v>http://dx.doi.org/10.1016/j.apsoil.2011.12.008</v>
      </c>
      <c r="BG234" t="s">
        <v>74</v>
      </c>
      <c r="BH234" t="s">
        <v>74</v>
      </c>
      <c r="BI234">
        <v>9</v>
      </c>
      <c r="BJ234" t="s">
        <v>4692</v>
      </c>
      <c r="BK234" t="s">
        <v>99</v>
      </c>
      <c r="BL234" t="s">
        <v>4693</v>
      </c>
      <c r="BM234" t="s">
        <v>4694</v>
      </c>
      <c r="BN234" t="s">
        <v>74</v>
      </c>
      <c r="BO234" t="s">
        <v>74</v>
      </c>
      <c r="BP234" t="s">
        <v>74</v>
      </c>
      <c r="BQ234" t="s">
        <v>74</v>
      </c>
      <c r="BR234" t="s">
        <v>101</v>
      </c>
      <c r="BS234" t="s">
        <v>4695</v>
      </c>
      <c r="BT234" t="str">
        <f>HYPERLINK("https%3A%2F%2Fwww.webofscience.com%2Fwos%2Fwoscc%2Ffull-record%2FWOS:000303230900001","View Full Record in Web of Science")</f>
        <v>View Full Record in Web of Science</v>
      </c>
    </row>
    <row r="235" spans="1:72" x14ac:dyDescent="0.15">
      <c r="A235" t="s">
        <v>72</v>
      </c>
      <c r="B235" t="s">
        <v>4696</v>
      </c>
      <c r="C235" t="s">
        <v>74</v>
      </c>
      <c r="D235" t="s">
        <v>74</v>
      </c>
      <c r="E235" t="s">
        <v>74</v>
      </c>
      <c r="F235" t="s">
        <v>4697</v>
      </c>
      <c r="G235" t="s">
        <v>74</v>
      </c>
      <c r="H235" t="s">
        <v>74</v>
      </c>
      <c r="I235" t="s">
        <v>4698</v>
      </c>
      <c r="J235" t="s">
        <v>4699</v>
      </c>
      <c r="K235" t="s">
        <v>74</v>
      </c>
      <c r="L235" t="s">
        <v>74</v>
      </c>
      <c r="M235" t="s">
        <v>78</v>
      </c>
      <c r="N235" t="s">
        <v>79</v>
      </c>
      <c r="O235" t="s">
        <v>74</v>
      </c>
      <c r="P235" t="s">
        <v>74</v>
      </c>
      <c r="Q235" t="s">
        <v>74</v>
      </c>
      <c r="R235" t="s">
        <v>74</v>
      </c>
      <c r="S235" t="s">
        <v>74</v>
      </c>
      <c r="T235" t="s">
        <v>4700</v>
      </c>
      <c r="U235" t="s">
        <v>4701</v>
      </c>
      <c r="V235" t="s">
        <v>4702</v>
      </c>
      <c r="W235" t="s">
        <v>4703</v>
      </c>
      <c r="X235" t="s">
        <v>4704</v>
      </c>
      <c r="Y235" t="s">
        <v>4705</v>
      </c>
      <c r="Z235" t="s">
        <v>4706</v>
      </c>
      <c r="AA235" t="s">
        <v>4707</v>
      </c>
      <c r="AB235" t="s">
        <v>4708</v>
      </c>
      <c r="AC235" t="s">
        <v>4709</v>
      </c>
      <c r="AD235" t="s">
        <v>4710</v>
      </c>
      <c r="AE235" t="s">
        <v>4711</v>
      </c>
      <c r="AF235" t="s">
        <v>74</v>
      </c>
      <c r="AG235">
        <v>14</v>
      </c>
      <c r="AH235">
        <v>5</v>
      </c>
      <c r="AI235">
        <v>5</v>
      </c>
      <c r="AJ235">
        <v>0</v>
      </c>
      <c r="AK235">
        <v>23</v>
      </c>
      <c r="AL235" t="s">
        <v>3895</v>
      </c>
      <c r="AM235" t="s">
        <v>628</v>
      </c>
      <c r="AN235" t="s">
        <v>629</v>
      </c>
      <c r="AO235" t="s">
        <v>4712</v>
      </c>
      <c r="AP235" t="s">
        <v>74</v>
      </c>
      <c r="AQ235" t="s">
        <v>74</v>
      </c>
      <c r="AR235" t="s">
        <v>4713</v>
      </c>
      <c r="AS235" t="s">
        <v>4714</v>
      </c>
      <c r="AT235" t="s">
        <v>3420</v>
      </c>
      <c r="AU235">
        <v>2012</v>
      </c>
      <c r="AV235">
        <v>13</v>
      </c>
      <c r="AW235">
        <v>2</v>
      </c>
      <c r="AX235" t="s">
        <v>74</v>
      </c>
      <c r="AY235" t="s">
        <v>74</v>
      </c>
      <c r="AZ235" t="s">
        <v>74</v>
      </c>
      <c r="BA235" t="s">
        <v>74</v>
      </c>
      <c r="BB235">
        <v>128</v>
      </c>
      <c r="BC235">
        <v>132</v>
      </c>
      <c r="BD235" t="s">
        <v>74</v>
      </c>
      <c r="BE235" t="s">
        <v>4715</v>
      </c>
      <c r="BF235" t="str">
        <f>HYPERLINK("http://dx.doi.org/10.1002/asl.372","http://dx.doi.org/10.1002/asl.372")</f>
        <v>http://dx.doi.org/10.1002/asl.372</v>
      </c>
      <c r="BG235" t="s">
        <v>74</v>
      </c>
      <c r="BH235" t="s">
        <v>74</v>
      </c>
      <c r="BI235">
        <v>5</v>
      </c>
      <c r="BJ235" t="s">
        <v>967</v>
      </c>
      <c r="BK235" t="s">
        <v>99</v>
      </c>
      <c r="BL235" t="s">
        <v>967</v>
      </c>
      <c r="BM235" t="s">
        <v>4716</v>
      </c>
      <c r="BN235" t="s">
        <v>74</v>
      </c>
      <c r="BO235" t="s">
        <v>1094</v>
      </c>
      <c r="BP235" t="s">
        <v>74</v>
      </c>
      <c r="BQ235" t="s">
        <v>74</v>
      </c>
      <c r="BR235" t="s">
        <v>101</v>
      </c>
      <c r="BS235" t="s">
        <v>4717</v>
      </c>
      <c r="BT235" t="str">
        <f>HYPERLINK("https%3A%2F%2Fwww.webofscience.com%2Fwos%2Fwoscc%2Ffull-record%2FWOS:000302704000008","View Full Record in Web of Science")</f>
        <v>View Full Record in Web of Science</v>
      </c>
    </row>
    <row r="236" spans="1:72" x14ac:dyDescent="0.15">
      <c r="A236" t="s">
        <v>72</v>
      </c>
      <c r="B236" t="s">
        <v>4718</v>
      </c>
      <c r="C236" t="s">
        <v>74</v>
      </c>
      <c r="D236" t="s">
        <v>74</v>
      </c>
      <c r="E236" t="s">
        <v>74</v>
      </c>
      <c r="F236" t="s">
        <v>4719</v>
      </c>
      <c r="G236" t="s">
        <v>74</v>
      </c>
      <c r="H236" t="s">
        <v>74</v>
      </c>
      <c r="I236" t="s">
        <v>4720</v>
      </c>
      <c r="J236" t="s">
        <v>3474</v>
      </c>
      <c r="K236" t="s">
        <v>74</v>
      </c>
      <c r="L236" t="s">
        <v>74</v>
      </c>
      <c r="M236" t="s">
        <v>78</v>
      </c>
      <c r="N236" t="s">
        <v>79</v>
      </c>
      <c r="O236" t="s">
        <v>74</v>
      </c>
      <c r="P236" t="s">
        <v>74</v>
      </c>
      <c r="Q236" t="s">
        <v>74</v>
      </c>
      <c r="R236" t="s">
        <v>74</v>
      </c>
      <c r="S236" t="s">
        <v>74</v>
      </c>
      <c r="T236" t="s">
        <v>4721</v>
      </c>
      <c r="U236" t="s">
        <v>4722</v>
      </c>
      <c r="V236" t="s">
        <v>4723</v>
      </c>
      <c r="W236" t="s">
        <v>4724</v>
      </c>
      <c r="X236" t="s">
        <v>4725</v>
      </c>
      <c r="Y236" t="s">
        <v>4726</v>
      </c>
      <c r="Z236" t="s">
        <v>4727</v>
      </c>
      <c r="AA236" t="s">
        <v>4728</v>
      </c>
      <c r="AB236" t="s">
        <v>4729</v>
      </c>
      <c r="AC236" t="s">
        <v>4730</v>
      </c>
      <c r="AD236" t="s">
        <v>4731</v>
      </c>
      <c r="AE236" t="s">
        <v>4732</v>
      </c>
      <c r="AF236" t="s">
        <v>74</v>
      </c>
      <c r="AG236">
        <v>34</v>
      </c>
      <c r="AH236">
        <v>23</v>
      </c>
      <c r="AI236">
        <v>24</v>
      </c>
      <c r="AJ236">
        <v>1</v>
      </c>
      <c r="AK236">
        <v>10</v>
      </c>
      <c r="AL236" t="s">
        <v>3487</v>
      </c>
      <c r="AM236" t="s">
        <v>3488</v>
      </c>
      <c r="AN236" t="s">
        <v>3489</v>
      </c>
      <c r="AO236" t="s">
        <v>3490</v>
      </c>
      <c r="AP236" t="s">
        <v>74</v>
      </c>
      <c r="AQ236" t="s">
        <v>74</v>
      </c>
      <c r="AR236" t="s">
        <v>3491</v>
      </c>
      <c r="AS236" t="s">
        <v>3492</v>
      </c>
      <c r="AT236" t="s">
        <v>3442</v>
      </c>
      <c r="AU236">
        <v>2012</v>
      </c>
      <c r="AV236">
        <v>38</v>
      </c>
      <c r="AW236" t="s">
        <v>3493</v>
      </c>
      <c r="AX236" t="s">
        <v>74</v>
      </c>
      <c r="AY236" t="s">
        <v>74</v>
      </c>
      <c r="AZ236" t="s">
        <v>1913</v>
      </c>
      <c r="BA236" t="s">
        <v>74</v>
      </c>
      <c r="BB236">
        <v>307</v>
      </c>
      <c r="BC236">
        <v>332</v>
      </c>
      <c r="BD236" t="s">
        <v>74</v>
      </c>
      <c r="BE236" t="s">
        <v>4733</v>
      </c>
      <c r="BF236" t="str">
        <f>HYPERLINK("http://dx.doi.org/10.7773/cm.v38i1B.1814","http://dx.doi.org/10.7773/cm.v38i1B.1814")</f>
        <v>http://dx.doi.org/10.7773/cm.v38i1B.1814</v>
      </c>
      <c r="BG236" t="s">
        <v>74</v>
      </c>
      <c r="BH236" t="s">
        <v>74</v>
      </c>
      <c r="BI236">
        <v>26</v>
      </c>
      <c r="BJ236" t="s">
        <v>588</v>
      </c>
      <c r="BK236" t="s">
        <v>99</v>
      </c>
      <c r="BL236" t="s">
        <v>588</v>
      </c>
      <c r="BM236" t="s">
        <v>3495</v>
      </c>
      <c r="BN236" t="s">
        <v>74</v>
      </c>
      <c r="BO236" t="s">
        <v>3496</v>
      </c>
      <c r="BP236" t="s">
        <v>74</v>
      </c>
      <c r="BQ236" t="s">
        <v>74</v>
      </c>
      <c r="BR236" t="s">
        <v>101</v>
      </c>
      <c r="BS236" t="s">
        <v>4734</v>
      </c>
      <c r="BT236" t="str">
        <f>HYPERLINK("https%3A%2F%2Fwww.webofscience.com%2Fwos%2Fwoscc%2Ffull-record%2FWOS:000305593100011","View Full Record in Web of Science")</f>
        <v>View Full Record in Web of Science</v>
      </c>
    </row>
    <row r="237" spans="1:72" x14ac:dyDescent="0.15">
      <c r="A237" t="s">
        <v>72</v>
      </c>
      <c r="B237" t="s">
        <v>4735</v>
      </c>
      <c r="C237" t="s">
        <v>74</v>
      </c>
      <c r="D237" t="s">
        <v>74</v>
      </c>
      <c r="E237" t="s">
        <v>74</v>
      </c>
      <c r="F237" t="s">
        <v>4736</v>
      </c>
      <c r="G237" t="s">
        <v>74</v>
      </c>
      <c r="H237" t="s">
        <v>74</v>
      </c>
      <c r="I237" t="s">
        <v>4737</v>
      </c>
      <c r="J237" t="s">
        <v>4738</v>
      </c>
      <c r="K237" t="s">
        <v>74</v>
      </c>
      <c r="L237" t="s">
        <v>74</v>
      </c>
      <c r="M237" t="s">
        <v>78</v>
      </c>
      <c r="N237" t="s">
        <v>79</v>
      </c>
      <c r="O237" t="s">
        <v>74</v>
      </c>
      <c r="P237" t="s">
        <v>74</v>
      </c>
      <c r="Q237" t="s">
        <v>74</v>
      </c>
      <c r="R237" t="s">
        <v>74</v>
      </c>
      <c r="S237" t="s">
        <v>74</v>
      </c>
      <c r="T237" t="s">
        <v>74</v>
      </c>
      <c r="U237" t="s">
        <v>4739</v>
      </c>
      <c r="V237" t="s">
        <v>4740</v>
      </c>
      <c r="W237" t="s">
        <v>4741</v>
      </c>
      <c r="X237" t="s">
        <v>4742</v>
      </c>
      <c r="Y237" t="s">
        <v>4743</v>
      </c>
      <c r="Z237" t="s">
        <v>4744</v>
      </c>
      <c r="AA237" t="s">
        <v>4745</v>
      </c>
      <c r="AB237" t="s">
        <v>4746</v>
      </c>
      <c r="AC237" t="s">
        <v>4747</v>
      </c>
      <c r="AD237" t="s">
        <v>4748</v>
      </c>
      <c r="AE237" t="s">
        <v>4749</v>
      </c>
      <c r="AF237" t="s">
        <v>74</v>
      </c>
      <c r="AG237">
        <v>58</v>
      </c>
      <c r="AH237">
        <v>53</v>
      </c>
      <c r="AI237">
        <v>61</v>
      </c>
      <c r="AJ237">
        <v>0</v>
      </c>
      <c r="AK237">
        <v>35</v>
      </c>
      <c r="AL237" t="s">
        <v>655</v>
      </c>
      <c r="AM237" t="s">
        <v>656</v>
      </c>
      <c r="AN237" t="s">
        <v>1908</v>
      </c>
      <c r="AO237" t="s">
        <v>4750</v>
      </c>
      <c r="AP237" t="s">
        <v>4751</v>
      </c>
      <c r="AQ237" t="s">
        <v>74</v>
      </c>
      <c r="AR237" t="s">
        <v>4752</v>
      </c>
      <c r="AS237" t="s">
        <v>4753</v>
      </c>
      <c r="AT237" t="s">
        <v>3442</v>
      </c>
      <c r="AU237">
        <v>2012</v>
      </c>
      <c r="AV237">
        <v>38</v>
      </c>
      <c r="AW237" t="s">
        <v>4754</v>
      </c>
      <c r="AX237" t="s">
        <v>74</v>
      </c>
      <c r="AY237" t="s">
        <v>74</v>
      </c>
      <c r="AZ237" t="s">
        <v>74</v>
      </c>
      <c r="BA237" t="s">
        <v>74</v>
      </c>
      <c r="BB237">
        <v>1545</v>
      </c>
      <c r="BC237">
        <v>1559</v>
      </c>
      <c r="BD237" t="s">
        <v>74</v>
      </c>
      <c r="BE237" t="s">
        <v>4755</v>
      </c>
      <c r="BF237" t="str">
        <f>HYPERLINK("http://dx.doi.org/10.1007/s00382-011-1283-y","http://dx.doi.org/10.1007/s00382-011-1283-y")</f>
        <v>http://dx.doi.org/10.1007/s00382-011-1283-y</v>
      </c>
      <c r="BG237" t="s">
        <v>74</v>
      </c>
      <c r="BH237" t="s">
        <v>74</v>
      </c>
      <c r="BI237">
        <v>15</v>
      </c>
      <c r="BJ237" t="s">
        <v>128</v>
      </c>
      <c r="BK237" t="s">
        <v>99</v>
      </c>
      <c r="BL237" t="s">
        <v>128</v>
      </c>
      <c r="BM237" t="s">
        <v>4756</v>
      </c>
      <c r="BN237" t="s">
        <v>74</v>
      </c>
      <c r="BO237" t="s">
        <v>4757</v>
      </c>
      <c r="BP237" t="s">
        <v>74</v>
      </c>
      <c r="BQ237" t="s">
        <v>74</v>
      </c>
      <c r="BR237" t="s">
        <v>101</v>
      </c>
      <c r="BS237" t="s">
        <v>4758</v>
      </c>
      <c r="BT237" t="str">
        <f>HYPERLINK("https%3A%2F%2Fwww.webofscience.com%2Fwos%2Fwoscc%2Ffull-record%2FWOS:000302247000018","View Full Record in Web of Science")</f>
        <v>View Full Record in Web of Science</v>
      </c>
    </row>
    <row r="238" spans="1:72" x14ac:dyDescent="0.15">
      <c r="A238" t="s">
        <v>72</v>
      </c>
      <c r="B238" t="s">
        <v>4759</v>
      </c>
      <c r="C238" t="s">
        <v>74</v>
      </c>
      <c r="D238" t="s">
        <v>74</v>
      </c>
      <c r="E238" t="s">
        <v>74</v>
      </c>
      <c r="F238" t="s">
        <v>4760</v>
      </c>
      <c r="G238" t="s">
        <v>74</v>
      </c>
      <c r="H238" t="s">
        <v>74</v>
      </c>
      <c r="I238" t="s">
        <v>4761</v>
      </c>
      <c r="J238" t="s">
        <v>4762</v>
      </c>
      <c r="K238" t="s">
        <v>74</v>
      </c>
      <c r="L238" t="s">
        <v>74</v>
      </c>
      <c r="M238" t="s">
        <v>78</v>
      </c>
      <c r="N238" t="s">
        <v>79</v>
      </c>
      <c r="O238" t="s">
        <v>74</v>
      </c>
      <c r="P238" t="s">
        <v>74</v>
      </c>
      <c r="Q238" t="s">
        <v>74</v>
      </c>
      <c r="R238" t="s">
        <v>74</v>
      </c>
      <c r="S238" t="s">
        <v>74</v>
      </c>
      <c r="T238" t="s">
        <v>74</v>
      </c>
      <c r="U238" t="s">
        <v>4763</v>
      </c>
      <c r="V238" t="s">
        <v>4764</v>
      </c>
      <c r="W238" t="s">
        <v>4765</v>
      </c>
      <c r="X238" t="s">
        <v>4766</v>
      </c>
      <c r="Y238" t="s">
        <v>4767</v>
      </c>
      <c r="Z238" t="s">
        <v>4768</v>
      </c>
      <c r="AA238" t="s">
        <v>74</v>
      </c>
      <c r="AB238" t="s">
        <v>74</v>
      </c>
      <c r="AC238" t="s">
        <v>4769</v>
      </c>
      <c r="AD238" t="s">
        <v>4769</v>
      </c>
      <c r="AE238" t="s">
        <v>4770</v>
      </c>
      <c r="AF238" t="s">
        <v>74</v>
      </c>
      <c r="AG238">
        <v>17</v>
      </c>
      <c r="AH238">
        <v>25</v>
      </c>
      <c r="AI238">
        <v>29</v>
      </c>
      <c r="AJ238">
        <v>0</v>
      </c>
      <c r="AK238">
        <v>21</v>
      </c>
      <c r="AL238" t="s">
        <v>655</v>
      </c>
      <c r="AM238" t="s">
        <v>656</v>
      </c>
      <c r="AN238" t="s">
        <v>1908</v>
      </c>
      <c r="AO238" t="s">
        <v>4771</v>
      </c>
      <c r="AP238" t="s">
        <v>4772</v>
      </c>
      <c r="AQ238" t="s">
        <v>74</v>
      </c>
      <c r="AR238" t="s">
        <v>4773</v>
      </c>
      <c r="AS238" t="s">
        <v>4774</v>
      </c>
      <c r="AT238" t="s">
        <v>3442</v>
      </c>
      <c r="AU238">
        <v>2012</v>
      </c>
      <c r="AV238">
        <v>64</v>
      </c>
      <c r="AW238">
        <v>4</v>
      </c>
      <c r="AX238" t="s">
        <v>74</v>
      </c>
      <c r="AY238" t="s">
        <v>74</v>
      </c>
      <c r="AZ238" t="s">
        <v>74</v>
      </c>
      <c r="BA238" t="s">
        <v>74</v>
      </c>
      <c r="BB238">
        <v>338</v>
      </c>
      <c r="BC238">
        <v>342</v>
      </c>
      <c r="BD238" t="s">
        <v>74</v>
      </c>
      <c r="BE238" t="s">
        <v>4775</v>
      </c>
      <c r="BF238" t="str">
        <f>HYPERLINK("http://dx.doi.org/10.1007/s00284-011-0073-4","http://dx.doi.org/10.1007/s00284-011-0073-4")</f>
        <v>http://dx.doi.org/10.1007/s00284-011-0073-4</v>
      </c>
      <c r="BG238" t="s">
        <v>74</v>
      </c>
      <c r="BH238" t="s">
        <v>74</v>
      </c>
      <c r="BI238">
        <v>5</v>
      </c>
      <c r="BJ238" t="s">
        <v>686</v>
      </c>
      <c r="BK238" t="s">
        <v>99</v>
      </c>
      <c r="BL238" t="s">
        <v>686</v>
      </c>
      <c r="BM238" t="s">
        <v>4776</v>
      </c>
      <c r="BN238">
        <v>22231452</v>
      </c>
      <c r="BO238" t="s">
        <v>74</v>
      </c>
      <c r="BP238" t="s">
        <v>74</v>
      </c>
      <c r="BQ238" t="s">
        <v>74</v>
      </c>
      <c r="BR238" t="s">
        <v>101</v>
      </c>
      <c r="BS238" t="s">
        <v>4777</v>
      </c>
      <c r="BT238" t="str">
        <f>HYPERLINK("https%3A%2F%2Fwww.webofscience.com%2Fwos%2Fwoscc%2Ffull-record%2FWOS:000300770000006","View Full Record in Web of Science")</f>
        <v>View Full Record in Web of Science</v>
      </c>
    </row>
    <row r="239" spans="1:72" x14ac:dyDescent="0.15">
      <c r="A239" t="s">
        <v>72</v>
      </c>
      <c r="B239" t="s">
        <v>4778</v>
      </c>
      <c r="C239" t="s">
        <v>74</v>
      </c>
      <c r="D239" t="s">
        <v>74</v>
      </c>
      <c r="E239" t="s">
        <v>74</v>
      </c>
      <c r="F239" t="s">
        <v>4779</v>
      </c>
      <c r="G239" t="s">
        <v>74</v>
      </c>
      <c r="H239" t="s">
        <v>74</v>
      </c>
      <c r="I239" t="s">
        <v>4780</v>
      </c>
      <c r="J239" t="s">
        <v>4781</v>
      </c>
      <c r="K239" t="s">
        <v>74</v>
      </c>
      <c r="L239" t="s">
        <v>74</v>
      </c>
      <c r="M239" t="s">
        <v>78</v>
      </c>
      <c r="N239" t="s">
        <v>79</v>
      </c>
      <c r="O239" t="s">
        <v>74</v>
      </c>
      <c r="P239" t="s">
        <v>74</v>
      </c>
      <c r="Q239" t="s">
        <v>74</v>
      </c>
      <c r="R239" t="s">
        <v>74</v>
      </c>
      <c r="S239" t="s">
        <v>74</v>
      </c>
      <c r="T239" t="s">
        <v>4782</v>
      </c>
      <c r="U239" t="s">
        <v>4783</v>
      </c>
      <c r="V239" t="s">
        <v>4784</v>
      </c>
      <c r="W239" t="s">
        <v>4785</v>
      </c>
      <c r="X239" t="s">
        <v>4786</v>
      </c>
      <c r="Y239" t="s">
        <v>4787</v>
      </c>
      <c r="Z239" t="s">
        <v>4788</v>
      </c>
      <c r="AA239" t="s">
        <v>4789</v>
      </c>
      <c r="AB239" t="s">
        <v>4790</v>
      </c>
      <c r="AC239" t="s">
        <v>4791</v>
      </c>
      <c r="AD239" t="s">
        <v>4792</v>
      </c>
      <c r="AE239" t="s">
        <v>4793</v>
      </c>
      <c r="AF239" t="s">
        <v>74</v>
      </c>
      <c r="AG239">
        <v>46</v>
      </c>
      <c r="AH239">
        <v>63</v>
      </c>
      <c r="AI239">
        <v>68</v>
      </c>
      <c r="AJ239">
        <v>0</v>
      </c>
      <c r="AK239">
        <v>26</v>
      </c>
      <c r="AL239" t="s">
        <v>935</v>
      </c>
      <c r="AM239" t="s">
        <v>369</v>
      </c>
      <c r="AN239" t="s">
        <v>936</v>
      </c>
      <c r="AO239" t="s">
        <v>4794</v>
      </c>
      <c r="AP239" t="s">
        <v>4795</v>
      </c>
      <c r="AQ239" t="s">
        <v>74</v>
      </c>
      <c r="AR239" t="s">
        <v>4796</v>
      </c>
      <c r="AS239" t="s">
        <v>4797</v>
      </c>
      <c r="AT239" t="s">
        <v>4798</v>
      </c>
      <c r="AU239">
        <v>2012</v>
      </c>
      <c r="AV239">
        <v>325</v>
      </c>
      <c r="AW239" t="s">
        <v>74</v>
      </c>
      <c r="AX239" t="s">
        <v>74</v>
      </c>
      <c r="AY239" t="s">
        <v>74</v>
      </c>
      <c r="AZ239" t="s">
        <v>74</v>
      </c>
      <c r="BA239" t="s">
        <v>74</v>
      </c>
      <c r="BB239">
        <v>93</v>
      </c>
      <c r="BC239">
        <v>99</v>
      </c>
      <c r="BD239" t="s">
        <v>74</v>
      </c>
      <c r="BE239" t="s">
        <v>4799</v>
      </c>
      <c r="BF239" t="str">
        <f>HYPERLINK("http://dx.doi.org/10.1016/j.epsl.2011.12.022","http://dx.doi.org/10.1016/j.epsl.2011.12.022")</f>
        <v>http://dx.doi.org/10.1016/j.epsl.2011.12.022</v>
      </c>
      <c r="BG239" t="s">
        <v>74</v>
      </c>
      <c r="BH239" t="s">
        <v>74</v>
      </c>
      <c r="BI239">
        <v>7</v>
      </c>
      <c r="BJ239" t="s">
        <v>1134</v>
      </c>
      <c r="BK239" t="s">
        <v>99</v>
      </c>
      <c r="BL239" t="s">
        <v>1134</v>
      </c>
      <c r="BM239" t="s">
        <v>4800</v>
      </c>
      <c r="BN239" t="s">
        <v>74</v>
      </c>
      <c r="BO239" t="s">
        <v>328</v>
      </c>
      <c r="BP239" t="s">
        <v>74</v>
      </c>
      <c r="BQ239" t="s">
        <v>74</v>
      </c>
      <c r="BR239" t="s">
        <v>101</v>
      </c>
      <c r="BS239" t="s">
        <v>4801</v>
      </c>
      <c r="BT239" t="str">
        <f>HYPERLINK("https%3A%2F%2Fwww.webofscience.com%2Fwos%2Fwoscc%2Ffull-record%2FWOS:000302881500010","View Full Record in Web of Science")</f>
        <v>View Full Record in Web of Science</v>
      </c>
    </row>
    <row r="240" spans="1:72" x14ac:dyDescent="0.15">
      <c r="A240" t="s">
        <v>72</v>
      </c>
      <c r="B240" t="s">
        <v>4802</v>
      </c>
      <c r="C240" t="s">
        <v>74</v>
      </c>
      <c r="D240" t="s">
        <v>74</v>
      </c>
      <c r="E240" t="s">
        <v>74</v>
      </c>
      <c r="F240" t="s">
        <v>4803</v>
      </c>
      <c r="G240" t="s">
        <v>74</v>
      </c>
      <c r="H240" t="s">
        <v>74</v>
      </c>
      <c r="I240" t="s">
        <v>4804</v>
      </c>
      <c r="J240" t="s">
        <v>4781</v>
      </c>
      <c r="K240" t="s">
        <v>74</v>
      </c>
      <c r="L240" t="s">
        <v>74</v>
      </c>
      <c r="M240" t="s">
        <v>78</v>
      </c>
      <c r="N240" t="s">
        <v>79</v>
      </c>
      <c r="O240" t="s">
        <v>74</v>
      </c>
      <c r="P240" t="s">
        <v>74</v>
      </c>
      <c r="Q240" t="s">
        <v>74</v>
      </c>
      <c r="R240" t="s">
        <v>74</v>
      </c>
      <c r="S240" t="s">
        <v>74</v>
      </c>
      <c r="T240" t="s">
        <v>4805</v>
      </c>
      <c r="U240" t="s">
        <v>4806</v>
      </c>
      <c r="V240" t="s">
        <v>4807</v>
      </c>
      <c r="W240" t="s">
        <v>4808</v>
      </c>
      <c r="X240" t="s">
        <v>4809</v>
      </c>
      <c r="Y240" t="s">
        <v>4810</v>
      </c>
      <c r="Z240" t="s">
        <v>4811</v>
      </c>
      <c r="AA240" t="s">
        <v>4812</v>
      </c>
      <c r="AB240" t="s">
        <v>4813</v>
      </c>
      <c r="AC240" t="s">
        <v>4814</v>
      </c>
      <c r="AD240" t="s">
        <v>4815</v>
      </c>
      <c r="AE240" t="s">
        <v>4816</v>
      </c>
      <c r="AF240" t="s">
        <v>74</v>
      </c>
      <c r="AG240">
        <v>41</v>
      </c>
      <c r="AH240">
        <v>38</v>
      </c>
      <c r="AI240">
        <v>40</v>
      </c>
      <c r="AJ240">
        <v>1</v>
      </c>
      <c r="AK240">
        <v>33</v>
      </c>
      <c r="AL240" t="s">
        <v>935</v>
      </c>
      <c r="AM240" t="s">
        <v>369</v>
      </c>
      <c r="AN240" t="s">
        <v>936</v>
      </c>
      <c r="AO240" t="s">
        <v>4794</v>
      </c>
      <c r="AP240" t="s">
        <v>4795</v>
      </c>
      <c r="AQ240" t="s">
        <v>74</v>
      </c>
      <c r="AR240" t="s">
        <v>4796</v>
      </c>
      <c r="AS240" t="s">
        <v>4797</v>
      </c>
      <c r="AT240" t="s">
        <v>4798</v>
      </c>
      <c r="AU240">
        <v>2012</v>
      </c>
      <c r="AV240">
        <v>325</v>
      </c>
      <c r="AW240" t="s">
        <v>74</v>
      </c>
      <c r="AX240" t="s">
        <v>74</v>
      </c>
      <c r="AY240" t="s">
        <v>74</v>
      </c>
      <c r="AZ240" t="s">
        <v>74</v>
      </c>
      <c r="BA240" t="s">
        <v>74</v>
      </c>
      <c r="BB240">
        <v>108</v>
      </c>
      <c r="BC240">
        <v>115</v>
      </c>
      <c r="BD240" t="s">
        <v>74</v>
      </c>
      <c r="BE240" t="s">
        <v>4817</v>
      </c>
      <c r="BF240" t="str">
        <f>HYPERLINK("http://dx.doi.org/10.1016/j.epsl.2012.01.036","http://dx.doi.org/10.1016/j.epsl.2012.01.036")</f>
        <v>http://dx.doi.org/10.1016/j.epsl.2012.01.036</v>
      </c>
      <c r="BG240" t="s">
        <v>74</v>
      </c>
      <c r="BH240" t="s">
        <v>74</v>
      </c>
      <c r="BI240">
        <v>8</v>
      </c>
      <c r="BJ240" t="s">
        <v>1134</v>
      </c>
      <c r="BK240" t="s">
        <v>99</v>
      </c>
      <c r="BL240" t="s">
        <v>1134</v>
      </c>
      <c r="BM240" t="s">
        <v>4800</v>
      </c>
      <c r="BN240" t="s">
        <v>74</v>
      </c>
      <c r="BO240" t="s">
        <v>1094</v>
      </c>
      <c r="BP240" t="s">
        <v>74</v>
      </c>
      <c r="BQ240" t="s">
        <v>74</v>
      </c>
      <c r="BR240" t="s">
        <v>101</v>
      </c>
      <c r="BS240" t="s">
        <v>4818</v>
      </c>
      <c r="BT240" t="str">
        <f>HYPERLINK("https%3A%2F%2Fwww.webofscience.com%2Fwos%2Fwoscc%2Ffull-record%2FWOS:000302881500012","View Full Record in Web of Science")</f>
        <v>View Full Record in Web of Science</v>
      </c>
    </row>
    <row r="241" spans="1:72" x14ac:dyDescent="0.15">
      <c r="A241" t="s">
        <v>72</v>
      </c>
      <c r="B241" t="s">
        <v>4819</v>
      </c>
      <c r="C241" t="s">
        <v>74</v>
      </c>
      <c r="D241" t="s">
        <v>74</v>
      </c>
      <c r="E241" t="s">
        <v>74</v>
      </c>
      <c r="F241" t="s">
        <v>4820</v>
      </c>
      <c r="G241" t="s">
        <v>74</v>
      </c>
      <c r="H241" t="s">
        <v>74</v>
      </c>
      <c r="I241" t="s">
        <v>4821</v>
      </c>
      <c r="J241" t="s">
        <v>4822</v>
      </c>
      <c r="K241" t="s">
        <v>74</v>
      </c>
      <c r="L241" t="s">
        <v>74</v>
      </c>
      <c r="M241" t="s">
        <v>78</v>
      </c>
      <c r="N241" t="s">
        <v>79</v>
      </c>
      <c r="O241" t="s">
        <v>74</v>
      </c>
      <c r="P241" t="s">
        <v>74</v>
      </c>
      <c r="Q241" t="s">
        <v>74</v>
      </c>
      <c r="R241" t="s">
        <v>74</v>
      </c>
      <c r="S241" t="s">
        <v>74</v>
      </c>
      <c r="T241" t="s">
        <v>4823</v>
      </c>
      <c r="U241" t="s">
        <v>4824</v>
      </c>
      <c r="V241" t="s">
        <v>4825</v>
      </c>
      <c r="W241" t="s">
        <v>4826</v>
      </c>
      <c r="X241" t="s">
        <v>4827</v>
      </c>
      <c r="Y241" t="s">
        <v>4828</v>
      </c>
      <c r="Z241" t="s">
        <v>4829</v>
      </c>
      <c r="AA241" t="s">
        <v>74</v>
      </c>
      <c r="AB241" t="s">
        <v>74</v>
      </c>
      <c r="AC241" t="s">
        <v>4830</v>
      </c>
      <c r="AD241" t="s">
        <v>4831</v>
      </c>
      <c r="AE241" t="s">
        <v>4832</v>
      </c>
      <c r="AF241" t="s">
        <v>74</v>
      </c>
      <c r="AG241">
        <v>23</v>
      </c>
      <c r="AH241">
        <v>10</v>
      </c>
      <c r="AI241">
        <v>10</v>
      </c>
      <c r="AJ241">
        <v>1</v>
      </c>
      <c r="AK241">
        <v>22</v>
      </c>
      <c r="AL241" t="s">
        <v>655</v>
      </c>
      <c r="AM241" t="s">
        <v>1442</v>
      </c>
      <c r="AN241" t="s">
        <v>1443</v>
      </c>
      <c r="AO241" t="s">
        <v>4833</v>
      </c>
      <c r="AP241" t="s">
        <v>74</v>
      </c>
      <c r="AQ241" t="s">
        <v>74</v>
      </c>
      <c r="AR241" t="s">
        <v>4834</v>
      </c>
      <c r="AS241" t="s">
        <v>4835</v>
      </c>
      <c r="AT241" t="s">
        <v>3442</v>
      </c>
      <c r="AU241">
        <v>2012</v>
      </c>
      <c r="AV241">
        <v>34</v>
      </c>
      <c r="AW241">
        <v>2</v>
      </c>
      <c r="AX241" t="s">
        <v>74</v>
      </c>
      <c r="AY241" t="s">
        <v>74</v>
      </c>
      <c r="AZ241" t="s">
        <v>1913</v>
      </c>
      <c r="BA241" t="s">
        <v>74</v>
      </c>
      <c r="BB241">
        <v>243</v>
      </c>
      <c r="BC241">
        <v>250</v>
      </c>
      <c r="BD241" t="s">
        <v>74</v>
      </c>
      <c r="BE241" t="s">
        <v>4836</v>
      </c>
      <c r="BF241" t="str">
        <f>HYPERLINK("http://dx.doi.org/10.1007/s10653-011-9425-z","http://dx.doi.org/10.1007/s10653-011-9425-z")</f>
        <v>http://dx.doi.org/10.1007/s10653-011-9425-z</v>
      </c>
      <c r="BG241" t="s">
        <v>74</v>
      </c>
      <c r="BH241" t="s">
        <v>74</v>
      </c>
      <c r="BI241">
        <v>8</v>
      </c>
      <c r="BJ241" t="s">
        <v>4837</v>
      </c>
      <c r="BK241" t="s">
        <v>99</v>
      </c>
      <c r="BL241" t="s">
        <v>4838</v>
      </c>
      <c r="BM241" t="s">
        <v>4839</v>
      </c>
      <c r="BN241">
        <v>21953280</v>
      </c>
      <c r="BO241" t="s">
        <v>74</v>
      </c>
      <c r="BP241" t="s">
        <v>74</v>
      </c>
      <c r="BQ241" t="s">
        <v>74</v>
      </c>
      <c r="BR241" t="s">
        <v>101</v>
      </c>
      <c r="BS241" t="s">
        <v>4840</v>
      </c>
      <c r="BT241" t="str">
        <f>HYPERLINK("https%3A%2F%2Fwww.webofscience.com%2Fwos%2Fwoscc%2Ffull-record%2FWOS:000301182100010","View Full Record in Web of Science")</f>
        <v>View Full Record in Web of Science</v>
      </c>
    </row>
    <row r="242" spans="1:72" x14ac:dyDescent="0.15">
      <c r="A242" t="s">
        <v>72</v>
      </c>
      <c r="B242" t="s">
        <v>4841</v>
      </c>
      <c r="C242" t="s">
        <v>74</v>
      </c>
      <c r="D242" t="s">
        <v>74</v>
      </c>
      <c r="E242" t="s">
        <v>74</v>
      </c>
      <c r="F242" t="s">
        <v>4842</v>
      </c>
      <c r="G242" t="s">
        <v>74</v>
      </c>
      <c r="H242" t="s">
        <v>74</v>
      </c>
      <c r="I242" t="s">
        <v>4843</v>
      </c>
      <c r="J242" t="s">
        <v>4844</v>
      </c>
      <c r="K242" t="s">
        <v>74</v>
      </c>
      <c r="L242" t="s">
        <v>74</v>
      </c>
      <c r="M242" t="s">
        <v>78</v>
      </c>
      <c r="N242" t="s">
        <v>79</v>
      </c>
      <c r="O242" t="s">
        <v>74</v>
      </c>
      <c r="P242" t="s">
        <v>74</v>
      </c>
      <c r="Q242" t="s">
        <v>74</v>
      </c>
      <c r="R242" t="s">
        <v>74</v>
      </c>
      <c r="S242" t="s">
        <v>74</v>
      </c>
      <c r="T242" t="s">
        <v>4845</v>
      </c>
      <c r="U242" t="s">
        <v>4846</v>
      </c>
      <c r="V242" t="s">
        <v>4847</v>
      </c>
      <c r="W242" t="s">
        <v>4848</v>
      </c>
      <c r="X242" t="s">
        <v>4849</v>
      </c>
      <c r="Y242" t="s">
        <v>4850</v>
      </c>
      <c r="Z242" t="s">
        <v>4851</v>
      </c>
      <c r="AA242" t="s">
        <v>4852</v>
      </c>
      <c r="AB242" t="s">
        <v>4853</v>
      </c>
      <c r="AC242" t="s">
        <v>4854</v>
      </c>
      <c r="AD242" t="s">
        <v>4855</v>
      </c>
      <c r="AE242" t="s">
        <v>74</v>
      </c>
      <c r="AF242" t="s">
        <v>74</v>
      </c>
      <c r="AG242">
        <v>47</v>
      </c>
      <c r="AH242">
        <v>25</v>
      </c>
      <c r="AI242">
        <v>28</v>
      </c>
      <c r="AJ242">
        <v>1</v>
      </c>
      <c r="AK242">
        <v>37</v>
      </c>
      <c r="AL242" t="s">
        <v>1620</v>
      </c>
      <c r="AM242" t="s">
        <v>278</v>
      </c>
      <c r="AN242" t="s">
        <v>1621</v>
      </c>
      <c r="AO242" t="s">
        <v>4856</v>
      </c>
      <c r="AP242" t="s">
        <v>4857</v>
      </c>
      <c r="AQ242" t="s">
        <v>74</v>
      </c>
      <c r="AR242" t="s">
        <v>4858</v>
      </c>
      <c r="AS242" t="s">
        <v>4859</v>
      </c>
      <c r="AT242" t="s">
        <v>3442</v>
      </c>
      <c r="AU242">
        <v>2012</v>
      </c>
      <c r="AV242">
        <v>329</v>
      </c>
      <c r="AW242">
        <v>1</v>
      </c>
      <c r="AX242" t="s">
        <v>74</v>
      </c>
      <c r="AY242" t="s">
        <v>74</v>
      </c>
      <c r="AZ242" t="s">
        <v>74</v>
      </c>
      <c r="BA242" t="s">
        <v>74</v>
      </c>
      <c r="BB242">
        <v>69</v>
      </c>
      <c r="BC242">
        <v>77</v>
      </c>
      <c r="BD242" t="s">
        <v>74</v>
      </c>
      <c r="BE242" t="s">
        <v>4860</v>
      </c>
      <c r="BF242" t="str">
        <f>HYPERLINK("http://dx.doi.org/10.1111/j.1574-6968.2012.02501.x","http://dx.doi.org/10.1111/j.1574-6968.2012.02501.x")</f>
        <v>http://dx.doi.org/10.1111/j.1574-6968.2012.02501.x</v>
      </c>
      <c r="BG242" t="s">
        <v>74</v>
      </c>
      <c r="BH242" t="s">
        <v>74</v>
      </c>
      <c r="BI242">
        <v>9</v>
      </c>
      <c r="BJ242" t="s">
        <v>686</v>
      </c>
      <c r="BK242" t="s">
        <v>99</v>
      </c>
      <c r="BL242" t="s">
        <v>686</v>
      </c>
      <c r="BM242" t="s">
        <v>4861</v>
      </c>
      <c r="BN242">
        <v>22268804</v>
      </c>
      <c r="BO242" t="s">
        <v>74</v>
      </c>
      <c r="BP242" t="s">
        <v>74</v>
      </c>
      <c r="BQ242" t="s">
        <v>74</v>
      </c>
      <c r="BR242" t="s">
        <v>101</v>
      </c>
      <c r="BS242" t="s">
        <v>4862</v>
      </c>
      <c r="BT242" t="str">
        <f>HYPERLINK("https%3A%2F%2Fwww.webofscience.com%2Fwos%2Fwoscc%2Ffull-record%2FWOS:000300932500009","View Full Record in Web of Science")</f>
        <v>View Full Record in Web of Science</v>
      </c>
    </row>
    <row r="243" spans="1:72" x14ac:dyDescent="0.15">
      <c r="A243" t="s">
        <v>72</v>
      </c>
      <c r="B243" t="s">
        <v>4863</v>
      </c>
      <c r="C243" t="s">
        <v>74</v>
      </c>
      <c r="D243" t="s">
        <v>74</v>
      </c>
      <c r="E243" t="s">
        <v>74</v>
      </c>
      <c r="F243" t="s">
        <v>4864</v>
      </c>
      <c r="G243" t="s">
        <v>74</v>
      </c>
      <c r="H243" t="s">
        <v>74</v>
      </c>
      <c r="I243" t="s">
        <v>4865</v>
      </c>
      <c r="J243" t="s">
        <v>4866</v>
      </c>
      <c r="K243" t="s">
        <v>74</v>
      </c>
      <c r="L243" t="s">
        <v>74</v>
      </c>
      <c r="M243" t="s">
        <v>78</v>
      </c>
      <c r="N243" t="s">
        <v>79</v>
      </c>
      <c r="O243" t="s">
        <v>74</v>
      </c>
      <c r="P243" t="s">
        <v>74</v>
      </c>
      <c r="Q243" t="s">
        <v>74</v>
      </c>
      <c r="R243" t="s">
        <v>74</v>
      </c>
      <c r="S243" t="s">
        <v>74</v>
      </c>
      <c r="T243" t="s">
        <v>4867</v>
      </c>
      <c r="U243" t="s">
        <v>4868</v>
      </c>
      <c r="V243" t="s">
        <v>4869</v>
      </c>
      <c r="W243" t="s">
        <v>4870</v>
      </c>
      <c r="X243" t="s">
        <v>4871</v>
      </c>
      <c r="Y243" t="s">
        <v>4872</v>
      </c>
      <c r="Z243" t="s">
        <v>4873</v>
      </c>
      <c r="AA243" t="s">
        <v>4874</v>
      </c>
      <c r="AB243" t="s">
        <v>4875</v>
      </c>
      <c r="AC243" t="s">
        <v>4876</v>
      </c>
      <c r="AD243" t="s">
        <v>4877</v>
      </c>
      <c r="AE243" t="s">
        <v>4878</v>
      </c>
      <c r="AF243" t="s">
        <v>74</v>
      </c>
      <c r="AG243">
        <v>37</v>
      </c>
      <c r="AH243">
        <v>32</v>
      </c>
      <c r="AI243">
        <v>36</v>
      </c>
      <c r="AJ243">
        <v>0</v>
      </c>
      <c r="AK243">
        <v>64</v>
      </c>
      <c r="AL243" t="s">
        <v>1964</v>
      </c>
      <c r="AM243" t="s">
        <v>1965</v>
      </c>
      <c r="AN243" t="s">
        <v>1966</v>
      </c>
      <c r="AO243" t="s">
        <v>4879</v>
      </c>
      <c r="AP243" t="s">
        <v>4880</v>
      </c>
      <c r="AQ243" t="s">
        <v>74</v>
      </c>
      <c r="AR243" t="s">
        <v>4881</v>
      </c>
      <c r="AS243" t="s">
        <v>4882</v>
      </c>
      <c r="AT243" t="s">
        <v>4798</v>
      </c>
      <c r="AU243">
        <v>2012</v>
      </c>
      <c r="AV243">
        <v>176</v>
      </c>
      <c r="AW243">
        <v>2</v>
      </c>
      <c r="AX243" t="s">
        <v>74</v>
      </c>
      <c r="AY243" t="s">
        <v>74</v>
      </c>
      <c r="AZ243" t="s">
        <v>74</v>
      </c>
      <c r="BA243" t="s">
        <v>74</v>
      </c>
      <c r="BB243">
        <v>151</v>
      </c>
      <c r="BC243">
        <v>157</v>
      </c>
      <c r="BD243" t="s">
        <v>74</v>
      </c>
      <c r="BE243" t="s">
        <v>4883</v>
      </c>
      <c r="BF243" t="str">
        <f>HYPERLINK("http://dx.doi.org/10.1016/j.ygcen.2012.01.006","http://dx.doi.org/10.1016/j.ygcen.2012.01.006")</f>
        <v>http://dx.doi.org/10.1016/j.ygcen.2012.01.006</v>
      </c>
      <c r="BG243" t="s">
        <v>74</v>
      </c>
      <c r="BH243" t="s">
        <v>74</v>
      </c>
      <c r="BI243">
        <v>7</v>
      </c>
      <c r="BJ243" t="s">
        <v>4884</v>
      </c>
      <c r="BK243" t="s">
        <v>99</v>
      </c>
      <c r="BL243" t="s">
        <v>4884</v>
      </c>
      <c r="BM243" t="s">
        <v>4885</v>
      </c>
      <c r="BN243">
        <v>22285395</v>
      </c>
      <c r="BO243" t="s">
        <v>2812</v>
      </c>
      <c r="BP243" t="s">
        <v>74</v>
      </c>
      <c r="BQ243" t="s">
        <v>74</v>
      </c>
      <c r="BR243" t="s">
        <v>101</v>
      </c>
      <c r="BS243" t="s">
        <v>4886</v>
      </c>
      <c r="BT243" t="str">
        <f>HYPERLINK("https%3A%2F%2Fwww.webofscience.com%2Fwos%2Fwoscc%2Ffull-record%2FWOS:000302453400006","View Full Record in Web of Science")</f>
        <v>View Full Record in Web of Science</v>
      </c>
    </row>
    <row r="244" spans="1:72" x14ac:dyDescent="0.15">
      <c r="A244" t="s">
        <v>72</v>
      </c>
      <c r="B244" t="s">
        <v>4887</v>
      </c>
      <c r="C244" t="s">
        <v>74</v>
      </c>
      <c r="D244" t="s">
        <v>74</v>
      </c>
      <c r="E244" t="s">
        <v>74</v>
      </c>
      <c r="F244" t="s">
        <v>4888</v>
      </c>
      <c r="G244" t="s">
        <v>74</v>
      </c>
      <c r="H244" t="s">
        <v>74</v>
      </c>
      <c r="I244" t="s">
        <v>4889</v>
      </c>
      <c r="J244" t="s">
        <v>4890</v>
      </c>
      <c r="K244" t="s">
        <v>74</v>
      </c>
      <c r="L244" t="s">
        <v>74</v>
      </c>
      <c r="M244" t="s">
        <v>78</v>
      </c>
      <c r="N244" t="s">
        <v>79</v>
      </c>
      <c r="O244" t="s">
        <v>74</v>
      </c>
      <c r="P244" t="s">
        <v>74</v>
      </c>
      <c r="Q244" t="s">
        <v>74</v>
      </c>
      <c r="R244" t="s">
        <v>74</v>
      </c>
      <c r="S244" t="s">
        <v>74</v>
      </c>
      <c r="T244" t="s">
        <v>4891</v>
      </c>
      <c r="U244" t="s">
        <v>4892</v>
      </c>
      <c r="V244" t="s">
        <v>4893</v>
      </c>
      <c r="W244" t="s">
        <v>4894</v>
      </c>
      <c r="X244" t="s">
        <v>4895</v>
      </c>
      <c r="Y244" t="s">
        <v>4896</v>
      </c>
      <c r="Z244" t="s">
        <v>4897</v>
      </c>
      <c r="AA244" t="s">
        <v>74</v>
      </c>
      <c r="AB244" t="s">
        <v>74</v>
      </c>
      <c r="AC244" t="s">
        <v>4898</v>
      </c>
      <c r="AD244" t="s">
        <v>4899</v>
      </c>
      <c r="AE244" t="s">
        <v>4900</v>
      </c>
      <c r="AF244" t="s">
        <v>74</v>
      </c>
      <c r="AG244">
        <v>48</v>
      </c>
      <c r="AH244">
        <v>53</v>
      </c>
      <c r="AI244">
        <v>61</v>
      </c>
      <c r="AJ244">
        <v>0</v>
      </c>
      <c r="AK244">
        <v>38</v>
      </c>
      <c r="AL244" t="s">
        <v>368</v>
      </c>
      <c r="AM244" t="s">
        <v>369</v>
      </c>
      <c r="AN244" t="s">
        <v>370</v>
      </c>
      <c r="AO244" t="s">
        <v>4901</v>
      </c>
      <c r="AP244" t="s">
        <v>4902</v>
      </c>
      <c r="AQ244" t="s">
        <v>74</v>
      </c>
      <c r="AR244" t="s">
        <v>4903</v>
      </c>
      <c r="AS244" t="s">
        <v>4904</v>
      </c>
      <c r="AT244" t="s">
        <v>3442</v>
      </c>
      <c r="AU244">
        <v>2012</v>
      </c>
      <c r="AV244">
        <v>12</v>
      </c>
      <c r="AW244">
        <v>4</v>
      </c>
      <c r="AX244" t="s">
        <v>74</v>
      </c>
      <c r="AY244" t="s">
        <v>74</v>
      </c>
      <c r="AZ244" t="s">
        <v>74</v>
      </c>
      <c r="BA244" t="s">
        <v>74</v>
      </c>
      <c r="BB244">
        <v>611</v>
      </c>
      <c r="BC244">
        <v>617</v>
      </c>
      <c r="BD244" t="s">
        <v>74</v>
      </c>
      <c r="BE244" t="s">
        <v>4905</v>
      </c>
      <c r="BF244" t="str">
        <f>HYPERLINK("http://dx.doi.org/10.1016/j.intimp.2012.02.009","http://dx.doi.org/10.1016/j.intimp.2012.02.009")</f>
        <v>http://dx.doi.org/10.1016/j.intimp.2012.02.009</v>
      </c>
      <c r="BG244" t="s">
        <v>74</v>
      </c>
      <c r="BH244" t="s">
        <v>74</v>
      </c>
      <c r="BI244">
        <v>7</v>
      </c>
      <c r="BJ244" t="s">
        <v>4906</v>
      </c>
      <c r="BK244" t="s">
        <v>99</v>
      </c>
      <c r="BL244" t="s">
        <v>4906</v>
      </c>
      <c r="BM244" t="s">
        <v>4907</v>
      </c>
      <c r="BN244">
        <v>22391090</v>
      </c>
      <c r="BO244" t="s">
        <v>74</v>
      </c>
      <c r="BP244" t="s">
        <v>74</v>
      </c>
      <c r="BQ244" t="s">
        <v>74</v>
      </c>
      <c r="BR244" t="s">
        <v>101</v>
      </c>
      <c r="BS244" t="s">
        <v>4908</v>
      </c>
      <c r="BT244" t="str">
        <f>HYPERLINK("https%3A%2F%2Fwww.webofscience.com%2Fwos%2Fwoscc%2Ffull-record%2FWOS:000303143800010","View Full Record in Web of Science")</f>
        <v>View Full Record in Web of Science</v>
      </c>
    </row>
    <row r="245" spans="1:72" x14ac:dyDescent="0.15">
      <c r="A245" t="s">
        <v>72</v>
      </c>
      <c r="B245" t="s">
        <v>4909</v>
      </c>
      <c r="C245" t="s">
        <v>74</v>
      </c>
      <c r="D245" t="s">
        <v>74</v>
      </c>
      <c r="E245" t="s">
        <v>74</v>
      </c>
      <c r="F245" t="s">
        <v>4910</v>
      </c>
      <c r="G245" t="s">
        <v>74</v>
      </c>
      <c r="H245" t="s">
        <v>74</v>
      </c>
      <c r="I245" t="s">
        <v>4911</v>
      </c>
      <c r="J245" t="s">
        <v>4912</v>
      </c>
      <c r="K245" t="s">
        <v>74</v>
      </c>
      <c r="L245" t="s">
        <v>74</v>
      </c>
      <c r="M245" t="s">
        <v>78</v>
      </c>
      <c r="N245" t="s">
        <v>79</v>
      </c>
      <c r="O245" t="s">
        <v>74</v>
      </c>
      <c r="P245" t="s">
        <v>74</v>
      </c>
      <c r="Q245" t="s">
        <v>74</v>
      </c>
      <c r="R245" t="s">
        <v>74</v>
      </c>
      <c r="S245" t="s">
        <v>74</v>
      </c>
      <c r="T245" t="s">
        <v>74</v>
      </c>
      <c r="U245" t="s">
        <v>4913</v>
      </c>
      <c r="V245" t="s">
        <v>4914</v>
      </c>
      <c r="W245" t="s">
        <v>4915</v>
      </c>
      <c r="X245" t="s">
        <v>4916</v>
      </c>
      <c r="Y245" t="s">
        <v>4917</v>
      </c>
      <c r="Z245" t="s">
        <v>4918</v>
      </c>
      <c r="AA245" t="s">
        <v>4919</v>
      </c>
      <c r="AB245" t="s">
        <v>74</v>
      </c>
      <c r="AC245" t="s">
        <v>4920</v>
      </c>
      <c r="AD245" t="s">
        <v>4921</v>
      </c>
      <c r="AE245" t="s">
        <v>4922</v>
      </c>
      <c r="AF245" t="s">
        <v>74</v>
      </c>
      <c r="AG245">
        <v>19</v>
      </c>
      <c r="AH245">
        <v>9</v>
      </c>
      <c r="AI245">
        <v>10</v>
      </c>
      <c r="AJ245">
        <v>1</v>
      </c>
      <c r="AK245">
        <v>39</v>
      </c>
      <c r="AL245" t="s">
        <v>1394</v>
      </c>
      <c r="AM245" t="s">
        <v>119</v>
      </c>
      <c r="AN245" t="s">
        <v>1395</v>
      </c>
      <c r="AO245" t="s">
        <v>4923</v>
      </c>
      <c r="AP245" t="s">
        <v>74</v>
      </c>
      <c r="AQ245" t="s">
        <v>74</v>
      </c>
      <c r="AR245" t="s">
        <v>4924</v>
      </c>
      <c r="AS245" t="s">
        <v>4925</v>
      </c>
      <c r="AT245" t="s">
        <v>3442</v>
      </c>
      <c r="AU245">
        <v>2012</v>
      </c>
      <c r="AV245">
        <v>57</v>
      </c>
      <c r="AW245">
        <v>4</v>
      </c>
      <c r="AX245" t="s">
        <v>74</v>
      </c>
      <c r="AY245" t="s">
        <v>74</v>
      </c>
      <c r="AZ245" t="s">
        <v>74</v>
      </c>
      <c r="BA245" t="s">
        <v>74</v>
      </c>
      <c r="BB245">
        <v>1226</v>
      </c>
      <c r="BC245">
        <v>1230</v>
      </c>
      <c r="BD245" t="s">
        <v>74</v>
      </c>
      <c r="BE245" t="s">
        <v>4926</v>
      </c>
      <c r="BF245" t="str">
        <f>HYPERLINK("http://dx.doi.org/10.1021/je201330j","http://dx.doi.org/10.1021/je201330j")</f>
        <v>http://dx.doi.org/10.1021/je201330j</v>
      </c>
      <c r="BG245" t="s">
        <v>74</v>
      </c>
      <c r="BH245" t="s">
        <v>74</v>
      </c>
      <c r="BI245">
        <v>5</v>
      </c>
      <c r="BJ245" t="s">
        <v>4927</v>
      </c>
      <c r="BK245" t="s">
        <v>99</v>
      </c>
      <c r="BL245" t="s">
        <v>4928</v>
      </c>
      <c r="BM245" t="s">
        <v>4929</v>
      </c>
      <c r="BN245" t="s">
        <v>74</v>
      </c>
      <c r="BO245" t="s">
        <v>74</v>
      </c>
      <c r="BP245" t="s">
        <v>74</v>
      </c>
      <c r="BQ245" t="s">
        <v>74</v>
      </c>
      <c r="BR245" t="s">
        <v>101</v>
      </c>
      <c r="BS245" t="s">
        <v>4930</v>
      </c>
      <c r="BT245" t="str">
        <f>HYPERLINK("https%3A%2F%2Fwww.webofscience.com%2Fwos%2Fwoscc%2Ffull-record%2FWOS:000302590900030","View Full Record in Web of Science")</f>
        <v>View Full Record in Web of Science</v>
      </c>
    </row>
    <row r="246" spans="1:72" x14ac:dyDescent="0.15">
      <c r="A246" t="s">
        <v>72</v>
      </c>
      <c r="B246" t="s">
        <v>4931</v>
      </c>
      <c r="C246" t="s">
        <v>74</v>
      </c>
      <c r="D246" t="s">
        <v>74</v>
      </c>
      <c r="E246" t="s">
        <v>74</v>
      </c>
      <c r="F246" t="s">
        <v>4932</v>
      </c>
      <c r="G246" t="s">
        <v>74</v>
      </c>
      <c r="H246" t="s">
        <v>74</v>
      </c>
      <c r="I246" t="s">
        <v>4933</v>
      </c>
      <c r="J246" t="s">
        <v>1151</v>
      </c>
      <c r="K246" t="s">
        <v>74</v>
      </c>
      <c r="L246" t="s">
        <v>74</v>
      </c>
      <c r="M246" t="s">
        <v>78</v>
      </c>
      <c r="N246" t="s">
        <v>79</v>
      </c>
      <c r="O246" t="s">
        <v>74</v>
      </c>
      <c r="P246" t="s">
        <v>74</v>
      </c>
      <c r="Q246" t="s">
        <v>74</v>
      </c>
      <c r="R246" t="s">
        <v>74</v>
      </c>
      <c r="S246" t="s">
        <v>74</v>
      </c>
      <c r="T246" t="s">
        <v>74</v>
      </c>
      <c r="U246" t="s">
        <v>4934</v>
      </c>
      <c r="V246" t="s">
        <v>4935</v>
      </c>
      <c r="W246" t="s">
        <v>4936</v>
      </c>
      <c r="X246" t="s">
        <v>4937</v>
      </c>
      <c r="Y246" t="s">
        <v>4938</v>
      </c>
      <c r="Z246" t="s">
        <v>4939</v>
      </c>
      <c r="AA246" t="s">
        <v>4940</v>
      </c>
      <c r="AB246" t="s">
        <v>4941</v>
      </c>
      <c r="AC246" t="s">
        <v>4942</v>
      </c>
      <c r="AD246" t="s">
        <v>4943</v>
      </c>
      <c r="AE246" t="s">
        <v>4944</v>
      </c>
      <c r="AF246" t="s">
        <v>74</v>
      </c>
      <c r="AG246">
        <v>107</v>
      </c>
      <c r="AH246">
        <v>52</v>
      </c>
      <c r="AI246">
        <v>57</v>
      </c>
      <c r="AJ246">
        <v>2</v>
      </c>
      <c r="AK246">
        <v>24</v>
      </c>
      <c r="AL246" t="s">
        <v>997</v>
      </c>
      <c r="AM246" t="s">
        <v>998</v>
      </c>
      <c r="AN246" t="s">
        <v>999</v>
      </c>
      <c r="AO246" t="s">
        <v>1163</v>
      </c>
      <c r="AP246" t="s">
        <v>74</v>
      </c>
      <c r="AQ246" t="s">
        <v>74</v>
      </c>
      <c r="AR246" t="s">
        <v>1165</v>
      </c>
      <c r="AS246" t="s">
        <v>1166</v>
      </c>
      <c r="AT246" t="s">
        <v>3442</v>
      </c>
      <c r="AU246">
        <v>2012</v>
      </c>
      <c r="AV246">
        <v>25</v>
      </c>
      <c r="AW246">
        <v>8</v>
      </c>
      <c r="AX246" t="s">
        <v>74</v>
      </c>
      <c r="AY246" t="s">
        <v>74</v>
      </c>
      <c r="AZ246" t="s">
        <v>74</v>
      </c>
      <c r="BA246" t="s">
        <v>74</v>
      </c>
      <c r="BB246">
        <v>2652</v>
      </c>
      <c r="BC246">
        <v>2675</v>
      </c>
      <c r="BD246" t="s">
        <v>74</v>
      </c>
      <c r="BE246" t="s">
        <v>4945</v>
      </c>
      <c r="BF246" t="str">
        <f>HYPERLINK("http://dx.doi.org/10.1175/JCLI-D-11-00302.1","http://dx.doi.org/10.1175/JCLI-D-11-00302.1")</f>
        <v>http://dx.doi.org/10.1175/JCLI-D-11-00302.1</v>
      </c>
      <c r="BG246" t="s">
        <v>74</v>
      </c>
      <c r="BH246" t="s">
        <v>74</v>
      </c>
      <c r="BI246">
        <v>24</v>
      </c>
      <c r="BJ246" t="s">
        <v>128</v>
      </c>
      <c r="BK246" t="s">
        <v>99</v>
      </c>
      <c r="BL246" t="s">
        <v>128</v>
      </c>
      <c r="BM246" t="s">
        <v>4946</v>
      </c>
      <c r="BN246" t="s">
        <v>74</v>
      </c>
      <c r="BO246" t="s">
        <v>197</v>
      </c>
      <c r="BP246" t="s">
        <v>74</v>
      </c>
      <c r="BQ246" t="s">
        <v>74</v>
      </c>
      <c r="BR246" t="s">
        <v>101</v>
      </c>
      <c r="BS246" t="s">
        <v>4947</v>
      </c>
      <c r="BT246" t="str">
        <f>HYPERLINK("https%3A%2F%2Fwww.webofscience.com%2Fwos%2Fwoscc%2Ffull-record%2FWOS:000302787300006","View Full Record in Web of Science")</f>
        <v>View Full Record in Web of Science</v>
      </c>
    </row>
    <row r="247" spans="1:72" x14ac:dyDescent="0.15">
      <c r="A247" t="s">
        <v>72</v>
      </c>
      <c r="B247" t="s">
        <v>4948</v>
      </c>
      <c r="C247" t="s">
        <v>74</v>
      </c>
      <c r="D247" t="s">
        <v>74</v>
      </c>
      <c r="E247" t="s">
        <v>74</v>
      </c>
      <c r="F247" t="s">
        <v>4949</v>
      </c>
      <c r="G247" t="s">
        <v>74</v>
      </c>
      <c r="H247" t="s">
        <v>74</v>
      </c>
      <c r="I247" t="s">
        <v>4950</v>
      </c>
      <c r="J247" t="s">
        <v>1151</v>
      </c>
      <c r="K247" t="s">
        <v>74</v>
      </c>
      <c r="L247" t="s">
        <v>74</v>
      </c>
      <c r="M247" t="s">
        <v>78</v>
      </c>
      <c r="N247" t="s">
        <v>79</v>
      </c>
      <c r="O247" t="s">
        <v>74</v>
      </c>
      <c r="P247" t="s">
        <v>74</v>
      </c>
      <c r="Q247" t="s">
        <v>74</v>
      </c>
      <c r="R247" t="s">
        <v>74</v>
      </c>
      <c r="S247" t="s">
        <v>74</v>
      </c>
      <c r="T247" t="s">
        <v>74</v>
      </c>
      <c r="U247" t="s">
        <v>4951</v>
      </c>
      <c r="V247" t="s">
        <v>4952</v>
      </c>
      <c r="W247" t="s">
        <v>4953</v>
      </c>
      <c r="X247" t="s">
        <v>4954</v>
      </c>
      <c r="Y247" t="s">
        <v>4955</v>
      </c>
      <c r="Z247" t="s">
        <v>4956</v>
      </c>
      <c r="AA247" t="s">
        <v>4957</v>
      </c>
      <c r="AB247" t="s">
        <v>4958</v>
      </c>
      <c r="AC247" t="s">
        <v>4959</v>
      </c>
      <c r="AD247" t="s">
        <v>4960</v>
      </c>
      <c r="AE247" t="s">
        <v>4961</v>
      </c>
      <c r="AF247" t="s">
        <v>74</v>
      </c>
      <c r="AG247">
        <v>56</v>
      </c>
      <c r="AH247">
        <v>45</v>
      </c>
      <c r="AI247">
        <v>49</v>
      </c>
      <c r="AJ247">
        <v>0</v>
      </c>
      <c r="AK247">
        <v>35</v>
      </c>
      <c r="AL247" t="s">
        <v>997</v>
      </c>
      <c r="AM247" t="s">
        <v>998</v>
      </c>
      <c r="AN247" t="s">
        <v>999</v>
      </c>
      <c r="AO247" t="s">
        <v>1163</v>
      </c>
      <c r="AP247" t="s">
        <v>1164</v>
      </c>
      <c r="AQ247" t="s">
        <v>74</v>
      </c>
      <c r="AR247" t="s">
        <v>1165</v>
      </c>
      <c r="AS247" t="s">
        <v>1166</v>
      </c>
      <c r="AT247" t="s">
        <v>3442</v>
      </c>
      <c r="AU247">
        <v>2012</v>
      </c>
      <c r="AV247">
        <v>25</v>
      </c>
      <c r="AW247">
        <v>8</v>
      </c>
      <c r="AX247" t="s">
        <v>74</v>
      </c>
      <c r="AY247" t="s">
        <v>74</v>
      </c>
      <c r="AZ247" t="s">
        <v>74</v>
      </c>
      <c r="BA247" t="s">
        <v>74</v>
      </c>
      <c r="BB247">
        <v>2737</v>
      </c>
      <c r="BC247">
        <v>2754</v>
      </c>
      <c r="BD247" t="s">
        <v>74</v>
      </c>
      <c r="BE247" t="s">
        <v>4962</v>
      </c>
      <c r="BF247" t="str">
        <f>HYPERLINK("http://dx.doi.org/10.1175/JCLI-D-11-00190.1","http://dx.doi.org/10.1175/JCLI-D-11-00190.1")</f>
        <v>http://dx.doi.org/10.1175/JCLI-D-11-00190.1</v>
      </c>
      <c r="BG247" t="s">
        <v>74</v>
      </c>
      <c r="BH247" t="s">
        <v>74</v>
      </c>
      <c r="BI247">
        <v>18</v>
      </c>
      <c r="BJ247" t="s">
        <v>128</v>
      </c>
      <c r="BK247" t="s">
        <v>99</v>
      </c>
      <c r="BL247" t="s">
        <v>128</v>
      </c>
      <c r="BM247" t="s">
        <v>4946</v>
      </c>
      <c r="BN247" t="s">
        <v>74</v>
      </c>
      <c r="BO247" t="s">
        <v>217</v>
      </c>
      <c r="BP247" t="s">
        <v>74</v>
      </c>
      <c r="BQ247" t="s">
        <v>74</v>
      </c>
      <c r="BR247" t="s">
        <v>101</v>
      </c>
      <c r="BS247" t="s">
        <v>4963</v>
      </c>
      <c r="BT247" t="str">
        <f>HYPERLINK("https%3A%2F%2Fwww.webofscience.com%2Fwos%2Fwoscc%2Ffull-record%2FWOS:000302787300010","View Full Record in Web of Science")</f>
        <v>View Full Record in Web of Science</v>
      </c>
    </row>
    <row r="248" spans="1:72" x14ac:dyDescent="0.15">
      <c r="A248" t="s">
        <v>72</v>
      </c>
      <c r="B248" t="s">
        <v>4964</v>
      </c>
      <c r="C248" t="s">
        <v>74</v>
      </c>
      <c r="D248" t="s">
        <v>74</v>
      </c>
      <c r="E248" t="s">
        <v>74</v>
      </c>
      <c r="F248" t="s">
        <v>4965</v>
      </c>
      <c r="G248" t="s">
        <v>74</v>
      </c>
      <c r="H248" t="s">
        <v>74</v>
      </c>
      <c r="I248" t="s">
        <v>4966</v>
      </c>
      <c r="J248" t="s">
        <v>4967</v>
      </c>
      <c r="K248" t="s">
        <v>74</v>
      </c>
      <c r="L248" t="s">
        <v>74</v>
      </c>
      <c r="M248" t="s">
        <v>78</v>
      </c>
      <c r="N248" t="s">
        <v>79</v>
      </c>
      <c r="O248" t="s">
        <v>74</v>
      </c>
      <c r="P248" t="s">
        <v>74</v>
      </c>
      <c r="Q248" t="s">
        <v>74</v>
      </c>
      <c r="R248" t="s">
        <v>74</v>
      </c>
      <c r="S248" t="s">
        <v>74</v>
      </c>
      <c r="T248" t="s">
        <v>4968</v>
      </c>
      <c r="U248" t="s">
        <v>4969</v>
      </c>
      <c r="V248" t="s">
        <v>4970</v>
      </c>
      <c r="W248" t="s">
        <v>4971</v>
      </c>
      <c r="X248" t="s">
        <v>4972</v>
      </c>
      <c r="Y248" t="s">
        <v>4973</v>
      </c>
      <c r="Z248" t="s">
        <v>4974</v>
      </c>
      <c r="AA248" t="s">
        <v>4975</v>
      </c>
      <c r="AB248" t="s">
        <v>4976</v>
      </c>
      <c r="AC248" t="s">
        <v>4977</v>
      </c>
      <c r="AD248" t="s">
        <v>4978</v>
      </c>
      <c r="AE248" t="s">
        <v>4979</v>
      </c>
      <c r="AF248" t="s">
        <v>74</v>
      </c>
      <c r="AG248">
        <v>65</v>
      </c>
      <c r="AH248">
        <v>131</v>
      </c>
      <c r="AI248">
        <v>144</v>
      </c>
      <c r="AJ248">
        <v>0</v>
      </c>
      <c r="AK248">
        <v>37</v>
      </c>
      <c r="AL248" t="s">
        <v>368</v>
      </c>
      <c r="AM248" t="s">
        <v>369</v>
      </c>
      <c r="AN248" t="s">
        <v>370</v>
      </c>
      <c r="AO248" t="s">
        <v>4980</v>
      </c>
      <c r="AP248" t="s">
        <v>4981</v>
      </c>
      <c r="AQ248" t="s">
        <v>74</v>
      </c>
      <c r="AR248" t="s">
        <v>4982</v>
      </c>
      <c r="AS248" t="s">
        <v>4983</v>
      </c>
      <c r="AT248" t="s">
        <v>3442</v>
      </c>
      <c r="AU248">
        <v>2012</v>
      </c>
      <c r="AV248">
        <v>92</v>
      </c>
      <c r="AW248">
        <v>1</v>
      </c>
      <c r="AX248" t="s">
        <v>74</v>
      </c>
      <c r="AY248" t="s">
        <v>74</v>
      </c>
      <c r="AZ248" t="s">
        <v>74</v>
      </c>
      <c r="BA248" t="s">
        <v>74</v>
      </c>
      <c r="BB248">
        <v>53</v>
      </c>
      <c r="BC248">
        <v>66</v>
      </c>
      <c r="BD248" t="s">
        <v>74</v>
      </c>
      <c r="BE248" t="s">
        <v>4984</v>
      </c>
      <c r="BF248" t="str">
        <f>HYPERLINK("http://dx.doi.org/10.1016/j.jmarsys.2011.10.006","http://dx.doi.org/10.1016/j.jmarsys.2011.10.006")</f>
        <v>http://dx.doi.org/10.1016/j.jmarsys.2011.10.006</v>
      </c>
      <c r="BG248" t="s">
        <v>74</v>
      </c>
      <c r="BH248" t="s">
        <v>74</v>
      </c>
      <c r="BI248">
        <v>14</v>
      </c>
      <c r="BJ248" t="s">
        <v>4985</v>
      </c>
      <c r="BK248" t="s">
        <v>99</v>
      </c>
      <c r="BL248" t="s">
        <v>4986</v>
      </c>
      <c r="BM248" t="s">
        <v>4987</v>
      </c>
      <c r="BN248" t="s">
        <v>74</v>
      </c>
      <c r="BO248" t="s">
        <v>74</v>
      </c>
      <c r="BP248" t="s">
        <v>74</v>
      </c>
      <c r="BQ248" t="s">
        <v>74</v>
      </c>
      <c r="BR248" t="s">
        <v>101</v>
      </c>
      <c r="BS248" t="s">
        <v>4988</v>
      </c>
      <c r="BT248" t="str">
        <f>HYPERLINK("https%3A%2F%2Fwww.webofscience.com%2Fwos%2Fwoscc%2Ffull-record%2FWOS:000299064600005","View Full Record in Web of Science")</f>
        <v>View Full Record in Web of Science</v>
      </c>
    </row>
    <row r="249" spans="1:72" x14ac:dyDescent="0.15">
      <c r="A249" t="s">
        <v>72</v>
      </c>
      <c r="B249" t="s">
        <v>4989</v>
      </c>
      <c r="C249" t="s">
        <v>74</v>
      </c>
      <c r="D249" t="s">
        <v>74</v>
      </c>
      <c r="E249" t="s">
        <v>74</v>
      </c>
      <c r="F249" t="s">
        <v>4990</v>
      </c>
      <c r="G249" t="s">
        <v>74</v>
      </c>
      <c r="H249" t="s">
        <v>74</v>
      </c>
      <c r="I249" t="s">
        <v>4991</v>
      </c>
      <c r="J249" t="s">
        <v>3571</v>
      </c>
      <c r="K249" t="s">
        <v>74</v>
      </c>
      <c r="L249" t="s">
        <v>74</v>
      </c>
      <c r="M249" t="s">
        <v>78</v>
      </c>
      <c r="N249" t="s">
        <v>79</v>
      </c>
      <c r="O249" t="s">
        <v>74</v>
      </c>
      <c r="P249" t="s">
        <v>74</v>
      </c>
      <c r="Q249" t="s">
        <v>74</v>
      </c>
      <c r="R249" t="s">
        <v>74</v>
      </c>
      <c r="S249" t="s">
        <v>74</v>
      </c>
      <c r="T249" t="s">
        <v>4992</v>
      </c>
      <c r="U249" t="s">
        <v>4993</v>
      </c>
      <c r="V249" t="s">
        <v>4994</v>
      </c>
      <c r="W249" t="s">
        <v>4995</v>
      </c>
      <c r="X249" t="s">
        <v>4996</v>
      </c>
      <c r="Y249" t="s">
        <v>4997</v>
      </c>
      <c r="Z249" t="s">
        <v>4998</v>
      </c>
      <c r="AA249" t="s">
        <v>4999</v>
      </c>
      <c r="AB249" t="s">
        <v>5000</v>
      </c>
      <c r="AC249" t="s">
        <v>5001</v>
      </c>
      <c r="AD249" t="s">
        <v>5002</v>
      </c>
      <c r="AE249" t="s">
        <v>5003</v>
      </c>
      <c r="AF249" t="s">
        <v>74</v>
      </c>
      <c r="AG249">
        <v>54</v>
      </c>
      <c r="AH249">
        <v>13</v>
      </c>
      <c r="AI249">
        <v>14</v>
      </c>
      <c r="AJ249">
        <v>1</v>
      </c>
      <c r="AK249">
        <v>55</v>
      </c>
      <c r="AL249" t="s">
        <v>2414</v>
      </c>
      <c r="AM249" t="s">
        <v>2415</v>
      </c>
      <c r="AN249" t="s">
        <v>2416</v>
      </c>
      <c r="AO249" t="s">
        <v>3581</v>
      </c>
      <c r="AP249" t="s">
        <v>3582</v>
      </c>
      <c r="AQ249" t="s">
        <v>74</v>
      </c>
      <c r="AR249" t="s">
        <v>3583</v>
      </c>
      <c r="AS249" t="s">
        <v>3584</v>
      </c>
      <c r="AT249" t="s">
        <v>3442</v>
      </c>
      <c r="AU249">
        <v>2012</v>
      </c>
      <c r="AV249">
        <v>153</v>
      </c>
      <c r="AW249">
        <v>2</v>
      </c>
      <c r="AX249" t="s">
        <v>74</v>
      </c>
      <c r="AY249" t="s">
        <v>74</v>
      </c>
      <c r="AZ249" t="s">
        <v>74</v>
      </c>
      <c r="BA249" t="s">
        <v>74</v>
      </c>
      <c r="BB249">
        <v>367</v>
      </c>
      <c r="BC249">
        <v>373</v>
      </c>
      <c r="BD249" t="s">
        <v>74</v>
      </c>
      <c r="BE249" t="s">
        <v>5004</v>
      </c>
      <c r="BF249" t="str">
        <f>HYPERLINK("http://dx.doi.org/10.1007/s10336-011-0751-9","http://dx.doi.org/10.1007/s10336-011-0751-9")</f>
        <v>http://dx.doi.org/10.1007/s10336-011-0751-9</v>
      </c>
      <c r="BG249" t="s">
        <v>74</v>
      </c>
      <c r="BH249" t="s">
        <v>74</v>
      </c>
      <c r="BI249">
        <v>7</v>
      </c>
      <c r="BJ249" t="s">
        <v>917</v>
      </c>
      <c r="BK249" t="s">
        <v>99</v>
      </c>
      <c r="BL249" t="s">
        <v>98</v>
      </c>
      <c r="BM249" t="s">
        <v>3586</v>
      </c>
      <c r="BN249" t="s">
        <v>74</v>
      </c>
      <c r="BO249" t="s">
        <v>74</v>
      </c>
      <c r="BP249" t="s">
        <v>74</v>
      </c>
      <c r="BQ249" t="s">
        <v>74</v>
      </c>
      <c r="BR249" t="s">
        <v>101</v>
      </c>
      <c r="BS249" t="s">
        <v>5005</v>
      </c>
      <c r="BT249" t="str">
        <f>HYPERLINK("https%3A%2F%2Fwww.webofscience.com%2Fwos%2Fwoscc%2Ffull-record%2FWOS:000304734700013","View Full Record in Web of Science")</f>
        <v>View Full Record in Web of Science</v>
      </c>
    </row>
    <row r="250" spans="1:72" x14ac:dyDescent="0.15">
      <c r="A250" t="s">
        <v>72</v>
      </c>
      <c r="B250" t="s">
        <v>5006</v>
      </c>
      <c r="C250" t="s">
        <v>74</v>
      </c>
      <c r="D250" t="s">
        <v>74</v>
      </c>
      <c r="E250" t="s">
        <v>74</v>
      </c>
      <c r="F250" t="s">
        <v>5007</v>
      </c>
      <c r="G250" t="s">
        <v>74</v>
      </c>
      <c r="H250" t="s">
        <v>74</v>
      </c>
      <c r="I250" t="s">
        <v>5008</v>
      </c>
      <c r="J250" t="s">
        <v>985</v>
      </c>
      <c r="K250" t="s">
        <v>74</v>
      </c>
      <c r="L250" t="s">
        <v>74</v>
      </c>
      <c r="M250" t="s">
        <v>78</v>
      </c>
      <c r="N250" t="s">
        <v>79</v>
      </c>
      <c r="O250" t="s">
        <v>74</v>
      </c>
      <c r="P250" t="s">
        <v>74</v>
      </c>
      <c r="Q250" t="s">
        <v>74</v>
      </c>
      <c r="R250" t="s">
        <v>74</v>
      </c>
      <c r="S250" t="s">
        <v>74</v>
      </c>
      <c r="T250" t="s">
        <v>74</v>
      </c>
      <c r="U250" t="s">
        <v>5009</v>
      </c>
      <c r="V250" t="s">
        <v>5010</v>
      </c>
      <c r="W250" t="s">
        <v>5011</v>
      </c>
      <c r="X250" t="s">
        <v>5012</v>
      </c>
      <c r="Y250" t="s">
        <v>5013</v>
      </c>
      <c r="Z250" t="s">
        <v>5014</v>
      </c>
      <c r="AA250" t="s">
        <v>5015</v>
      </c>
      <c r="AB250" t="s">
        <v>5016</v>
      </c>
      <c r="AC250" t="s">
        <v>5017</v>
      </c>
      <c r="AD250" t="s">
        <v>5018</v>
      </c>
      <c r="AE250" t="s">
        <v>5019</v>
      </c>
      <c r="AF250" t="s">
        <v>74</v>
      </c>
      <c r="AG250">
        <v>45</v>
      </c>
      <c r="AH250">
        <v>16</v>
      </c>
      <c r="AI250">
        <v>16</v>
      </c>
      <c r="AJ250">
        <v>0</v>
      </c>
      <c r="AK250">
        <v>13</v>
      </c>
      <c r="AL250" t="s">
        <v>997</v>
      </c>
      <c r="AM250" t="s">
        <v>998</v>
      </c>
      <c r="AN250" t="s">
        <v>999</v>
      </c>
      <c r="AO250" t="s">
        <v>1000</v>
      </c>
      <c r="AP250" t="s">
        <v>5020</v>
      </c>
      <c r="AQ250" t="s">
        <v>74</v>
      </c>
      <c r="AR250" t="s">
        <v>1001</v>
      </c>
      <c r="AS250" t="s">
        <v>1002</v>
      </c>
      <c r="AT250" t="s">
        <v>3442</v>
      </c>
      <c r="AU250">
        <v>2012</v>
      </c>
      <c r="AV250">
        <v>42</v>
      </c>
      <c r="AW250">
        <v>4</v>
      </c>
      <c r="AX250" t="s">
        <v>74</v>
      </c>
      <c r="AY250" t="s">
        <v>74</v>
      </c>
      <c r="AZ250" t="s">
        <v>74</v>
      </c>
      <c r="BA250" t="s">
        <v>74</v>
      </c>
      <c r="BB250">
        <v>628</v>
      </c>
      <c r="BC250">
        <v>643</v>
      </c>
      <c r="BD250" t="s">
        <v>74</v>
      </c>
      <c r="BE250" t="s">
        <v>5021</v>
      </c>
      <c r="BF250" t="str">
        <f>HYPERLINK("http://dx.doi.org/10.1175/JPO-D-11-0113.1","http://dx.doi.org/10.1175/JPO-D-11-0113.1")</f>
        <v>http://dx.doi.org/10.1175/JPO-D-11-0113.1</v>
      </c>
      <c r="BG250" t="s">
        <v>74</v>
      </c>
      <c r="BH250" t="s">
        <v>74</v>
      </c>
      <c r="BI250">
        <v>16</v>
      </c>
      <c r="BJ250" t="s">
        <v>350</v>
      </c>
      <c r="BK250" t="s">
        <v>99</v>
      </c>
      <c r="BL250" t="s">
        <v>350</v>
      </c>
      <c r="BM250" t="s">
        <v>5022</v>
      </c>
      <c r="BN250" t="s">
        <v>74</v>
      </c>
      <c r="BO250" t="s">
        <v>217</v>
      </c>
      <c r="BP250" t="s">
        <v>74</v>
      </c>
      <c r="BQ250" t="s">
        <v>74</v>
      </c>
      <c r="BR250" t="s">
        <v>101</v>
      </c>
      <c r="BS250" t="s">
        <v>5023</v>
      </c>
      <c r="BT250" t="str">
        <f>HYPERLINK("https%3A%2F%2Fwww.webofscience.com%2Fwos%2Fwoscc%2Ffull-record%2FWOS:000303084900009","View Full Record in Web of Science")</f>
        <v>View Full Record in Web of Science</v>
      </c>
    </row>
    <row r="251" spans="1:72" x14ac:dyDescent="0.15">
      <c r="A251" t="s">
        <v>72</v>
      </c>
      <c r="B251" t="s">
        <v>5024</v>
      </c>
      <c r="C251" t="s">
        <v>74</v>
      </c>
      <c r="D251" t="s">
        <v>74</v>
      </c>
      <c r="E251" t="s">
        <v>74</v>
      </c>
      <c r="F251" t="s">
        <v>5025</v>
      </c>
      <c r="G251" t="s">
        <v>74</v>
      </c>
      <c r="H251" t="s">
        <v>74</v>
      </c>
      <c r="I251" t="s">
        <v>5026</v>
      </c>
      <c r="J251" t="s">
        <v>2138</v>
      </c>
      <c r="K251" t="s">
        <v>74</v>
      </c>
      <c r="L251" t="s">
        <v>74</v>
      </c>
      <c r="M251" t="s">
        <v>78</v>
      </c>
      <c r="N251" t="s">
        <v>79</v>
      </c>
      <c r="O251" t="s">
        <v>74</v>
      </c>
      <c r="P251" t="s">
        <v>74</v>
      </c>
      <c r="Q251" t="s">
        <v>74</v>
      </c>
      <c r="R251" t="s">
        <v>74</v>
      </c>
      <c r="S251" t="s">
        <v>74</v>
      </c>
      <c r="T251" t="s">
        <v>5027</v>
      </c>
      <c r="U251" t="s">
        <v>5028</v>
      </c>
      <c r="V251" t="s">
        <v>5029</v>
      </c>
      <c r="W251" t="s">
        <v>5030</v>
      </c>
      <c r="X251" t="s">
        <v>5031</v>
      </c>
      <c r="Y251" t="s">
        <v>5032</v>
      </c>
      <c r="Z251" t="s">
        <v>5033</v>
      </c>
      <c r="AA251" t="s">
        <v>5034</v>
      </c>
      <c r="AB251" t="s">
        <v>5035</v>
      </c>
      <c r="AC251" t="s">
        <v>5036</v>
      </c>
      <c r="AD251" t="s">
        <v>5036</v>
      </c>
      <c r="AE251" t="s">
        <v>5037</v>
      </c>
      <c r="AF251" t="s">
        <v>74</v>
      </c>
      <c r="AG251">
        <v>82</v>
      </c>
      <c r="AH251">
        <v>90</v>
      </c>
      <c r="AI251">
        <v>96</v>
      </c>
      <c r="AJ251">
        <v>1</v>
      </c>
      <c r="AK251">
        <v>88</v>
      </c>
      <c r="AL251" t="s">
        <v>1620</v>
      </c>
      <c r="AM251" t="s">
        <v>278</v>
      </c>
      <c r="AN251" t="s">
        <v>1621</v>
      </c>
      <c r="AO251" t="s">
        <v>2151</v>
      </c>
      <c r="AP251" t="s">
        <v>2152</v>
      </c>
      <c r="AQ251" t="s">
        <v>74</v>
      </c>
      <c r="AR251" t="s">
        <v>2153</v>
      </c>
      <c r="AS251" t="s">
        <v>2154</v>
      </c>
      <c r="AT251" t="s">
        <v>3442</v>
      </c>
      <c r="AU251">
        <v>2012</v>
      </c>
      <c r="AV251">
        <v>34</v>
      </c>
      <c r="AW251">
        <v>4</v>
      </c>
      <c r="AX251" t="s">
        <v>74</v>
      </c>
      <c r="AY251" t="s">
        <v>74</v>
      </c>
      <c r="AZ251" t="s">
        <v>74</v>
      </c>
      <c r="BA251" t="s">
        <v>74</v>
      </c>
      <c r="BB251">
        <v>267</v>
      </c>
      <c r="BC251">
        <v>276</v>
      </c>
      <c r="BD251" t="s">
        <v>74</v>
      </c>
      <c r="BE251" t="s">
        <v>5038</v>
      </c>
      <c r="BF251" t="str">
        <f>HYPERLINK("http://dx.doi.org/10.1093/plankt/fbr108","http://dx.doi.org/10.1093/plankt/fbr108")</f>
        <v>http://dx.doi.org/10.1093/plankt/fbr108</v>
      </c>
      <c r="BG251" t="s">
        <v>74</v>
      </c>
      <c r="BH251" t="s">
        <v>74</v>
      </c>
      <c r="BI251">
        <v>10</v>
      </c>
      <c r="BJ251" t="s">
        <v>636</v>
      </c>
      <c r="BK251" t="s">
        <v>99</v>
      </c>
      <c r="BL251" t="s">
        <v>636</v>
      </c>
      <c r="BM251" t="s">
        <v>5039</v>
      </c>
      <c r="BN251" t="s">
        <v>74</v>
      </c>
      <c r="BO251" t="s">
        <v>217</v>
      </c>
      <c r="BP251" t="s">
        <v>74</v>
      </c>
      <c r="BQ251" t="s">
        <v>74</v>
      </c>
      <c r="BR251" t="s">
        <v>101</v>
      </c>
      <c r="BS251" t="s">
        <v>5040</v>
      </c>
      <c r="BT251" t="str">
        <f>HYPERLINK("https%3A%2F%2Fwww.webofscience.com%2Fwos%2Fwoscc%2Ffull-record%2FWOS:000301360800001","View Full Record in Web of Science")</f>
        <v>View Full Record in Web of Science</v>
      </c>
    </row>
    <row r="252" spans="1:72" x14ac:dyDescent="0.15">
      <c r="A252" t="s">
        <v>72</v>
      </c>
      <c r="B252" t="s">
        <v>5041</v>
      </c>
      <c r="C252" t="s">
        <v>74</v>
      </c>
      <c r="D252" t="s">
        <v>74</v>
      </c>
      <c r="E252" t="s">
        <v>74</v>
      </c>
      <c r="F252" t="s">
        <v>5042</v>
      </c>
      <c r="G252" t="s">
        <v>74</v>
      </c>
      <c r="H252" t="s">
        <v>74</v>
      </c>
      <c r="I252" t="s">
        <v>5043</v>
      </c>
      <c r="J252" t="s">
        <v>2138</v>
      </c>
      <c r="K252" t="s">
        <v>74</v>
      </c>
      <c r="L252" t="s">
        <v>74</v>
      </c>
      <c r="M252" t="s">
        <v>78</v>
      </c>
      <c r="N252" t="s">
        <v>79</v>
      </c>
      <c r="O252" t="s">
        <v>74</v>
      </c>
      <c r="P252" t="s">
        <v>74</v>
      </c>
      <c r="Q252" t="s">
        <v>74</v>
      </c>
      <c r="R252" t="s">
        <v>74</v>
      </c>
      <c r="S252" t="s">
        <v>74</v>
      </c>
      <c r="T252" t="s">
        <v>5044</v>
      </c>
      <c r="U252" t="s">
        <v>5045</v>
      </c>
      <c r="V252" t="s">
        <v>5046</v>
      </c>
      <c r="W252" t="s">
        <v>5047</v>
      </c>
      <c r="X252" t="s">
        <v>5048</v>
      </c>
      <c r="Y252" t="s">
        <v>5049</v>
      </c>
      <c r="Z252" t="s">
        <v>5050</v>
      </c>
      <c r="AA252" t="s">
        <v>5051</v>
      </c>
      <c r="AB252" t="s">
        <v>5052</v>
      </c>
      <c r="AC252" t="s">
        <v>5053</v>
      </c>
      <c r="AD252" t="s">
        <v>5054</v>
      </c>
      <c r="AE252" t="s">
        <v>5055</v>
      </c>
      <c r="AF252" t="s">
        <v>74</v>
      </c>
      <c r="AG252">
        <v>20</v>
      </c>
      <c r="AH252">
        <v>63</v>
      </c>
      <c r="AI252">
        <v>68</v>
      </c>
      <c r="AJ252">
        <v>3</v>
      </c>
      <c r="AK252">
        <v>72</v>
      </c>
      <c r="AL252" t="s">
        <v>1620</v>
      </c>
      <c r="AM252" t="s">
        <v>278</v>
      </c>
      <c r="AN252" t="s">
        <v>1621</v>
      </c>
      <c r="AO252" t="s">
        <v>2151</v>
      </c>
      <c r="AP252" t="s">
        <v>74</v>
      </c>
      <c r="AQ252" t="s">
        <v>74</v>
      </c>
      <c r="AR252" t="s">
        <v>2153</v>
      </c>
      <c r="AS252" t="s">
        <v>2154</v>
      </c>
      <c r="AT252" t="s">
        <v>3442</v>
      </c>
      <c r="AU252">
        <v>2012</v>
      </c>
      <c r="AV252">
        <v>34</v>
      </c>
      <c r="AW252">
        <v>4</v>
      </c>
      <c r="AX252" t="s">
        <v>74</v>
      </c>
      <c r="AY252" t="s">
        <v>74</v>
      </c>
      <c r="AZ252" t="s">
        <v>74</v>
      </c>
      <c r="BA252" t="s">
        <v>74</v>
      </c>
      <c r="BB252">
        <v>332</v>
      </c>
      <c r="BC252">
        <v>337</v>
      </c>
      <c r="BD252" t="s">
        <v>74</v>
      </c>
      <c r="BE252" t="s">
        <v>5056</v>
      </c>
      <c r="BF252" t="str">
        <f>HYPERLINK("http://dx.doi.org/10.1093/plankt/fbr112","http://dx.doi.org/10.1093/plankt/fbr112")</f>
        <v>http://dx.doi.org/10.1093/plankt/fbr112</v>
      </c>
      <c r="BG252" t="s">
        <v>74</v>
      </c>
      <c r="BH252" t="s">
        <v>74</v>
      </c>
      <c r="BI252">
        <v>6</v>
      </c>
      <c r="BJ252" t="s">
        <v>636</v>
      </c>
      <c r="BK252" t="s">
        <v>99</v>
      </c>
      <c r="BL252" t="s">
        <v>636</v>
      </c>
      <c r="BM252" t="s">
        <v>5039</v>
      </c>
      <c r="BN252" t="s">
        <v>74</v>
      </c>
      <c r="BO252" t="s">
        <v>217</v>
      </c>
      <c r="BP252" t="s">
        <v>74</v>
      </c>
      <c r="BQ252" t="s">
        <v>74</v>
      </c>
      <c r="BR252" t="s">
        <v>101</v>
      </c>
      <c r="BS252" t="s">
        <v>5057</v>
      </c>
      <c r="BT252" t="str">
        <f>HYPERLINK("https%3A%2F%2Fwww.webofscience.com%2Fwos%2Fwoscc%2Ffull-record%2FWOS:000301360800007","View Full Record in Web of Science")</f>
        <v>View Full Record in Web of Science</v>
      </c>
    </row>
    <row r="253" spans="1:72" x14ac:dyDescent="0.15">
      <c r="A253" t="s">
        <v>72</v>
      </c>
      <c r="B253" t="s">
        <v>5058</v>
      </c>
      <c r="C253" t="s">
        <v>74</v>
      </c>
      <c r="D253" t="s">
        <v>74</v>
      </c>
      <c r="E253" t="s">
        <v>74</v>
      </c>
      <c r="F253" t="s">
        <v>5059</v>
      </c>
      <c r="G253" t="s">
        <v>74</v>
      </c>
      <c r="H253" t="s">
        <v>74</v>
      </c>
      <c r="I253" t="s">
        <v>5060</v>
      </c>
      <c r="J253" t="s">
        <v>5061</v>
      </c>
      <c r="K253" t="s">
        <v>74</v>
      </c>
      <c r="L253" t="s">
        <v>74</v>
      </c>
      <c r="M253" t="s">
        <v>78</v>
      </c>
      <c r="N253" t="s">
        <v>79</v>
      </c>
      <c r="O253" t="s">
        <v>74</v>
      </c>
      <c r="P253" t="s">
        <v>74</v>
      </c>
      <c r="Q253" t="s">
        <v>74</v>
      </c>
      <c r="R253" t="s">
        <v>74</v>
      </c>
      <c r="S253" t="s">
        <v>74</v>
      </c>
      <c r="T253" t="s">
        <v>5062</v>
      </c>
      <c r="U253" t="s">
        <v>5063</v>
      </c>
      <c r="V253" t="s">
        <v>5064</v>
      </c>
      <c r="W253" t="s">
        <v>5065</v>
      </c>
      <c r="X253" t="s">
        <v>5066</v>
      </c>
      <c r="Y253" t="s">
        <v>5067</v>
      </c>
      <c r="Z253" t="s">
        <v>5068</v>
      </c>
      <c r="AA253" t="s">
        <v>74</v>
      </c>
      <c r="AB253" t="s">
        <v>5069</v>
      </c>
      <c r="AC253" t="s">
        <v>5070</v>
      </c>
      <c r="AD253" t="s">
        <v>5071</v>
      </c>
      <c r="AE253" t="s">
        <v>5072</v>
      </c>
      <c r="AF253" t="s">
        <v>74</v>
      </c>
      <c r="AG253">
        <v>26</v>
      </c>
      <c r="AH253">
        <v>3</v>
      </c>
      <c r="AI253">
        <v>3</v>
      </c>
      <c r="AJ253">
        <v>1</v>
      </c>
      <c r="AK253">
        <v>23</v>
      </c>
      <c r="AL253" t="s">
        <v>5073</v>
      </c>
      <c r="AM253" t="s">
        <v>1112</v>
      </c>
      <c r="AN253" t="s">
        <v>5074</v>
      </c>
      <c r="AO253" t="s">
        <v>5075</v>
      </c>
      <c r="AP253" t="s">
        <v>74</v>
      </c>
      <c r="AQ253" t="s">
        <v>74</v>
      </c>
      <c r="AR253" t="s">
        <v>5076</v>
      </c>
      <c r="AS253" t="s">
        <v>5077</v>
      </c>
      <c r="AT253" t="s">
        <v>3442</v>
      </c>
      <c r="AU253">
        <v>2012</v>
      </c>
      <c r="AV253" t="s">
        <v>74</v>
      </c>
      <c r="AW253">
        <v>62</v>
      </c>
      <c r="AX253" t="s">
        <v>74</v>
      </c>
      <c r="AY253" t="s">
        <v>74</v>
      </c>
      <c r="AZ253" t="s">
        <v>74</v>
      </c>
      <c r="BA253" t="s">
        <v>74</v>
      </c>
      <c r="BB253" t="s">
        <v>74</v>
      </c>
      <c r="BC253" t="s">
        <v>74</v>
      </c>
      <c r="BD253" t="s">
        <v>5078</v>
      </c>
      <c r="BE253" t="s">
        <v>5079</v>
      </c>
      <c r="BF253" t="str">
        <f>HYPERLINK("http://dx.doi.org/10.3791/3992","http://dx.doi.org/10.3791/3992")</f>
        <v>http://dx.doi.org/10.3791/3992</v>
      </c>
      <c r="BG253" t="s">
        <v>74</v>
      </c>
      <c r="BH253" t="s">
        <v>74</v>
      </c>
      <c r="BI253">
        <v>5</v>
      </c>
      <c r="BJ253" t="s">
        <v>153</v>
      </c>
      <c r="BK253" t="s">
        <v>99</v>
      </c>
      <c r="BL253" t="s">
        <v>154</v>
      </c>
      <c r="BM253" t="s">
        <v>5080</v>
      </c>
      <c r="BN253">
        <v>22546995</v>
      </c>
      <c r="BO253" t="s">
        <v>328</v>
      </c>
      <c r="BP253" t="s">
        <v>74</v>
      </c>
      <c r="BQ253" t="s">
        <v>74</v>
      </c>
      <c r="BR253" t="s">
        <v>101</v>
      </c>
      <c r="BS253" t="s">
        <v>5081</v>
      </c>
      <c r="BT253" t="str">
        <f>HYPERLINK("https%3A%2F%2Fwww.webofscience.com%2Fwos%2Fwoscc%2Ffull-record%2FWOS:000209222900055","View Full Record in Web of Science")</f>
        <v>View Full Record in Web of Science</v>
      </c>
    </row>
    <row r="254" spans="1:72" x14ac:dyDescent="0.15">
      <c r="A254" t="s">
        <v>72</v>
      </c>
      <c r="B254" t="s">
        <v>5082</v>
      </c>
      <c r="C254" t="s">
        <v>74</v>
      </c>
      <c r="D254" t="s">
        <v>74</v>
      </c>
      <c r="E254" t="s">
        <v>74</v>
      </c>
      <c r="F254" t="s">
        <v>5083</v>
      </c>
      <c r="G254" t="s">
        <v>74</v>
      </c>
      <c r="H254" t="s">
        <v>74</v>
      </c>
      <c r="I254" t="s">
        <v>5084</v>
      </c>
      <c r="J254" t="s">
        <v>5085</v>
      </c>
      <c r="K254" t="s">
        <v>74</v>
      </c>
      <c r="L254" t="s">
        <v>74</v>
      </c>
      <c r="M254" t="s">
        <v>78</v>
      </c>
      <c r="N254" t="s">
        <v>79</v>
      </c>
      <c r="O254" t="s">
        <v>74</v>
      </c>
      <c r="P254" t="s">
        <v>74</v>
      </c>
      <c r="Q254" t="s">
        <v>74</v>
      </c>
      <c r="R254" t="s">
        <v>74</v>
      </c>
      <c r="S254" t="s">
        <v>74</v>
      </c>
      <c r="T254" t="s">
        <v>74</v>
      </c>
      <c r="U254" t="s">
        <v>5086</v>
      </c>
      <c r="V254" t="s">
        <v>74</v>
      </c>
      <c r="W254" t="s">
        <v>5087</v>
      </c>
      <c r="X254" t="s">
        <v>5088</v>
      </c>
      <c r="Y254" t="s">
        <v>5089</v>
      </c>
      <c r="Z254" t="s">
        <v>5090</v>
      </c>
      <c r="AA254" t="s">
        <v>5091</v>
      </c>
      <c r="AB254" t="s">
        <v>5092</v>
      </c>
      <c r="AC254" t="s">
        <v>5093</v>
      </c>
      <c r="AD254" t="s">
        <v>5094</v>
      </c>
      <c r="AE254" t="s">
        <v>74</v>
      </c>
      <c r="AF254" t="s">
        <v>74</v>
      </c>
      <c r="AG254">
        <v>26</v>
      </c>
      <c r="AH254">
        <v>34</v>
      </c>
      <c r="AI254">
        <v>44</v>
      </c>
      <c r="AJ254">
        <v>1</v>
      </c>
      <c r="AK254">
        <v>23</v>
      </c>
      <c r="AL254" t="s">
        <v>3895</v>
      </c>
      <c r="AM254" t="s">
        <v>628</v>
      </c>
      <c r="AN254" t="s">
        <v>629</v>
      </c>
      <c r="AO254" t="s">
        <v>5095</v>
      </c>
      <c r="AP254" t="s">
        <v>5096</v>
      </c>
      <c r="AQ254" t="s">
        <v>74</v>
      </c>
      <c r="AR254" t="s">
        <v>5097</v>
      </c>
      <c r="AS254" t="s">
        <v>5098</v>
      </c>
      <c r="AT254" t="s">
        <v>3442</v>
      </c>
      <c r="AU254">
        <v>2012</v>
      </c>
      <c r="AV254">
        <v>28</v>
      </c>
      <c r="AW254">
        <v>2</v>
      </c>
      <c r="AX254" t="s">
        <v>74</v>
      </c>
      <c r="AY254" t="s">
        <v>74</v>
      </c>
      <c r="AZ254" t="s">
        <v>74</v>
      </c>
      <c r="BA254" t="s">
        <v>74</v>
      </c>
      <c r="BB254">
        <v>345</v>
      </c>
      <c r="BC254">
        <v>357</v>
      </c>
      <c r="BD254" t="s">
        <v>74</v>
      </c>
      <c r="BE254" t="s">
        <v>5099</v>
      </c>
      <c r="BF254" t="str">
        <f>HYPERLINK("http://dx.doi.org/10.1111/j.1748-7692.2011.00482.x","http://dx.doi.org/10.1111/j.1748-7692.2011.00482.x")</f>
        <v>http://dx.doi.org/10.1111/j.1748-7692.2011.00482.x</v>
      </c>
      <c r="BG254" t="s">
        <v>74</v>
      </c>
      <c r="BH254" t="s">
        <v>74</v>
      </c>
      <c r="BI254">
        <v>13</v>
      </c>
      <c r="BJ254" t="s">
        <v>5100</v>
      </c>
      <c r="BK254" t="s">
        <v>99</v>
      </c>
      <c r="BL254" t="s">
        <v>5100</v>
      </c>
      <c r="BM254" t="s">
        <v>5101</v>
      </c>
      <c r="BN254" t="s">
        <v>74</v>
      </c>
      <c r="BO254" t="s">
        <v>74</v>
      </c>
      <c r="BP254" t="s">
        <v>74</v>
      </c>
      <c r="BQ254" t="s">
        <v>74</v>
      </c>
      <c r="BR254" t="s">
        <v>101</v>
      </c>
      <c r="BS254" t="s">
        <v>5102</v>
      </c>
      <c r="BT254" t="str">
        <f>HYPERLINK("https%3A%2F%2Fwww.webofscience.com%2Fwos%2Fwoscc%2Ffull-record%2FWOS:000303051500016","View Full Record in Web of Science")</f>
        <v>View Full Record in Web of Science</v>
      </c>
    </row>
    <row r="255" spans="1:72" x14ac:dyDescent="0.15">
      <c r="A255" t="s">
        <v>72</v>
      </c>
      <c r="B255" t="s">
        <v>5103</v>
      </c>
      <c r="C255" t="s">
        <v>74</v>
      </c>
      <c r="D255" t="s">
        <v>74</v>
      </c>
      <c r="E255" t="s">
        <v>74</v>
      </c>
      <c r="F255" t="s">
        <v>5104</v>
      </c>
      <c r="G255" t="s">
        <v>74</v>
      </c>
      <c r="H255" t="s">
        <v>74</v>
      </c>
      <c r="I255" t="s">
        <v>5105</v>
      </c>
      <c r="J255" t="s">
        <v>5085</v>
      </c>
      <c r="K255" t="s">
        <v>74</v>
      </c>
      <c r="L255" t="s">
        <v>74</v>
      </c>
      <c r="M255" t="s">
        <v>78</v>
      </c>
      <c r="N255" t="s">
        <v>5106</v>
      </c>
      <c r="O255" t="s">
        <v>74</v>
      </c>
      <c r="P255" t="s">
        <v>74</v>
      </c>
      <c r="Q255" t="s">
        <v>74</v>
      </c>
      <c r="R255" t="s">
        <v>74</v>
      </c>
      <c r="S255" t="s">
        <v>74</v>
      </c>
      <c r="T255" t="s">
        <v>74</v>
      </c>
      <c r="U255" t="s">
        <v>5107</v>
      </c>
      <c r="V255" t="s">
        <v>74</v>
      </c>
      <c r="W255" t="s">
        <v>5108</v>
      </c>
      <c r="X255" t="s">
        <v>5109</v>
      </c>
      <c r="Y255" t="s">
        <v>5110</v>
      </c>
      <c r="Z255" t="s">
        <v>5111</v>
      </c>
      <c r="AA255" t="s">
        <v>5112</v>
      </c>
      <c r="AB255" t="s">
        <v>5113</v>
      </c>
      <c r="AC255" t="s">
        <v>74</v>
      </c>
      <c r="AD255" t="s">
        <v>74</v>
      </c>
      <c r="AE255" t="s">
        <v>74</v>
      </c>
      <c r="AF255" t="s">
        <v>74</v>
      </c>
      <c r="AG255">
        <v>68</v>
      </c>
      <c r="AH255">
        <v>156</v>
      </c>
      <c r="AI255">
        <v>166</v>
      </c>
      <c r="AJ255">
        <v>6</v>
      </c>
      <c r="AK255">
        <v>186</v>
      </c>
      <c r="AL255" t="s">
        <v>627</v>
      </c>
      <c r="AM255" t="s">
        <v>628</v>
      </c>
      <c r="AN255" t="s">
        <v>629</v>
      </c>
      <c r="AO255" t="s">
        <v>5095</v>
      </c>
      <c r="AP255" t="s">
        <v>5096</v>
      </c>
      <c r="AQ255" t="s">
        <v>74</v>
      </c>
      <c r="AR255" t="s">
        <v>5097</v>
      </c>
      <c r="AS255" t="s">
        <v>5098</v>
      </c>
      <c r="AT255" t="s">
        <v>3442</v>
      </c>
      <c r="AU255">
        <v>2012</v>
      </c>
      <c r="AV255">
        <v>28</v>
      </c>
      <c r="AW255">
        <v>2</v>
      </c>
      <c r="AX255" t="s">
        <v>74</v>
      </c>
      <c r="AY255" t="s">
        <v>74</v>
      </c>
      <c r="AZ255" t="s">
        <v>74</v>
      </c>
      <c r="BA255" t="s">
        <v>74</v>
      </c>
      <c r="BB255">
        <v>414</v>
      </c>
      <c r="BC255">
        <v>436</v>
      </c>
      <c r="BD255" t="s">
        <v>74</v>
      </c>
      <c r="BE255" t="s">
        <v>5114</v>
      </c>
      <c r="BF255" t="str">
        <f>HYPERLINK("http://dx.doi.org/10.1111/j.1748-7692.2011.00479.x","http://dx.doi.org/10.1111/j.1748-7692.2011.00479.x")</f>
        <v>http://dx.doi.org/10.1111/j.1748-7692.2011.00479.x</v>
      </c>
      <c r="BG255" t="s">
        <v>74</v>
      </c>
      <c r="BH255" t="s">
        <v>74</v>
      </c>
      <c r="BI255">
        <v>23</v>
      </c>
      <c r="BJ255" t="s">
        <v>5100</v>
      </c>
      <c r="BK255" t="s">
        <v>99</v>
      </c>
      <c r="BL255" t="s">
        <v>5100</v>
      </c>
      <c r="BM255" t="s">
        <v>5101</v>
      </c>
      <c r="BN255" t="s">
        <v>74</v>
      </c>
      <c r="BO255" t="s">
        <v>74</v>
      </c>
      <c r="BP255" t="s">
        <v>74</v>
      </c>
      <c r="BQ255" t="s">
        <v>74</v>
      </c>
      <c r="BR255" t="s">
        <v>101</v>
      </c>
      <c r="BS255" t="s">
        <v>5115</v>
      </c>
      <c r="BT255" t="str">
        <f>HYPERLINK("https%3A%2F%2Fwww.webofscience.com%2Fwos%2Fwoscc%2Ffull-record%2FWOS:000303051500024","View Full Record in Web of Science")</f>
        <v>View Full Record in Web of Science</v>
      </c>
    </row>
    <row r="256" spans="1:72" x14ac:dyDescent="0.15">
      <c r="A256" t="s">
        <v>72</v>
      </c>
      <c r="B256" t="s">
        <v>5116</v>
      </c>
      <c r="C256" t="s">
        <v>74</v>
      </c>
      <c r="D256" t="s">
        <v>74</v>
      </c>
      <c r="E256" t="s">
        <v>74</v>
      </c>
      <c r="F256" t="s">
        <v>5117</v>
      </c>
      <c r="G256" t="s">
        <v>74</v>
      </c>
      <c r="H256" t="s">
        <v>74</v>
      </c>
      <c r="I256" t="s">
        <v>5118</v>
      </c>
      <c r="J256" t="s">
        <v>5119</v>
      </c>
      <c r="K256" t="s">
        <v>74</v>
      </c>
      <c r="L256" t="s">
        <v>74</v>
      </c>
      <c r="M256" t="s">
        <v>78</v>
      </c>
      <c r="N256" t="s">
        <v>79</v>
      </c>
      <c r="O256" t="s">
        <v>74</v>
      </c>
      <c r="P256" t="s">
        <v>74</v>
      </c>
      <c r="Q256" t="s">
        <v>74</v>
      </c>
      <c r="R256" t="s">
        <v>74</v>
      </c>
      <c r="S256" t="s">
        <v>74</v>
      </c>
      <c r="T256" t="s">
        <v>5120</v>
      </c>
      <c r="U256" t="s">
        <v>5121</v>
      </c>
      <c r="V256" t="s">
        <v>5122</v>
      </c>
      <c r="W256" t="s">
        <v>5123</v>
      </c>
      <c r="X256" t="s">
        <v>5124</v>
      </c>
      <c r="Y256" t="s">
        <v>5125</v>
      </c>
      <c r="Z256" t="s">
        <v>5126</v>
      </c>
      <c r="AA256" t="s">
        <v>5127</v>
      </c>
      <c r="AB256" t="s">
        <v>5128</v>
      </c>
      <c r="AC256" t="s">
        <v>5129</v>
      </c>
      <c r="AD256" t="s">
        <v>5130</v>
      </c>
      <c r="AE256" t="s">
        <v>5131</v>
      </c>
      <c r="AF256" t="s">
        <v>74</v>
      </c>
      <c r="AG256">
        <v>102</v>
      </c>
      <c r="AH256">
        <v>21</v>
      </c>
      <c r="AI256">
        <v>22</v>
      </c>
      <c r="AJ256">
        <v>0</v>
      </c>
      <c r="AK256">
        <v>15</v>
      </c>
      <c r="AL256" t="s">
        <v>935</v>
      </c>
      <c r="AM256" t="s">
        <v>369</v>
      </c>
      <c r="AN256" t="s">
        <v>936</v>
      </c>
      <c r="AO256" t="s">
        <v>5132</v>
      </c>
      <c r="AP256" t="s">
        <v>5133</v>
      </c>
      <c r="AQ256" t="s">
        <v>74</v>
      </c>
      <c r="AR256" t="s">
        <v>5134</v>
      </c>
      <c r="AS256" t="s">
        <v>5135</v>
      </c>
      <c r="AT256" t="s">
        <v>3442</v>
      </c>
      <c r="AU256">
        <v>2012</v>
      </c>
      <c r="AV256" t="s">
        <v>5136</v>
      </c>
      <c r="AW256" t="s">
        <v>74</v>
      </c>
      <c r="AX256" t="s">
        <v>74</v>
      </c>
      <c r="AY256" t="s">
        <v>74</v>
      </c>
      <c r="AZ256" t="s">
        <v>74</v>
      </c>
      <c r="BA256" t="s">
        <v>74</v>
      </c>
      <c r="BB256">
        <v>45</v>
      </c>
      <c r="BC256">
        <v>58</v>
      </c>
      <c r="BD256" t="s">
        <v>74</v>
      </c>
      <c r="BE256" t="s">
        <v>5137</v>
      </c>
      <c r="BF256" t="str">
        <f>HYPERLINK("http://dx.doi.org/10.1016/j.marmicro.2012.02.001","http://dx.doi.org/10.1016/j.marmicro.2012.02.001")</f>
        <v>http://dx.doi.org/10.1016/j.marmicro.2012.02.001</v>
      </c>
      <c r="BG256" t="s">
        <v>74</v>
      </c>
      <c r="BH256" t="s">
        <v>74</v>
      </c>
      <c r="BI256">
        <v>14</v>
      </c>
      <c r="BJ256" t="s">
        <v>5138</v>
      </c>
      <c r="BK256" t="s">
        <v>99</v>
      </c>
      <c r="BL256" t="s">
        <v>5138</v>
      </c>
      <c r="BM256" t="s">
        <v>5139</v>
      </c>
      <c r="BN256" t="s">
        <v>74</v>
      </c>
      <c r="BO256" t="s">
        <v>74</v>
      </c>
      <c r="BP256" t="s">
        <v>74</v>
      </c>
      <c r="BQ256" t="s">
        <v>74</v>
      </c>
      <c r="BR256" t="s">
        <v>101</v>
      </c>
      <c r="BS256" t="s">
        <v>5140</v>
      </c>
      <c r="BT256" t="str">
        <f>HYPERLINK("https%3A%2F%2Fwww.webofscience.com%2Fwos%2Fwoscc%2Ffull-record%2FWOS:000303028300005","View Full Record in Web of Science")</f>
        <v>View Full Record in Web of Science</v>
      </c>
    </row>
    <row r="257" spans="1:72" x14ac:dyDescent="0.15">
      <c r="A257" t="s">
        <v>72</v>
      </c>
      <c r="B257" t="s">
        <v>5141</v>
      </c>
      <c r="C257" t="s">
        <v>74</v>
      </c>
      <c r="D257" t="s">
        <v>74</v>
      </c>
      <c r="E257" t="s">
        <v>74</v>
      </c>
      <c r="F257" t="s">
        <v>5142</v>
      </c>
      <c r="G257" t="s">
        <v>74</v>
      </c>
      <c r="H257" t="s">
        <v>74</v>
      </c>
      <c r="I257" t="s">
        <v>5143</v>
      </c>
      <c r="J257" t="s">
        <v>2199</v>
      </c>
      <c r="K257" t="s">
        <v>74</v>
      </c>
      <c r="L257" t="s">
        <v>74</v>
      </c>
      <c r="M257" t="s">
        <v>78</v>
      </c>
      <c r="N257" t="s">
        <v>1073</v>
      </c>
      <c r="O257" t="s">
        <v>74</v>
      </c>
      <c r="P257" t="s">
        <v>74</v>
      </c>
      <c r="Q257" t="s">
        <v>74</v>
      </c>
      <c r="R257" t="s">
        <v>74</v>
      </c>
      <c r="S257" t="s">
        <v>74</v>
      </c>
      <c r="T257" t="s">
        <v>5144</v>
      </c>
      <c r="U257" t="s">
        <v>5145</v>
      </c>
      <c r="V257" t="s">
        <v>5146</v>
      </c>
      <c r="W257" t="s">
        <v>5147</v>
      </c>
      <c r="X257" t="s">
        <v>5148</v>
      </c>
      <c r="Y257" t="s">
        <v>5149</v>
      </c>
      <c r="Z257" t="s">
        <v>5150</v>
      </c>
      <c r="AA257" t="s">
        <v>5151</v>
      </c>
      <c r="AB257" t="s">
        <v>5152</v>
      </c>
      <c r="AC257" t="s">
        <v>74</v>
      </c>
      <c r="AD257" t="s">
        <v>74</v>
      </c>
      <c r="AE257" t="s">
        <v>74</v>
      </c>
      <c r="AF257" t="s">
        <v>74</v>
      </c>
      <c r="AG257">
        <v>156</v>
      </c>
      <c r="AH257">
        <v>816</v>
      </c>
      <c r="AI257">
        <v>963</v>
      </c>
      <c r="AJ257">
        <v>25</v>
      </c>
      <c r="AK257">
        <v>816</v>
      </c>
      <c r="AL257" t="s">
        <v>627</v>
      </c>
      <c r="AM257" t="s">
        <v>628</v>
      </c>
      <c r="AN257" t="s">
        <v>629</v>
      </c>
      <c r="AO257" t="s">
        <v>2212</v>
      </c>
      <c r="AP257" t="s">
        <v>2213</v>
      </c>
      <c r="AQ257" t="s">
        <v>74</v>
      </c>
      <c r="AR257" t="s">
        <v>2214</v>
      </c>
      <c r="AS257" t="s">
        <v>2215</v>
      </c>
      <c r="AT257" t="s">
        <v>3442</v>
      </c>
      <c r="AU257">
        <v>2012</v>
      </c>
      <c r="AV257">
        <v>21</v>
      </c>
      <c r="AW257">
        <v>8</v>
      </c>
      <c r="AX257" t="s">
        <v>74</v>
      </c>
      <c r="AY257" t="s">
        <v>74</v>
      </c>
      <c r="AZ257" t="s">
        <v>1913</v>
      </c>
      <c r="BA257" t="s">
        <v>74</v>
      </c>
      <c r="BB257">
        <v>1931</v>
      </c>
      <c r="BC257">
        <v>1950</v>
      </c>
      <c r="BD257" t="s">
        <v>74</v>
      </c>
      <c r="BE257" t="s">
        <v>5153</v>
      </c>
      <c r="BF257" t="str">
        <f>HYPERLINK("http://dx.doi.org/10.1111/j.1365-294X.2011.05403.x","http://dx.doi.org/10.1111/j.1365-294X.2011.05403.x")</f>
        <v>http://dx.doi.org/10.1111/j.1365-294X.2011.05403.x</v>
      </c>
      <c r="BG257" t="s">
        <v>74</v>
      </c>
      <c r="BH257" t="s">
        <v>74</v>
      </c>
      <c r="BI257">
        <v>20</v>
      </c>
      <c r="BJ257" t="s">
        <v>2217</v>
      </c>
      <c r="BK257" t="s">
        <v>99</v>
      </c>
      <c r="BL257" t="s">
        <v>2218</v>
      </c>
      <c r="BM257" t="s">
        <v>5154</v>
      </c>
      <c r="BN257">
        <v>22171763</v>
      </c>
      <c r="BO257" t="s">
        <v>217</v>
      </c>
      <c r="BP257" t="s">
        <v>74</v>
      </c>
      <c r="BQ257" t="s">
        <v>74</v>
      </c>
      <c r="BR257" t="s">
        <v>101</v>
      </c>
      <c r="BS257" t="s">
        <v>5155</v>
      </c>
      <c r="BT257" t="str">
        <f>HYPERLINK("https%3A%2F%2Fwww.webofscience.com%2Fwos%2Fwoscc%2Ffull-record%2FWOS:000302616200013","View Full Record in Web of Science")</f>
        <v>View Full Record in Web of Science</v>
      </c>
    </row>
    <row r="258" spans="1:72" x14ac:dyDescent="0.15">
      <c r="A258" t="s">
        <v>72</v>
      </c>
      <c r="B258" t="s">
        <v>5156</v>
      </c>
      <c r="C258" t="s">
        <v>74</v>
      </c>
      <c r="D258" t="s">
        <v>74</v>
      </c>
      <c r="E258" t="s">
        <v>74</v>
      </c>
      <c r="F258" t="s">
        <v>5157</v>
      </c>
      <c r="G258" t="s">
        <v>74</v>
      </c>
      <c r="H258" t="s">
        <v>74</v>
      </c>
      <c r="I258" t="s">
        <v>5158</v>
      </c>
      <c r="J258" t="s">
        <v>5159</v>
      </c>
      <c r="K258" t="s">
        <v>74</v>
      </c>
      <c r="L258" t="s">
        <v>74</v>
      </c>
      <c r="M258" t="s">
        <v>78</v>
      </c>
      <c r="N258" t="s">
        <v>79</v>
      </c>
      <c r="O258" t="s">
        <v>74</v>
      </c>
      <c r="P258" t="s">
        <v>74</v>
      </c>
      <c r="Q258" t="s">
        <v>74</v>
      </c>
      <c r="R258" t="s">
        <v>74</v>
      </c>
      <c r="S258" t="s">
        <v>74</v>
      </c>
      <c r="T258" t="s">
        <v>74</v>
      </c>
      <c r="U258" t="s">
        <v>5160</v>
      </c>
      <c r="V258" t="s">
        <v>5161</v>
      </c>
      <c r="W258" t="s">
        <v>5162</v>
      </c>
      <c r="X258" t="s">
        <v>5163</v>
      </c>
      <c r="Y258" t="s">
        <v>5164</v>
      </c>
      <c r="Z258" t="s">
        <v>5165</v>
      </c>
      <c r="AA258" t="s">
        <v>5166</v>
      </c>
      <c r="AB258" t="s">
        <v>5167</v>
      </c>
      <c r="AC258" t="s">
        <v>5168</v>
      </c>
      <c r="AD258" t="s">
        <v>5169</v>
      </c>
      <c r="AE258" t="s">
        <v>5170</v>
      </c>
      <c r="AF258" t="s">
        <v>74</v>
      </c>
      <c r="AG258">
        <v>30</v>
      </c>
      <c r="AH258">
        <v>175</v>
      </c>
      <c r="AI258">
        <v>203</v>
      </c>
      <c r="AJ258">
        <v>2</v>
      </c>
      <c r="AK258">
        <v>158</v>
      </c>
      <c r="AL258" t="s">
        <v>146</v>
      </c>
      <c r="AM258" t="s">
        <v>656</v>
      </c>
      <c r="AN258" t="s">
        <v>5171</v>
      </c>
      <c r="AO258" t="s">
        <v>5172</v>
      </c>
      <c r="AP258" t="s">
        <v>5173</v>
      </c>
      <c r="AQ258" t="s">
        <v>74</v>
      </c>
      <c r="AR258" t="s">
        <v>5174</v>
      </c>
      <c r="AS258" t="s">
        <v>5175</v>
      </c>
      <c r="AT258" t="s">
        <v>3442</v>
      </c>
      <c r="AU258">
        <v>2012</v>
      </c>
      <c r="AV258">
        <v>5</v>
      </c>
      <c r="AW258">
        <v>4</v>
      </c>
      <c r="AX258" t="s">
        <v>74</v>
      </c>
      <c r="AY258" t="s">
        <v>74</v>
      </c>
      <c r="AZ258" t="s">
        <v>74</v>
      </c>
      <c r="BA258" t="s">
        <v>74</v>
      </c>
      <c r="BB258">
        <v>261</v>
      </c>
      <c r="BC258">
        <v>265</v>
      </c>
      <c r="BD258" t="s">
        <v>74</v>
      </c>
      <c r="BE258" t="s">
        <v>5176</v>
      </c>
      <c r="BF258" t="str">
        <f>HYPERLINK("http://dx.doi.org/10.1038/NGEO1421","http://dx.doi.org/10.1038/NGEO1421")</f>
        <v>http://dx.doi.org/10.1038/NGEO1421</v>
      </c>
      <c r="BG258" t="s">
        <v>74</v>
      </c>
      <c r="BH258" t="s">
        <v>74</v>
      </c>
      <c r="BI258">
        <v>5</v>
      </c>
      <c r="BJ258" t="s">
        <v>194</v>
      </c>
      <c r="BK258" t="s">
        <v>99</v>
      </c>
      <c r="BL258" t="s">
        <v>195</v>
      </c>
      <c r="BM258" t="s">
        <v>5177</v>
      </c>
      <c r="BN258" t="s">
        <v>74</v>
      </c>
      <c r="BO258" t="s">
        <v>74</v>
      </c>
      <c r="BP258" t="s">
        <v>74</v>
      </c>
      <c r="BQ258" t="s">
        <v>74</v>
      </c>
      <c r="BR258" t="s">
        <v>101</v>
      </c>
      <c r="BS258" t="s">
        <v>5178</v>
      </c>
      <c r="BT258" t="str">
        <f>HYPERLINK("https%3A%2F%2Fwww.webofscience.com%2Fwos%2Fwoscc%2Ffull-record%2FWOS:000302288400013","View Full Record in Web of Science")</f>
        <v>View Full Record in Web of Science</v>
      </c>
    </row>
    <row r="259" spans="1:72" x14ac:dyDescent="0.15">
      <c r="A259" t="s">
        <v>72</v>
      </c>
      <c r="B259" t="s">
        <v>5179</v>
      </c>
      <c r="C259" t="s">
        <v>74</v>
      </c>
      <c r="D259" t="s">
        <v>74</v>
      </c>
      <c r="E259" t="s">
        <v>74</v>
      </c>
      <c r="F259" t="s">
        <v>5180</v>
      </c>
      <c r="G259" t="s">
        <v>74</v>
      </c>
      <c r="H259" t="s">
        <v>74</v>
      </c>
      <c r="I259" t="s">
        <v>5181</v>
      </c>
      <c r="J259" t="s">
        <v>5182</v>
      </c>
      <c r="K259" t="s">
        <v>74</v>
      </c>
      <c r="L259" t="s">
        <v>74</v>
      </c>
      <c r="M259" t="s">
        <v>78</v>
      </c>
      <c r="N259" t="s">
        <v>79</v>
      </c>
      <c r="O259" t="s">
        <v>74</v>
      </c>
      <c r="P259" t="s">
        <v>74</v>
      </c>
      <c r="Q259" t="s">
        <v>74</v>
      </c>
      <c r="R259" t="s">
        <v>74</v>
      </c>
      <c r="S259" t="s">
        <v>74</v>
      </c>
      <c r="T259" t="s">
        <v>74</v>
      </c>
      <c r="U259" t="s">
        <v>5183</v>
      </c>
      <c r="V259" t="s">
        <v>5184</v>
      </c>
      <c r="W259" t="s">
        <v>5185</v>
      </c>
      <c r="X259" t="s">
        <v>5186</v>
      </c>
      <c r="Y259" t="s">
        <v>5187</v>
      </c>
      <c r="Z259" t="s">
        <v>5188</v>
      </c>
      <c r="AA259" t="s">
        <v>74</v>
      </c>
      <c r="AB259" t="s">
        <v>5189</v>
      </c>
      <c r="AC259" t="s">
        <v>5190</v>
      </c>
      <c r="AD259" t="s">
        <v>5191</v>
      </c>
      <c r="AE259" t="s">
        <v>5192</v>
      </c>
      <c r="AF259" t="s">
        <v>74</v>
      </c>
      <c r="AG259">
        <v>377</v>
      </c>
      <c r="AH259">
        <v>38</v>
      </c>
      <c r="AI259">
        <v>45</v>
      </c>
      <c r="AJ259">
        <v>6</v>
      </c>
      <c r="AK259">
        <v>158</v>
      </c>
      <c r="AL259" t="s">
        <v>5193</v>
      </c>
      <c r="AM259" t="s">
        <v>5194</v>
      </c>
      <c r="AN259" t="s">
        <v>5195</v>
      </c>
      <c r="AO259" t="s">
        <v>5196</v>
      </c>
      <c r="AP259" t="s">
        <v>5197</v>
      </c>
      <c r="AQ259" t="s">
        <v>74</v>
      </c>
      <c r="AR259" t="s">
        <v>5198</v>
      </c>
      <c r="AS259" t="s">
        <v>5199</v>
      </c>
      <c r="AT259" t="s">
        <v>3442</v>
      </c>
      <c r="AU259">
        <v>2012</v>
      </c>
      <c r="AV259">
        <v>66</v>
      </c>
      <c r="AW259">
        <v>2</v>
      </c>
      <c r="AX259" t="s">
        <v>74</v>
      </c>
      <c r="AY259" t="s">
        <v>74</v>
      </c>
      <c r="AZ259" t="s">
        <v>74</v>
      </c>
      <c r="BA259" t="s">
        <v>74</v>
      </c>
      <c r="BB259">
        <v>173</v>
      </c>
      <c r="BC259">
        <v>212</v>
      </c>
      <c r="BD259" t="s">
        <v>74</v>
      </c>
      <c r="BE259" t="s">
        <v>5200</v>
      </c>
      <c r="BF259" t="str">
        <f>HYPERLINK("http://dx.doi.org/10.2984/66.2.7","http://dx.doi.org/10.2984/66.2.7")</f>
        <v>http://dx.doi.org/10.2984/66.2.7</v>
      </c>
      <c r="BG259" t="s">
        <v>74</v>
      </c>
      <c r="BH259" t="s">
        <v>74</v>
      </c>
      <c r="BI259">
        <v>40</v>
      </c>
      <c r="BJ259" t="s">
        <v>5100</v>
      </c>
      <c r="BK259" t="s">
        <v>99</v>
      </c>
      <c r="BL259" t="s">
        <v>5100</v>
      </c>
      <c r="BM259" t="s">
        <v>5201</v>
      </c>
      <c r="BN259" t="s">
        <v>74</v>
      </c>
      <c r="BO259" t="s">
        <v>74</v>
      </c>
      <c r="BP259" t="s">
        <v>74</v>
      </c>
      <c r="BQ259" t="s">
        <v>74</v>
      </c>
      <c r="BR259" t="s">
        <v>101</v>
      </c>
      <c r="BS259" t="s">
        <v>5202</v>
      </c>
      <c r="BT259" t="str">
        <f>HYPERLINK("https%3A%2F%2Fwww.webofscience.com%2Fwos%2Fwoscc%2Ffull-record%2FWOS:000303625400007","View Full Record in Web of Science")</f>
        <v>View Full Record in Web of Science</v>
      </c>
    </row>
    <row r="260" spans="1:72" x14ac:dyDescent="0.15">
      <c r="A260" t="s">
        <v>72</v>
      </c>
      <c r="B260" t="s">
        <v>5203</v>
      </c>
      <c r="C260" t="s">
        <v>74</v>
      </c>
      <c r="D260" t="s">
        <v>74</v>
      </c>
      <c r="E260" t="s">
        <v>74</v>
      </c>
      <c r="F260" t="s">
        <v>5204</v>
      </c>
      <c r="G260" t="s">
        <v>74</v>
      </c>
      <c r="H260" t="s">
        <v>74</v>
      </c>
      <c r="I260" t="s">
        <v>5205</v>
      </c>
      <c r="J260" t="s">
        <v>2303</v>
      </c>
      <c r="K260" t="s">
        <v>74</v>
      </c>
      <c r="L260" t="s">
        <v>74</v>
      </c>
      <c r="M260" t="s">
        <v>78</v>
      </c>
      <c r="N260" t="s">
        <v>79</v>
      </c>
      <c r="O260" t="s">
        <v>74</v>
      </c>
      <c r="P260" t="s">
        <v>74</v>
      </c>
      <c r="Q260" t="s">
        <v>74</v>
      </c>
      <c r="R260" t="s">
        <v>74</v>
      </c>
      <c r="S260" t="s">
        <v>74</v>
      </c>
      <c r="T260" t="s">
        <v>5206</v>
      </c>
      <c r="U260" t="s">
        <v>5207</v>
      </c>
      <c r="V260" t="s">
        <v>5208</v>
      </c>
      <c r="W260" t="s">
        <v>5209</v>
      </c>
      <c r="X260" t="s">
        <v>4577</v>
      </c>
      <c r="Y260" t="s">
        <v>5210</v>
      </c>
      <c r="Z260" t="s">
        <v>5211</v>
      </c>
      <c r="AA260" t="s">
        <v>5212</v>
      </c>
      <c r="AB260" t="s">
        <v>5213</v>
      </c>
      <c r="AC260" t="s">
        <v>5214</v>
      </c>
      <c r="AD260" t="s">
        <v>5215</v>
      </c>
      <c r="AE260" t="s">
        <v>5216</v>
      </c>
      <c r="AF260" t="s">
        <v>74</v>
      </c>
      <c r="AG260">
        <v>29</v>
      </c>
      <c r="AH260">
        <v>17</v>
      </c>
      <c r="AI260">
        <v>22</v>
      </c>
      <c r="AJ260">
        <v>0</v>
      </c>
      <c r="AK260">
        <v>21</v>
      </c>
      <c r="AL260" t="s">
        <v>655</v>
      </c>
      <c r="AM260" t="s">
        <v>656</v>
      </c>
      <c r="AN260" t="s">
        <v>657</v>
      </c>
      <c r="AO260" t="s">
        <v>2316</v>
      </c>
      <c r="AP260" t="s">
        <v>2338</v>
      </c>
      <c r="AQ260" t="s">
        <v>74</v>
      </c>
      <c r="AR260" t="s">
        <v>2317</v>
      </c>
      <c r="AS260" t="s">
        <v>2318</v>
      </c>
      <c r="AT260" t="s">
        <v>3442</v>
      </c>
      <c r="AU260">
        <v>2012</v>
      </c>
      <c r="AV260">
        <v>35</v>
      </c>
      <c r="AW260">
        <v>4</v>
      </c>
      <c r="AX260" t="s">
        <v>74</v>
      </c>
      <c r="AY260" t="s">
        <v>74</v>
      </c>
      <c r="AZ260" t="s">
        <v>74</v>
      </c>
      <c r="BA260" t="s">
        <v>74</v>
      </c>
      <c r="BB260">
        <v>535</v>
      </c>
      <c r="BC260">
        <v>541</v>
      </c>
      <c r="BD260" t="s">
        <v>74</v>
      </c>
      <c r="BE260" t="s">
        <v>5217</v>
      </c>
      <c r="BF260" t="str">
        <f>HYPERLINK("http://dx.doi.org/10.1007/s00300-011-1098-7","http://dx.doi.org/10.1007/s00300-011-1098-7")</f>
        <v>http://dx.doi.org/10.1007/s00300-011-1098-7</v>
      </c>
      <c r="BG260" t="s">
        <v>74</v>
      </c>
      <c r="BH260" t="s">
        <v>74</v>
      </c>
      <c r="BI260">
        <v>7</v>
      </c>
      <c r="BJ260" t="s">
        <v>2320</v>
      </c>
      <c r="BK260" t="s">
        <v>99</v>
      </c>
      <c r="BL260" t="s">
        <v>1784</v>
      </c>
      <c r="BM260" t="s">
        <v>4466</v>
      </c>
      <c r="BN260" t="s">
        <v>74</v>
      </c>
      <c r="BO260" t="s">
        <v>74</v>
      </c>
      <c r="BP260" t="s">
        <v>74</v>
      </c>
      <c r="BQ260" t="s">
        <v>74</v>
      </c>
      <c r="BR260" t="s">
        <v>101</v>
      </c>
      <c r="BS260" t="s">
        <v>5218</v>
      </c>
      <c r="BT260" t="str">
        <f>HYPERLINK("https%3A%2F%2Fwww.webofscience.com%2Fwos%2Fwoscc%2Ffull-record%2FWOS:000301451600006","View Full Record in Web of Science")</f>
        <v>View Full Record in Web of Science</v>
      </c>
    </row>
    <row r="261" spans="1:72" x14ac:dyDescent="0.15">
      <c r="A261" t="s">
        <v>72</v>
      </c>
      <c r="B261" t="s">
        <v>5219</v>
      </c>
      <c r="C261" t="s">
        <v>74</v>
      </c>
      <c r="D261" t="s">
        <v>74</v>
      </c>
      <c r="E261" t="s">
        <v>74</v>
      </c>
      <c r="F261" t="s">
        <v>5220</v>
      </c>
      <c r="G261" t="s">
        <v>74</v>
      </c>
      <c r="H261" t="s">
        <v>74</v>
      </c>
      <c r="I261" t="s">
        <v>5221</v>
      </c>
      <c r="J261" t="s">
        <v>2303</v>
      </c>
      <c r="K261" t="s">
        <v>74</v>
      </c>
      <c r="L261" t="s">
        <v>74</v>
      </c>
      <c r="M261" t="s">
        <v>78</v>
      </c>
      <c r="N261" t="s">
        <v>79</v>
      </c>
      <c r="O261" t="s">
        <v>74</v>
      </c>
      <c r="P261" t="s">
        <v>74</v>
      </c>
      <c r="Q261" t="s">
        <v>74</v>
      </c>
      <c r="R261" t="s">
        <v>74</v>
      </c>
      <c r="S261" t="s">
        <v>74</v>
      </c>
      <c r="T261" t="s">
        <v>5222</v>
      </c>
      <c r="U261" t="s">
        <v>5223</v>
      </c>
      <c r="V261" t="s">
        <v>5224</v>
      </c>
      <c r="W261" t="s">
        <v>5225</v>
      </c>
      <c r="X261" t="s">
        <v>5226</v>
      </c>
      <c r="Y261" t="s">
        <v>5227</v>
      </c>
      <c r="Z261" t="s">
        <v>5228</v>
      </c>
      <c r="AA261" t="s">
        <v>5229</v>
      </c>
      <c r="AB261" t="s">
        <v>5230</v>
      </c>
      <c r="AC261" t="s">
        <v>5231</v>
      </c>
      <c r="AD261" t="s">
        <v>5232</v>
      </c>
      <c r="AE261" t="s">
        <v>5233</v>
      </c>
      <c r="AF261" t="s">
        <v>74</v>
      </c>
      <c r="AG261">
        <v>70</v>
      </c>
      <c r="AH261">
        <v>45</v>
      </c>
      <c r="AI261">
        <v>48</v>
      </c>
      <c r="AJ261">
        <v>0</v>
      </c>
      <c r="AK261">
        <v>45</v>
      </c>
      <c r="AL261" t="s">
        <v>655</v>
      </c>
      <c r="AM261" t="s">
        <v>656</v>
      </c>
      <c r="AN261" t="s">
        <v>657</v>
      </c>
      <c r="AO261" t="s">
        <v>2316</v>
      </c>
      <c r="AP261" t="s">
        <v>2338</v>
      </c>
      <c r="AQ261" t="s">
        <v>74</v>
      </c>
      <c r="AR261" t="s">
        <v>2317</v>
      </c>
      <c r="AS261" t="s">
        <v>2318</v>
      </c>
      <c r="AT261" t="s">
        <v>3442</v>
      </c>
      <c r="AU261">
        <v>2012</v>
      </c>
      <c r="AV261">
        <v>35</v>
      </c>
      <c r="AW261">
        <v>4</v>
      </c>
      <c r="AX261" t="s">
        <v>74</v>
      </c>
      <c r="AY261" t="s">
        <v>74</v>
      </c>
      <c r="AZ261" t="s">
        <v>74</v>
      </c>
      <c r="BA261" t="s">
        <v>74</v>
      </c>
      <c r="BB261">
        <v>543</v>
      </c>
      <c r="BC261">
        <v>554</v>
      </c>
      <c r="BD261" t="s">
        <v>74</v>
      </c>
      <c r="BE261" t="s">
        <v>5234</v>
      </c>
      <c r="BF261" t="str">
        <f>HYPERLINK("http://dx.doi.org/10.1007/s00300-011-1100-4","http://dx.doi.org/10.1007/s00300-011-1100-4")</f>
        <v>http://dx.doi.org/10.1007/s00300-011-1100-4</v>
      </c>
      <c r="BG261" t="s">
        <v>74</v>
      </c>
      <c r="BH261" t="s">
        <v>74</v>
      </c>
      <c r="BI261">
        <v>12</v>
      </c>
      <c r="BJ261" t="s">
        <v>2320</v>
      </c>
      <c r="BK261" t="s">
        <v>99</v>
      </c>
      <c r="BL261" t="s">
        <v>1784</v>
      </c>
      <c r="BM261" t="s">
        <v>4466</v>
      </c>
      <c r="BN261" t="s">
        <v>74</v>
      </c>
      <c r="BO261" t="s">
        <v>328</v>
      </c>
      <c r="BP261" t="s">
        <v>74</v>
      </c>
      <c r="BQ261" t="s">
        <v>74</v>
      </c>
      <c r="BR261" t="s">
        <v>101</v>
      </c>
      <c r="BS261" t="s">
        <v>5235</v>
      </c>
      <c r="BT261" t="str">
        <f>HYPERLINK("https%3A%2F%2Fwww.webofscience.com%2Fwos%2Fwoscc%2Ffull-record%2FWOS:000301451600007","View Full Record in Web of Science")</f>
        <v>View Full Record in Web of Science</v>
      </c>
    </row>
    <row r="262" spans="1:72" x14ac:dyDescent="0.15">
      <c r="A262" t="s">
        <v>72</v>
      </c>
      <c r="B262" t="s">
        <v>5236</v>
      </c>
      <c r="C262" t="s">
        <v>74</v>
      </c>
      <c r="D262" t="s">
        <v>74</v>
      </c>
      <c r="E262" t="s">
        <v>74</v>
      </c>
      <c r="F262" t="s">
        <v>5237</v>
      </c>
      <c r="G262" t="s">
        <v>74</v>
      </c>
      <c r="H262" t="s">
        <v>74</v>
      </c>
      <c r="I262" t="s">
        <v>5238</v>
      </c>
      <c r="J262" t="s">
        <v>2303</v>
      </c>
      <c r="K262" t="s">
        <v>74</v>
      </c>
      <c r="L262" t="s">
        <v>74</v>
      </c>
      <c r="M262" t="s">
        <v>78</v>
      </c>
      <c r="N262" t="s">
        <v>79</v>
      </c>
      <c r="O262" t="s">
        <v>74</v>
      </c>
      <c r="P262" t="s">
        <v>74</v>
      </c>
      <c r="Q262" t="s">
        <v>74</v>
      </c>
      <c r="R262" t="s">
        <v>74</v>
      </c>
      <c r="S262" t="s">
        <v>74</v>
      </c>
      <c r="T262" t="s">
        <v>5239</v>
      </c>
      <c r="U262" t="s">
        <v>5240</v>
      </c>
      <c r="V262" t="s">
        <v>5241</v>
      </c>
      <c r="W262" t="s">
        <v>5242</v>
      </c>
      <c r="X262" t="s">
        <v>5243</v>
      </c>
      <c r="Y262" t="s">
        <v>5244</v>
      </c>
      <c r="Z262" t="s">
        <v>5245</v>
      </c>
      <c r="AA262" t="s">
        <v>5246</v>
      </c>
      <c r="AB262" t="s">
        <v>5247</v>
      </c>
      <c r="AC262" t="s">
        <v>5248</v>
      </c>
      <c r="AD262" t="s">
        <v>5249</v>
      </c>
      <c r="AE262" t="s">
        <v>5250</v>
      </c>
      <c r="AF262" t="s">
        <v>74</v>
      </c>
      <c r="AG262">
        <v>25</v>
      </c>
      <c r="AH262">
        <v>36</v>
      </c>
      <c r="AI262">
        <v>40</v>
      </c>
      <c r="AJ262">
        <v>1</v>
      </c>
      <c r="AK262">
        <v>21</v>
      </c>
      <c r="AL262" t="s">
        <v>655</v>
      </c>
      <c r="AM262" t="s">
        <v>656</v>
      </c>
      <c r="AN262" t="s">
        <v>657</v>
      </c>
      <c r="AO262" t="s">
        <v>2316</v>
      </c>
      <c r="AP262" t="s">
        <v>2338</v>
      </c>
      <c r="AQ262" t="s">
        <v>74</v>
      </c>
      <c r="AR262" t="s">
        <v>2317</v>
      </c>
      <c r="AS262" t="s">
        <v>2318</v>
      </c>
      <c r="AT262" t="s">
        <v>3442</v>
      </c>
      <c r="AU262">
        <v>2012</v>
      </c>
      <c r="AV262">
        <v>35</v>
      </c>
      <c r="AW262">
        <v>4</v>
      </c>
      <c r="AX262" t="s">
        <v>74</v>
      </c>
      <c r="AY262" t="s">
        <v>74</v>
      </c>
      <c r="AZ262" t="s">
        <v>74</v>
      </c>
      <c r="BA262" t="s">
        <v>74</v>
      </c>
      <c r="BB262">
        <v>567</v>
      </c>
      <c r="BC262">
        <v>574</v>
      </c>
      <c r="BD262" t="s">
        <v>74</v>
      </c>
      <c r="BE262" t="s">
        <v>5251</v>
      </c>
      <c r="BF262" t="str">
        <f>HYPERLINK("http://dx.doi.org/10.1007/s00300-011-1102-2","http://dx.doi.org/10.1007/s00300-011-1102-2")</f>
        <v>http://dx.doi.org/10.1007/s00300-011-1102-2</v>
      </c>
      <c r="BG262" t="s">
        <v>74</v>
      </c>
      <c r="BH262" t="s">
        <v>74</v>
      </c>
      <c r="BI262">
        <v>8</v>
      </c>
      <c r="BJ262" t="s">
        <v>2320</v>
      </c>
      <c r="BK262" t="s">
        <v>99</v>
      </c>
      <c r="BL262" t="s">
        <v>1784</v>
      </c>
      <c r="BM262" t="s">
        <v>4466</v>
      </c>
      <c r="BN262" t="s">
        <v>74</v>
      </c>
      <c r="BO262" t="s">
        <v>5252</v>
      </c>
      <c r="BP262" t="s">
        <v>74</v>
      </c>
      <c r="BQ262" t="s">
        <v>74</v>
      </c>
      <c r="BR262" t="s">
        <v>101</v>
      </c>
      <c r="BS262" t="s">
        <v>5253</v>
      </c>
      <c r="BT262" t="str">
        <f>HYPERLINK("https%3A%2F%2Fwww.webofscience.com%2Fwos%2Fwoscc%2Ffull-record%2FWOS:000301451600009","View Full Record in Web of Science")</f>
        <v>View Full Record in Web of Science</v>
      </c>
    </row>
    <row r="263" spans="1:72" x14ac:dyDescent="0.15">
      <c r="A263" t="s">
        <v>72</v>
      </c>
      <c r="B263" t="s">
        <v>5254</v>
      </c>
      <c r="C263" t="s">
        <v>74</v>
      </c>
      <c r="D263" t="s">
        <v>74</v>
      </c>
      <c r="E263" t="s">
        <v>74</v>
      </c>
      <c r="F263" t="s">
        <v>5255</v>
      </c>
      <c r="G263" t="s">
        <v>74</v>
      </c>
      <c r="H263" t="s">
        <v>74</v>
      </c>
      <c r="I263" t="s">
        <v>5256</v>
      </c>
      <c r="J263" t="s">
        <v>2303</v>
      </c>
      <c r="K263" t="s">
        <v>74</v>
      </c>
      <c r="L263" t="s">
        <v>74</v>
      </c>
      <c r="M263" t="s">
        <v>78</v>
      </c>
      <c r="N263" t="s">
        <v>79</v>
      </c>
      <c r="O263" t="s">
        <v>74</v>
      </c>
      <c r="P263" t="s">
        <v>74</v>
      </c>
      <c r="Q263" t="s">
        <v>74</v>
      </c>
      <c r="R263" t="s">
        <v>74</v>
      </c>
      <c r="S263" t="s">
        <v>74</v>
      </c>
      <c r="T263" t="s">
        <v>5257</v>
      </c>
      <c r="U263" t="s">
        <v>5258</v>
      </c>
      <c r="V263" t="s">
        <v>5259</v>
      </c>
      <c r="W263" t="s">
        <v>5260</v>
      </c>
      <c r="X263" t="s">
        <v>5261</v>
      </c>
      <c r="Y263" t="s">
        <v>5262</v>
      </c>
      <c r="Z263" t="s">
        <v>5263</v>
      </c>
      <c r="AA263" t="s">
        <v>74</v>
      </c>
      <c r="AB263" t="s">
        <v>74</v>
      </c>
      <c r="AC263" t="s">
        <v>5264</v>
      </c>
      <c r="AD263" t="s">
        <v>5265</v>
      </c>
      <c r="AE263" t="s">
        <v>5266</v>
      </c>
      <c r="AF263" t="s">
        <v>74</v>
      </c>
      <c r="AG263">
        <v>41</v>
      </c>
      <c r="AH263">
        <v>45</v>
      </c>
      <c r="AI263">
        <v>48</v>
      </c>
      <c r="AJ263">
        <v>2</v>
      </c>
      <c r="AK263">
        <v>38</v>
      </c>
      <c r="AL263" t="s">
        <v>655</v>
      </c>
      <c r="AM263" t="s">
        <v>656</v>
      </c>
      <c r="AN263" t="s">
        <v>657</v>
      </c>
      <c r="AO263" t="s">
        <v>2316</v>
      </c>
      <c r="AP263" t="s">
        <v>2338</v>
      </c>
      <c r="AQ263" t="s">
        <v>74</v>
      </c>
      <c r="AR263" t="s">
        <v>2317</v>
      </c>
      <c r="AS263" t="s">
        <v>2318</v>
      </c>
      <c r="AT263" t="s">
        <v>3442</v>
      </c>
      <c r="AU263">
        <v>2012</v>
      </c>
      <c r="AV263">
        <v>35</v>
      </c>
      <c r="AW263">
        <v>4</v>
      </c>
      <c r="AX263" t="s">
        <v>74</v>
      </c>
      <c r="AY263" t="s">
        <v>74</v>
      </c>
      <c r="AZ263" t="s">
        <v>74</v>
      </c>
      <c r="BA263" t="s">
        <v>74</v>
      </c>
      <c r="BB263">
        <v>575</v>
      </c>
      <c r="BC263">
        <v>583</v>
      </c>
      <c r="BD263" t="s">
        <v>74</v>
      </c>
      <c r="BE263" t="s">
        <v>5267</v>
      </c>
      <c r="BF263" t="str">
        <f>HYPERLINK("http://dx.doi.org/10.1007/s00300-011-1103-1","http://dx.doi.org/10.1007/s00300-011-1103-1")</f>
        <v>http://dx.doi.org/10.1007/s00300-011-1103-1</v>
      </c>
      <c r="BG263" t="s">
        <v>74</v>
      </c>
      <c r="BH263" t="s">
        <v>74</v>
      </c>
      <c r="BI263">
        <v>9</v>
      </c>
      <c r="BJ263" t="s">
        <v>2320</v>
      </c>
      <c r="BK263" t="s">
        <v>99</v>
      </c>
      <c r="BL263" t="s">
        <v>1784</v>
      </c>
      <c r="BM263" t="s">
        <v>4466</v>
      </c>
      <c r="BN263" t="s">
        <v>74</v>
      </c>
      <c r="BO263" t="s">
        <v>74</v>
      </c>
      <c r="BP263" t="s">
        <v>74</v>
      </c>
      <c r="BQ263" t="s">
        <v>74</v>
      </c>
      <c r="BR263" t="s">
        <v>101</v>
      </c>
      <c r="BS263" t="s">
        <v>5268</v>
      </c>
      <c r="BT263" t="str">
        <f>HYPERLINK("https%3A%2F%2Fwww.webofscience.com%2Fwos%2Fwoscc%2Ffull-record%2FWOS:000301451600010","View Full Record in Web of Science")</f>
        <v>View Full Record in Web of Science</v>
      </c>
    </row>
    <row r="264" spans="1:72" x14ac:dyDescent="0.15">
      <c r="A264" t="s">
        <v>72</v>
      </c>
      <c r="B264" t="s">
        <v>5269</v>
      </c>
      <c r="C264" t="s">
        <v>74</v>
      </c>
      <c r="D264" t="s">
        <v>74</v>
      </c>
      <c r="E264" t="s">
        <v>74</v>
      </c>
      <c r="F264" t="s">
        <v>5270</v>
      </c>
      <c r="G264" t="s">
        <v>74</v>
      </c>
      <c r="H264" t="s">
        <v>74</v>
      </c>
      <c r="I264" t="s">
        <v>5271</v>
      </c>
      <c r="J264" t="s">
        <v>2303</v>
      </c>
      <c r="K264" t="s">
        <v>74</v>
      </c>
      <c r="L264" t="s">
        <v>74</v>
      </c>
      <c r="M264" t="s">
        <v>78</v>
      </c>
      <c r="N264" t="s">
        <v>79</v>
      </c>
      <c r="O264" t="s">
        <v>74</v>
      </c>
      <c r="P264" t="s">
        <v>74</v>
      </c>
      <c r="Q264" t="s">
        <v>74</v>
      </c>
      <c r="R264" t="s">
        <v>74</v>
      </c>
      <c r="S264" t="s">
        <v>74</v>
      </c>
      <c r="T264" t="s">
        <v>5272</v>
      </c>
      <c r="U264" t="s">
        <v>5273</v>
      </c>
      <c r="V264" t="s">
        <v>5274</v>
      </c>
      <c r="W264" t="s">
        <v>5275</v>
      </c>
      <c r="X264" t="s">
        <v>3176</v>
      </c>
      <c r="Y264" t="s">
        <v>5276</v>
      </c>
      <c r="Z264" t="s">
        <v>5277</v>
      </c>
      <c r="AA264" t="s">
        <v>5278</v>
      </c>
      <c r="AB264" t="s">
        <v>5279</v>
      </c>
      <c r="AC264" t="s">
        <v>5280</v>
      </c>
      <c r="AD264" t="s">
        <v>5281</v>
      </c>
      <c r="AE264" t="s">
        <v>5282</v>
      </c>
      <c r="AF264" t="s">
        <v>74</v>
      </c>
      <c r="AG264">
        <v>3</v>
      </c>
      <c r="AH264">
        <v>5</v>
      </c>
      <c r="AI264">
        <v>5</v>
      </c>
      <c r="AJ264">
        <v>0</v>
      </c>
      <c r="AK264">
        <v>14</v>
      </c>
      <c r="AL264" t="s">
        <v>655</v>
      </c>
      <c r="AM264" t="s">
        <v>656</v>
      </c>
      <c r="AN264" t="s">
        <v>657</v>
      </c>
      <c r="AO264" t="s">
        <v>2316</v>
      </c>
      <c r="AP264" t="s">
        <v>74</v>
      </c>
      <c r="AQ264" t="s">
        <v>74</v>
      </c>
      <c r="AR264" t="s">
        <v>2317</v>
      </c>
      <c r="AS264" t="s">
        <v>2318</v>
      </c>
      <c r="AT264" t="s">
        <v>3442</v>
      </c>
      <c r="AU264">
        <v>2012</v>
      </c>
      <c r="AV264">
        <v>35</v>
      </c>
      <c r="AW264">
        <v>4</v>
      </c>
      <c r="AX264" t="s">
        <v>74</v>
      </c>
      <c r="AY264" t="s">
        <v>74</v>
      </c>
      <c r="AZ264" t="s">
        <v>74</v>
      </c>
      <c r="BA264" t="s">
        <v>74</v>
      </c>
      <c r="BB264">
        <v>633</v>
      </c>
      <c r="BC264">
        <v>636</v>
      </c>
      <c r="BD264" t="s">
        <v>74</v>
      </c>
      <c r="BE264" t="s">
        <v>5283</v>
      </c>
      <c r="BF264" t="str">
        <f>HYPERLINK("http://dx.doi.org/10.1007/s00300-011-1088-9","http://dx.doi.org/10.1007/s00300-011-1088-9")</f>
        <v>http://dx.doi.org/10.1007/s00300-011-1088-9</v>
      </c>
      <c r="BG264" t="s">
        <v>74</v>
      </c>
      <c r="BH264" t="s">
        <v>74</v>
      </c>
      <c r="BI264">
        <v>4</v>
      </c>
      <c r="BJ264" t="s">
        <v>2320</v>
      </c>
      <c r="BK264" t="s">
        <v>99</v>
      </c>
      <c r="BL264" t="s">
        <v>1784</v>
      </c>
      <c r="BM264" t="s">
        <v>4466</v>
      </c>
      <c r="BN264" t="s">
        <v>74</v>
      </c>
      <c r="BO264" t="s">
        <v>74</v>
      </c>
      <c r="BP264" t="s">
        <v>74</v>
      </c>
      <c r="BQ264" t="s">
        <v>74</v>
      </c>
      <c r="BR264" t="s">
        <v>101</v>
      </c>
      <c r="BS264" t="s">
        <v>5284</v>
      </c>
      <c r="BT264" t="str">
        <f>HYPERLINK("https%3A%2F%2Fwww.webofscience.com%2Fwos%2Fwoscc%2Ffull-record%2FWOS:000301451600015","View Full Record in Web of Science")</f>
        <v>View Full Record in Web of Science</v>
      </c>
    </row>
    <row r="265" spans="1:72" x14ac:dyDescent="0.15">
      <c r="A265" t="s">
        <v>72</v>
      </c>
      <c r="B265" t="s">
        <v>4308</v>
      </c>
      <c r="C265" t="s">
        <v>74</v>
      </c>
      <c r="D265" t="s">
        <v>74</v>
      </c>
      <c r="E265" t="s">
        <v>74</v>
      </c>
      <c r="F265" t="s">
        <v>4309</v>
      </c>
      <c r="G265" t="s">
        <v>74</v>
      </c>
      <c r="H265" t="s">
        <v>74</v>
      </c>
      <c r="I265" t="s">
        <v>5285</v>
      </c>
      <c r="J265" t="s">
        <v>4311</v>
      </c>
      <c r="K265" t="s">
        <v>74</v>
      </c>
      <c r="L265" t="s">
        <v>74</v>
      </c>
      <c r="M265" t="s">
        <v>78</v>
      </c>
      <c r="N265" t="s">
        <v>2225</v>
      </c>
      <c r="O265" t="s">
        <v>74</v>
      </c>
      <c r="P265" t="s">
        <v>74</v>
      </c>
      <c r="Q265" t="s">
        <v>74</v>
      </c>
      <c r="R265" t="s">
        <v>74</v>
      </c>
      <c r="S265" t="s">
        <v>74</v>
      </c>
      <c r="T265" t="s">
        <v>74</v>
      </c>
      <c r="U265" t="s">
        <v>74</v>
      </c>
      <c r="V265" t="s">
        <v>74</v>
      </c>
      <c r="W265" t="s">
        <v>4314</v>
      </c>
      <c r="X265" t="s">
        <v>4315</v>
      </c>
      <c r="Y265" t="s">
        <v>4316</v>
      </c>
      <c r="Z265" t="s">
        <v>4317</v>
      </c>
      <c r="AA265" t="s">
        <v>74</v>
      </c>
      <c r="AB265" t="s">
        <v>74</v>
      </c>
      <c r="AC265" t="s">
        <v>74</v>
      </c>
      <c r="AD265" t="s">
        <v>74</v>
      </c>
      <c r="AE265" t="s">
        <v>74</v>
      </c>
      <c r="AF265" t="s">
        <v>74</v>
      </c>
      <c r="AG265">
        <v>2</v>
      </c>
      <c r="AH265">
        <v>0</v>
      </c>
      <c r="AI265">
        <v>0</v>
      </c>
      <c r="AJ265">
        <v>0</v>
      </c>
      <c r="AK265">
        <v>0</v>
      </c>
      <c r="AL265" t="s">
        <v>1111</v>
      </c>
      <c r="AM265" t="s">
        <v>656</v>
      </c>
      <c r="AN265" t="s">
        <v>1209</v>
      </c>
      <c r="AO265" t="s">
        <v>4318</v>
      </c>
      <c r="AP265" t="s">
        <v>4319</v>
      </c>
      <c r="AQ265" t="s">
        <v>74</v>
      </c>
      <c r="AR265" t="s">
        <v>4320</v>
      </c>
      <c r="AS265" t="s">
        <v>4321</v>
      </c>
      <c r="AT265" t="s">
        <v>3442</v>
      </c>
      <c r="AU265">
        <v>2012</v>
      </c>
      <c r="AV265">
        <v>48</v>
      </c>
      <c r="AW265">
        <v>245</v>
      </c>
      <c r="AX265" t="s">
        <v>74</v>
      </c>
      <c r="AY265" t="s">
        <v>74</v>
      </c>
      <c r="AZ265" t="s">
        <v>74</v>
      </c>
      <c r="BA265" t="s">
        <v>74</v>
      </c>
      <c r="BB265">
        <v>144</v>
      </c>
      <c r="BC265">
        <v>144</v>
      </c>
      <c r="BD265" t="s">
        <v>74</v>
      </c>
      <c r="BE265" t="s">
        <v>5286</v>
      </c>
      <c r="BF265" t="str">
        <f>HYPERLINK("http://dx.doi.org/10.1017/S0032247411000568","http://dx.doi.org/10.1017/S0032247411000568")</f>
        <v>http://dx.doi.org/10.1017/S0032247411000568</v>
      </c>
      <c r="BG265" t="s">
        <v>74</v>
      </c>
      <c r="BH265" t="s">
        <v>74</v>
      </c>
      <c r="BI265">
        <v>1</v>
      </c>
      <c r="BJ265" t="s">
        <v>3749</v>
      </c>
      <c r="BK265" t="s">
        <v>99</v>
      </c>
      <c r="BL265" t="s">
        <v>1259</v>
      </c>
      <c r="BM265" t="s">
        <v>4323</v>
      </c>
      <c r="BN265" t="s">
        <v>74</v>
      </c>
      <c r="BO265" t="s">
        <v>74</v>
      </c>
      <c r="BP265" t="s">
        <v>74</v>
      </c>
      <c r="BQ265" t="s">
        <v>74</v>
      </c>
      <c r="BR265" t="s">
        <v>101</v>
      </c>
      <c r="BS265" t="s">
        <v>5287</v>
      </c>
      <c r="BT265" t="str">
        <f>HYPERLINK("https%3A%2F%2Fwww.webofscience.com%2Fwos%2Fwoscc%2Ffull-record%2FWOS:000301068500003","View Full Record in Web of Science")</f>
        <v>View Full Record in Web of Science</v>
      </c>
    </row>
    <row r="266" spans="1:72" x14ac:dyDescent="0.15">
      <c r="A266" t="s">
        <v>72</v>
      </c>
      <c r="B266" t="s">
        <v>5288</v>
      </c>
      <c r="C266" t="s">
        <v>74</v>
      </c>
      <c r="D266" t="s">
        <v>74</v>
      </c>
      <c r="E266" t="s">
        <v>74</v>
      </c>
      <c r="F266" t="s">
        <v>5289</v>
      </c>
      <c r="G266" t="s">
        <v>74</v>
      </c>
      <c r="H266" t="s">
        <v>74</v>
      </c>
      <c r="I266" t="s">
        <v>5290</v>
      </c>
      <c r="J266" t="s">
        <v>4311</v>
      </c>
      <c r="K266" t="s">
        <v>74</v>
      </c>
      <c r="L266" t="s">
        <v>74</v>
      </c>
      <c r="M266" t="s">
        <v>78</v>
      </c>
      <c r="N266" t="s">
        <v>79</v>
      </c>
      <c r="O266" t="s">
        <v>74</v>
      </c>
      <c r="P266" t="s">
        <v>74</v>
      </c>
      <c r="Q266" t="s">
        <v>74</v>
      </c>
      <c r="R266" t="s">
        <v>74</v>
      </c>
      <c r="S266" t="s">
        <v>74</v>
      </c>
      <c r="T266" t="s">
        <v>74</v>
      </c>
      <c r="U266" t="s">
        <v>5291</v>
      </c>
      <c r="V266" t="s">
        <v>5292</v>
      </c>
      <c r="W266" t="s">
        <v>5293</v>
      </c>
      <c r="X266" t="s">
        <v>5294</v>
      </c>
      <c r="Y266" t="s">
        <v>5295</v>
      </c>
      <c r="Z266" t="s">
        <v>5296</v>
      </c>
      <c r="AA266" t="s">
        <v>74</v>
      </c>
      <c r="AB266" t="s">
        <v>74</v>
      </c>
      <c r="AC266" t="s">
        <v>5297</v>
      </c>
      <c r="AD266" t="s">
        <v>5298</v>
      </c>
      <c r="AE266" t="s">
        <v>5299</v>
      </c>
      <c r="AF266" t="s">
        <v>74</v>
      </c>
      <c r="AG266">
        <v>64</v>
      </c>
      <c r="AH266">
        <v>60</v>
      </c>
      <c r="AI266">
        <v>71</v>
      </c>
      <c r="AJ266">
        <v>7</v>
      </c>
      <c r="AK266">
        <v>133</v>
      </c>
      <c r="AL266" t="s">
        <v>1111</v>
      </c>
      <c r="AM266" t="s">
        <v>656</v>
      </c>
      <c r="AN266" t="s">
        <v>1209</v>
      </c>
      <c r="AO266" t="s">
        <v>4318</v>
      </c>
      <c r="AP266" t="s">
        <v>4319</v>
      </c>
      <c r="AQ266" t="s">
        <v>74</v>
      </c>
      <c r="AR266" t="s">
        <v>4320</v>
      </c>
      <c r="AS266" t="s">
        <v>4321</v>
      </c>
      <c r="AT266" t="s">
        <v>3442</v>
      </c>
      <c r="AU266">
        <v>2012</v>
      </c>
      <c r="AV266">
        <v>48</v>
      </c>
      <c r="AW266">
        <v>245</v>
      </c>
      <c r="AX266" t="s">
        <v>74</v>
      </c>
      <c r="AY266" t="s">
        <v>74</v>
      </c>
      <c r="AZ266" t="s">
        <v>74</v>
      </c>
      <c r="BA266" t="s">
        <v>74</v>
      </c>
      <c r="BB266">
        <v>145</v>
      </c>
      <c r="BC266">
        <v>156</v>
      </c>
      <c r="BD266" t="s">
        <v>74</v>
      </c>
      <c r="BE266" t="s">
        <v>5300</v>
      </c>
      <c r="BF266" t="str">
        <f>HYPERLINK("http://dx.doi.org/10.1017/S0032247410000720","http://dx.doi.org/10.1017/S0032247410000720")</f>
        <v>http://dx.doi.org/10.1017/S0032247410000720</v>
      </c>
      <c r="BG266" t="s">
        <v>74</v>
      </c>
      <c r="BH266" t="s">
        <v>74</v>
      </c>
      <c r="BI266">
        <v>12</v>
      </c>
      <c r="BJ266" t="s">
        <v>3749</v>
      </c>
      <c r="BK266" t="s">
        <v>2236</v>
      </c>
      <c r="BL266" t="s">
        <v>1259</v>
      </c>
      <c r="BM266" t="s">
        <v>4323</v>
      </c>
      <c r="BN266" t="s">
        <v>74</v>
      </c>
      <c r="BO266" t="s">
        <v>74</v>
      </c>
      <c r="BP266" t="s">
        <v>74</v>
      </c>
      <c r="BQ266" t="s">
        <v>74</v>
      </c>
      <c r="BR266" t="s">
        <v>101</v>
      </c>
      <c r="BS266" t="s">
        <v>5301</v>
      </c>
      <c r="BT266" t="str">
        <f>HYPERLINK("https%3A%2F%2Fwww.webofscience.com%2Fwos%2Fwoscc%2Ffull-record%2FWOS:000301068500004","View Full Record in Web of Science")</f>
        <v>View Full Record in Web of Science</v>
      </c>
    </row>
    <row r="267" spans="1:72" x14ac:dyDescent="0.15">
      <c r="A267" t="s">
        <v>72</v>
      </c>
      <c r="B267" t="s">
        <v>5302</v>
      </c>
      <c r="C267" t="s">
        <v>74</v>
      </c>
      <c r="D267" t="s">
        <v>74</v>
      </c>
      <c r="E267" t="s">
        <v>74</v>
      </c>
      <c r="F267" t="s">
        <v>5303</v>
      </c>
      <c r="G267" t="s">
        <v>74</v>
      </c>
      <c r="H267" t="s">
        <v>74</v>
      </c>
      <c r="I267" t="s">
        <v>5304</v>
      </c>
      <c r="J267" t="s">
        <v>4311</v>
      </c>
      <c r="K267" t="s">
        <v>74</v>
      </c>
      <c r="L267" t="s">
        <v>74</v>
      </c>
      <c r="M267" t="s">
        <v>78</v>
      </c>
      <c r="N267" t="s">
        <v>2225</v>
      </c>
      <c r="O267" t="s">
        <v>74</v>
      </c>
      <c r="P267" t="s">
        <v>74</v>
      </c>
      <c r="Q267" t="s">
        <v>74</v>
      </c>
      <c r="R267" t="s">
        <v>74</v>
      </c>
      <c r="S267" t="s">
        <v>74</v>
      </c>
      <c r="T267" t="s">
        <v>74</v>
      </c>
      <c r="U267" t="s">
        <v>5305</v>
      </c>
      <c r="V267" t="s">
        <v>5306</v>
      </c>
      <c r="W267" t="s">
        <v>5307</v>
      </c>
      <c r="X267" t="s">
        <v>546</v>
      </c>
      <c r="Y267" t="s">
        <v>5308</v>
      </c>
      <c r="Z267" t="s">
        <v>5309</v>
      </c>
      <c r="AA267" t="s">
        <v>74</v>
      </c>
      <c r="AB267" t="s">
        <v>74</v>
      </c>
      <c r="AC267" t="s">
        <v>74</v>
      </c>
      <c r="AD267" t="s">
        <v>74</v>
      </c>
      <c r="AE267" t="s">
        <v>74</v>
      </c>
      <c r="AF267" t="s">
        <v>74</v>
      </c>
      <c r="AG267">
        <v>16</v>
      </c>
      <c r="AH267">
        <v>0</v>
      </c>
      <c r="AI267">
        <v>0</v>
      </c>
      <c r="AJ267">
        <v>0</v>
      </c>
      <c r="AK267">
        <v>3</v>
      </c>
      <c r="AL267" t="s">
        <v>1111</v>
      </c>
      <c r="AM267" t="s">
        <v>656</v>
      </c>
      <c r="AN267" t="s">
        <v>1209</v>
      </c>
      <c r="AO267" t="s">
        <v>4318</v>
      </c>
      <c r="AP267" t="s">
        <v>74</v>
      </c>
      <c r="AQ267" t="s">
        <v>74</v>
      </c>
      <c r="AR267" t="s">
        <v>4320</v>
      </c>
      <c r="AS267" t="s">
        <v>4321</v>
      </c>
      <c r="AT267" t="s">
        <v>3442</v>
      </c>
      <c r="AU267">
        <v>2012</v>
      </c>
      <c r="AV267">
        <v>48</v>
      </c>
      <c r="AW267">
        <v>245</v>
      </c>
      <c r="AX267" t="s">
        <v>74</v>
      </c>
      <c r="AY267" t="s">
        <v>74</v>
      </c>
      <c r="AZ267" t="s">
        <v>74</v>
      </c>
      <c r="BA267" t="s">
        <v>74</v>
      </c>
      <c r="BB267">
        <v>192</v>
      </c>
      <c r="BC267">
        <v>205</v>
      </c>
      <c r="BD267" t="s">
        <v>74</v>
      </c>
      <c r="BE267" t="s">
        <v>5310</v>
      </c>
      <c r="BF267" t="str">
        <f>HYPERLINK("http://dx.doi.org/10.1017/S0032247411000283","http://dx.doi.org/10.1017/S0032247411000283")</f>
        <v>http://dx.doi.org/10.1017/S0032247411000283</v>
      </c>
      <c r="BG267" t="s">
        <v>74</v>
      </c>
      <c r="BH267" t="s">
        <v>74</v>
      </c>
      <c r="BI267">
        <v>16</v>
      </c>
      <c r="BJ267" t="s">
        <v>3749</v>
      </c>
      <c r="BK267" t="s">
        <v>99</v>
      </c>
      <c r="BL267" t="s">
        <v>1259</v>
      </c>
      <c r="BM267" t="s">
        <v>4323</v>
      </c>
      <c r="BN267" t="s">
        <v>74</v>
      </c>
      <c r="BO267" t="s">
        <v>2083</v>
      </c>
      <c r="BP267" t="s">
        <v>74</v>
      </c>
      <c r="BQ267" t="s">
        <v>74</v>
      </c>
      <c r="BR267" t="s">
        <v>101</v>
      </c>
      <c r="BS267" t="s">
        <v>5311</v>
      </c>
      <c r="BT267" t="str">
        <f>HYPERLINK("https%3A%2F%2Fwww.webofscience.com%2Fwos%2Fwoscc%2Ffull-record%2FWOS:000301068500009","View Full Record in Web of Science")</f>
        <v>View Full Record in Web of Science</v>
      </c>
    </row>
    <row r="268" spans="1:72" x14ac:dyDescent="0.15">
      <c r="A268" t="s">
        <v>72</v>
      </c>
      <c r="B268" t="s">
        <v>5312</v>
      </c>
      <c r="C268" t="s">
        <v>74</v>
      </c>
      <c r="D268" t="s">
        <v>74</v>
      </c>
      <c r="E268" t="s">
        <v>74</v>
      </c>
      <c r="F268" t="s">
        <v>5313</v>
      </c>
      <c r="G268" t="s">
        <v>74</v>
      </c>
      <c r="H268" t="s">
        <v>74</v>
      </c>
      <c r="I268" t="s">
        <v>5314</v>
      </c>
      <c r="J268" t="s">
        <v>5315</v>
      </c>
      <c r="K268" t="s">
        <v>74</v>
      </c>
      <c r="L268" t="s">
        <v>74</v>
      </c>
      <c r="M268" t="s">
        <v>78</v>
      </c>
      <c r="N268" t="s">
        <v>79</v>
      </c>
      <c r="O268" t="s">
        <v>74</v>
      </c>
      <c r="P268" t="s">
        <v>74</v>
      </c>
      <c r="Q268" t="s">
        <v>74</v>
      </c>
      <c r="R268" t="s">
        <v>74</v>
      </c>
      <c r="S268" t="s">
        <v>74</v>
      </c>
      <c r="T268" t="s">
        <v>5316</v>
      </c>
      <c r="U268" t="s">
        <v>5317</v>
      </c>
      <c r="V268" t="s">
        <v>5318</v>
      </c>
      <c r="W268" t="s">
        <v>5319</v>
      </c>
      <c r="X268" t="s">
        <v>5320</v>
      </c>
      <c r="Y268" t="s">
        <v>5321</v>
      </c>
      <c r="Z268" t="s">
        <v>5322</v>
      </c>
      <c r="AA268" t="s">
        <v>5323</v>
      </c>
      <c r="AB268" t="s">
        <v>5324</v>
      </c>
      <c r="AC268" t="s">
        <v>5325</v>
      </c>
      <c r="AD268" t="s">
        <v>5326</v>
      </c>
      <c r="AE268" t="s">
        <v>5327</v>
      </c>
      <c r="AF268" t="s">
        <v>74</v>
      </c>
      <c r="AG268">
        <v>38</v>
      </c>
      <c r="AH268">
        <v>18</v>
      </c>
      <c r="AI268">
        <v>18</v>
      </c>
      <c r="AJ268">
        <v>0</v>
      </c>
      <c r="AK268">
        <v>5</v>
      </c>
      <c r="AL268" t="s">
        <v>627</v>
      </c>
      <c r="AM268" t="s">
        <v>628</v>
      </c>
      <c r="AN268" t="s">
        <v>629</v>
      </c>
      <c r="AO268" t="s">
        <v>5328</v>
      </c>
      <c r="AP268" t="s">
        <v>5329</v>
      </c>
      <c r="AQ268" t="s">
        <v>74</v>
      </c>
      <c r="AR268" t="s">
        <v>5330</v>
      </c>
      <c r="AS268" t="s">
        <v>5331</v>
      </c>
      <c r="AT268" t="s">
        <v>3442</v>
      </c>
      <c r="AU268">
        <v>2012</v>
      </c>
      <c r="AV268">
        <v>80</v>
      </c>
      <c r="AW268">
        <v>4</v>
      </c>
      <c r="AX268" t="s">
        <v>74</v>
      </c>
      <c r="AY268" t="s">
        <v>74</v>
      </c>
      <c r="AZ268" t="s">
        <v>74</v>
      </c>
      <c r="BA268" t="s">
        <v>74</v>
      </c>
      <c r="BB268">
        <v>1154</v>
      </c>
      <c r="BC268">
        <v>1166</v>
      </c>
      <c r="BD268" t="s">
        <v>74</v>
      </c>
      <c r="BE268" t="s">
        <v>5332</v>
      </c>
      <c r="BF268" t="str">
        <f>HYPERLINK("http://dx.doi.org/10.1002/prot.24016","http://dx.doi.org/10.1002/prot.24016")</f>
        <v>http://dx.doi.org/10.1002/prot.24016</v>
      </c>
      <c r="BG268" t="s">
        <v>74</v>
      </c>
      <c r="BH268" t="s">
        <v>74</v>
      </c>
      <c r="BI268">
        <v>13</v>
      </c>
      <c r="BJ268" t="s">
        <v>3107</v>
      </c>
      <c r="BK268" t="s">
        <v>99</v>
      </c>
      <c r="BL268" t="s">
        <v>3107</v>
      </c>
      <c r="BM268" t="s">
        <v>5333</v>
      </c>
      <c r="BN268">
        <v>22275059</v>
      </c>
      <c r="BO268" t="s">
        <v>74</v>
      </c>
      <c r="BP268" t="s">
        <v>74</v>
      </c>
      <c r="BQ268" t="s">
        <v>74</v>
      </c>
      <c r="BR268" t="s">
        <v>101</v>
      </c>
      <c r="BS268" t="s">
        <v>5334</v>
      </c>
      <c r="BT268" t="str">
        <f>HYPERLINK("https%3A%2F%2Fwww.webofscience.com%2Fwos%2Fwoscc%2Ffull-record%2FWOS:000300984700015","View Full Record in Web of Science")</f>
        <v>View Full Record in Web of Science</v>
      </c>
    </row>
    <row r="269" spans="1:72" x14ac:dyDescent="0.15">
      <c r="A269" t="s">
        <v>72</v>
      </c>
      <c r="B269" t="s">
        <v>5335</v>
      </c>
      <c r="C269" t="s">
        <v>74</v>
      </c>
      <c r="D269" t="s">
        <v>74</v>
      </c>
      <c r="E269" t="s">
        <v>74</v>
      </c>
      <c r="F269" t="s">
        <v>5336</v>
      </c>
      <c r="G269" t="s">
        <v>74</v>
      </c>
      <c r="H269" t="s">
        <v>74</v>
      </c>
      <c r="I269" t="s">
        <v>5337</v>
      </c>
      <c r="J269" t="s">
        <v>5338</v>
      </c>
      <c r="K269" t="s">
        <v>74</v>
      </c>
      <c r="L269" t="s">
        <v>74</v>
      </c>
      <c r="M269" t="s">
        <v>78</v>
      </c>
      <c r="N269" t="s">
        <v>79</v>
      </c>
      <c r="O269" t="s">
        <v>74</v>
      </c>
      <c r="P269" t="s">
        <v>74</v>
      </c>
      <c r="Q269" t="s">
        <v>74</v>
      </c>
      <c r="R269" t="s">
        <v>74</v>
      </c>
      <c r="S269" t="s">
        <v>74</v>
      </c>
      <c r="T269" t="s">
        <v>5339</v>
      </c>
      <c r="U269" t="s">
        <v>74</v>
      </c>
      <c r="V269" t="s">
        <v>5340</v>
      </c>
      <c r="W269" t="s">
        <v>5341</v>
      </c>
      <c r="X269" t="s">
        <v>977</v>
      </c>
      <c r="Y269" t="s">
        <v>5342</v>
      </c>
      <c r="Z269" t="s">
        <v>5343</v>
      </c>
      <c r="AA269" t="s">
        <v>74</v>
      </c>
      <c r="AB269" t="s">
        <v>74</v>
      </c>
      <c r="AC269" t="s">
        <v>74</v>
      </c>
      <c r="AD269" t="s">
        <v>74</v>
      </c>
      <c r="AE269" t="s">
        <v>74</v>
      </c>
      <c r="AF269" t="s">
        <v>74</v>
      </c>
      <c r="AG269">
        <v>22</v>
      </c>
      <c r="AH269">
        <v>2</v>
      </c>
      <c r="AI269">
        <v>2</v>
      </c>
      <c r="AJ269">
        <v>0</v>
      </c>
      <c r="AK269">
        <v>0</v>
      </c>
      <c r="AL269" t="s">
        <v>3669</v>
      </c>
      <c r="AM269" t="s">
        <v>3670</v>
      </c>
      <c r="AN269" t="s">
        <v>3671</v>
      </c>
      <c r="AO269" t="s">
        <v>5344</v>
      </c>
      <c r="AP269" t="s">
        <v>5345</v>
      </c>
      <c r="AQ269" t="s">
        <v>74</v>
      </c>
      <c r="AR269" t="s">
        <v>5346</v>
      </c>
      <c r="AS269" t="s">
        <v>5347</v>
      </c>
      <c r="AT269" t="s">
        <v>3442</v>
      </c>
      <c r="AU269">
        <v>2012</v>
      </c>
      <c r="AV269">
        <v>54</v>
      </c>
      <c r="AW269">
        <v>2</v>
      </c>
      <c r="AX269" t="s">
        <v>74</v>
      </c>
      <c r="AY269" t="s">
        <v>74</v>
      </c>
      <c r="AZ269" t="s">
        <v>74</v>
      </c>
      <c r="BA269" t="s">
        <v>74</v>
      </c>
      <c r="BB269">
        <v>205</v>
      </c>
      <c r="BC269">
        <v>210</v>
      </c>
      <c r="BD269" t="s">
        <v>74</v>
      </c>
      <c r="BE269" t="s">
        <v>5348</v>
      </c>
      <c r="BF269" t="str">
        <f>HYPERLINK("http://dx.doi.org/10.1134/S1066362212020191","http://dx.doi.org/10.1134/S1066362212020191")</f>
        <v>http://dx.doi.org/10.1134/S1066362212020191</v>
      </c>
      <c r="BG269" t="s">
        <v>74</v>
      </c>
      <c r="BH269" t="s">
        <v>74</v>
      </c>
      <c r="BI269">
        <v>6</v>
      </c>
      <c r="BJ269" t="s">
        <v>5349</v>
      </c>
      <c r="BK269" t="s">
        <v>5350</v>
      </c>
      <c r="BL269" t="s">
        <v>287</v>
      </c>
      <c r="BM269" t="s">
        <v>5351</v>
      </c>
      <c r="BN269" t="s">
        <v>74</v>
      </c>
      <c r="BO269" t="s">
        <v>74</v>
      </c>
      <c r="BP269" t="s">
        <v>74</v>
      </c>
      <c r="BQ269" t="s">
        <v>74</v>
      </c>
      <c r="BR269" t="s">
        <v>101</v>
      </c>
      <c r="BS269" t="s">
        <v>5352</v>
      </c>
      <c r="BT269" t="str">
        <f>HYPERLINK("https%3A%2F%2Fwww.webofscience.com%2Fwos%2Fwoscc%2Ffull-record%2FWOS:000415585200019","View Full Record in Web of Science")</f>
        <v>View Full Record in Web of Science</v>
      </c>
    </row>
    <row r="270" spans="1:72" x14ac:dyDescent="0.15">
      <c r="A270" t="s">
        <v>72</v>
      </c>
      <c r="B270" t="s">
        <v>5353</v>
      </c>
      <c r="C270" t="s">
        <v>74</v>
      </c>
      <c r="D270" t="s">
        <v>74</v>
      </c>
      <c r="E270" t="s">
        <v>74</v>
      </c>
      <c r="F270" t="s">
        <v>5354</v>
      </c>
      <c r="G270" t="s">
        <v>74</v>
      </c>
      <c r="H270" t="s">
        <v>74</v>
      </c>
      <c r="I270" t="s">
        <v>5355</v>
      </c>
      <c r="J270" t="s">
        <v>5356</v>
      </c>
      <c r="K270" t="s">
        <v>74</v>
      </c>
      <c r="L270" t="s">
        <v>74</v>
      </c>
      <c r="M270" t="s">
        <v>78</v>
      </c>
      <c r="N270" t="s">
        <v>79</v>
      </c>
      <c r="O270" t="s">
        <v>74</v>
      </c>
      <c r="P270" t="s">
        <v>74</v>
      </c>
      <c r="Q270" t="s">
        <v>74</v>
      </c>
      <c r="R270" t="s">
        <v>74</v>
      </c>
      <c r="S270" t="s">
        <v>74</v>
      </c>
      <c r="T270" t="s">
        <v>5357</v>
      </c>
      <c r="U270" t="s">
        <v>5358</v>
      </c>
      <c r="V270" t="s">
        <v>5359</v>
      </c>
      <c r="W270" t="s">
        <v>5360</v>
      </c>
      <c r="X270" t="s">
        <v>5361</v>
      </c>
      <c r="Y270" t="s">
        <v>5362</v>
      </c>
      <c r="Z270" t="s">
        <v>5363</v>
      </c>
      <c r="AA270" t="s">
        <v>5364</v>
      </c>
      <c r="AB270" t="s">
        <v>74</v>
      </c>
      <c r="AC270" t="s">
        <v>5365</v>
      </c>
      <c r="AD270" t="s">
        <v>5365</v>
      </c>
      <c r="AE270" t="s">
        <v>5366</v>
      </c>
      <c r="AF270" t="s">
        <v>74</v>
      </c>
      <c r="AG270">
        <v>48</v>
      </c>
      <c r="AH270">
        <v>13</v>
      </c>
      <c r="AI270">
        <v>14</v>
      </c>
      <c r="AJ270">
        <v>0</v>
      </c>
      <c r="AK270">
        <v>13</v>
      </c>
      <c r="AL270" t="s">
        <v>5356</v>
      </c>
      <c r="AM270" t="s">
        <v>5367</v>
      </c>
      <c r="AN270" t="s">
        <v>5368</v>
      </c>
      <c r="AO270" t="s">
        <v>5369</v>
      </c>
      <c r="AP270" t="s">
        <v>5370</v>
      </c>
      <c r="AQ270" t="s">
        <v>74</v>
      </c>
      <c r="AR270" t="s">
        <v>5371</v>
      </c>
      <c r="AS270" t="s">
        <v>5372</v>
      </c>
      <c r="AT270" t="s">
        <v>3442</v>
      </c>
      <c r="AU270">
        <v>2012</v>
      </c>
      <c r="AV270">
        <v>60</v>
      </c>
      <c r="AW270" t="s">
        <v>74</v>
      </c>
      <c r="AX270" t="s">
        <v>74</v>
      </c>
      <c r="AY270">
        <v>2</v>
      </c>
      <c r="AZ270" t="s">
        <v>74</v>
      </c>
      <c r="BA270" t="s">
        <v>74</v>
      </c>
      <c r="BB270">
        <v>133</v>
      </c>
      <c r="BC270">
        <v>142</v>
      </c>
      <c r="BD270" t="s">
        <v>74</v>
      </c>
      <c r="BE270" t="s">
        <v>74</v>
      </c>
      <c r="BF270" t="s">
        <v>74</v>
      </c>
      <c r="BG270" t="s">
        <v>74</v>
      </c>
      <c r="BH270" t="s">
        <v>74</v>
      </c>
      <c r="BI270">
        <v>10</v>
      </c>
      <c r="BJ270" t="s">
        <v>1091</v>
      </c>
      <c r="BK270" t="s">
        <v>99</v>
      </c>
      <c r="BL270" t="s">
        <v>1092</v>
      </c>
      <c r="BM270" t="s">
        <v>5373</v>
      </c>
      <c r="BN270" t="s">
        <v>74</v>
      </c>
      <c r="BO270" t="s">
        <v>74</v>
      </c>
      <c r="BP270" t="s">
        <v>74</v>
      </c>
      <c r="BQ270" t="s">
        <v>74</v>
      </c>
      <c r="BR270" t="s">
        <v>101</v>
      </c>
      <c r="BS270" t="s">
        <v>5374</v>
      </c>
      <c r="BT270" t="str">
        <f>HYPERLINK("https%3A%2F%2Fwww.webofscience.com%2Fwos%2Fwoscc%2Ffull-record%2FWOS:000209580400009","View Full Record in Web of Science")</f>
        <v>View Full Record in Web of Science</v>
      </c>
    </row>
    <row r="271" spans="1:72" x14ac:dyDescent="0.15">
      <c r="A271" t="s">
        <v>72</v>
      </c>
      <c r="B271" t="s">
        <v>5375</v>
      </c>
      <c r="C271" t="s">
        <v>74</v>
      </c>
      <c r="D271" t="s">
        <v>74</v>
      </c>
      <c r="E271" t="s">
        <v>74</v>
      </c>
      <c r="F271" t="s">
        <v>5376</v>
      </c>
      <c r="G271" t="s">
        <v>74</v>
      </c>
      <c r="H271" t="s">
        <v>74</v>
      </c>
      <c r="I271" t="s">
        <v>5377</v>
      </c>
      <c r="J271" t="s">
        <v>5378</v>
      </c>
      <c r="K271" t="s">
        <v>74</v>
      </c>
      <c r="L271" t="s">
        <v>74</v>
      </c>
      <c r="M271" t="s">
        <v>78</v>
      </c>
      <c r="N271" t="s">
        <v>79</v>
      </c>
      <c r="O271" t="s">
        <v>74</v>
      </c>
      <c r="P271" t="s">
        <v>74</v>
      </c>
      <c r="Q271" t="s">
        <v>74</v>
      </c>
      <c r="R271" t="s">
        <v>74</v>
      </c>
      <c r="S271" t="s">
        <v>74</v>
      </c>
      <c r="T271" t="s">
        <v>5379</v>
      </c>
      <c r="U271" t="s">
        <v>5380</v>
      </c>
      <c r="V271" t="s">
        <v>5381</v>
      </c>
      <c r="W271" t="s">
        <v>5382</v>
      </c>
      <c r="X271" t="s">
        <v>5383</v>
      </c>
      <c r="Y271" t="s">
        <v>5384</v>
      </c>
      <c r="Z271" t="s">
        <v>5385</v>
      </c>
      <c r="AA271" t="s">
        <v>5386</v>
      </c>
      <c r="AB271" t="s">
        <v>5387</v>
      </c>
      <c r="AC271" t="s">
        <v>5388</v>
      </c>
      <c r="AD271" t="s">
        <v>4792</v>
      </c>
      <c r="AE271" t="s">
        <v>5389</v>
      </c>
      <c r="AF271" t="s">
        <v>74</v>
      </c>
      <c r="AG271">
        <v>31</v>
      </c>
      <c r="AH271">
        <v>22</v>
      </c>
      <c r="AI271">
        <v>23</v>
      </c>
      <c r="AJ271">
        <v>0</v>
      </c>
      <c r="AK271">
        <v>16</v>
      </c>
      <c r="AL271" t="s">
        <v>3895</v>
      </c>
      <c r="AM271" t="s">
        <v>3896</v>
      </c>
      <c r="AN271" t="s">
        <v>3897</v>
      </c>
      <c r="AO271" t="s">
        <v>5390</v>
      </c>
      <c r="AP271" t="s">
        <v>74</v>
      </c>
      <c r="AQ271" t="s">
        <v>74</v>
      </c>
      <c r="AR271" t="s">
        <v>5378</v>
      </c>
      <c r="AS271" t="s">
        <v>5391</v>
      </c>
      <c r="AT271" t="s">
        <v>3442</v>
      </c>
      <c r="AU271">
        <v>2012</v>
      </c>
      <c r="AV271">
        <v>59</v>
      </c>
      <c r="AW271">
        <v>3</v>
      </c>
      <c r="AX271" t="s">
        <v>74</v>
      </c>
      <c r="AY271" t="s">
        <v>74</v>
      </c>
      <c r="AZ271" t="s">
        <v>74</v>
      </c>
      <c r="BA271" t="s">
        <v>74</v>
      </c>
      <c r="BB271">
        <v>1087</v>
      </c>
      <c r="BC271">
        <v>1100</v>
      </c>
      <c r="BD271" t="s">
        <v>74</v>
      </c>
      <c r="BE271" t="s">
        <v>5392</v>
      </c>
      <c r="BF271" t="str">
        <f>HYPERLINK("http://dx.doi.org/10.1111/j.1365-3091.2011.01296.x","http://dx.doi.org/10.1111/j.1365-3091.2011.01296.x")</f>
        <v>http://dx.doi.org/10.1111/j.1365-3091.2011.01296.x</v>
      </c>
      <c r="BG271" t="s">
        <v>74</v>
      </c>
      <c r="BH271" t="s">
        <v>74</v>
      </c>
      <c r="BI271">
        <v>14</v>
      </c>
      <c r="BJ271" t="s">
        <v>195</v>
      </c>
      <c r="BK271" t="s">
        <v>99</v>
      </c>
      <c r="BL271" t="s">
        <v>195</v>
      </c>
      <c r="BM271" t="s">
        <v>5393</v>
      </c>
      <c r="BN271" t="s">
        <v>74</v>
      </c>
      <c r="BO271" t="s">
        <v>328</v>
      </c>
      <c r="BP271" t="s">
        <v>74</v>
      </c>
      <c r="BQ271" t="s">
        <v>74</v>
      </c>
      <c r="BR271" t="s">
        <v>101</v>
      </c>
      <c r="BS271" t="s">
        <v>5394</v>
      </c>
      <c r="BT271" t="str">
        <f>HYPERLINK("https%3A%2F%2Fwww.webofscience.com%2Fwos%2Fwoscc%2Ffull-record%2FWOS:000301718300018","View Full Record in Web of Science")</f>
        <v>View Full Record in Web of Science</v>
      </c>
    </row>
    <row r="272" spans="1:72" x14ac:dyDescent="0.15">
      <c r="A272" t="s">
        <v>72</v>
      </c>
      <c r="B272" t="s">
        <v>5395</v>
      </c>
      <c r="C272" t="s">
        <v>74</v>
      </c>
      <c r="D272" t="s">
        <v>74</v>
      </c>
      <c r="E272" t="s">
        <v>74</v>
      </c>
      <c r="F272" t="s">
        <v>5396</v>
      </c>
      <c r="G272" t="s">
        <v>74</v>
      </c>
      <c r="H272" t="s">
        <v>74</v>
      </c>
      <c r="I272" t="s">
        <v>5397</v>
      </c>
      <c r="J272" t="s">
        <v>5398</v>
      </c>
      <c r="K272" t="s">
        <v>74</v>
      </c>
      <c r="L272" t="s">
        <v>74</v>
      </c>
      <c r="M272" t="s">
        <v>78</v>
      </c>
      <c r="N272" t="s">
        <v>79</v>
      </c>
      <c r="O272" t="s">
        <v>74</v>
      </c>
      <c r="P272" t="s">
        <v>74</v>
      </c>
      <c r="Q272" t="s">
        <v>74</v>
      </c>
      <c r="R272" t="s">
        <v>74</v>
      </c>
      <c r="S272" t="s">
        <v>74</v>
      </c>
      <c r="T272" t="s">
        <v>5399</v>
      </c>
      <c r="U272" t="s">
        <v>5400</v>
      </c>
      <c r="V272" t="s">
        <v>5401</v>
      </c>
      <c r="W272" t="s">
        <v>5402</v>
      </c>
      <c r="X272" t="s">
        <v>5403</v>
      </c>
      <c r="Y272" t="s">
        <v>5404</v>
      </c>
      <c r="Z272" t="s">
        <v>5405</v>
      </c>
      <c r="AA272" t="s">
        <v>5406</v>
      </c>
      <c r="AB272" t="s">
        <v>5407</v>
      </c>
      <c r="AC272" t="s">
        <v>5408</v>
      </c>
      <c r="AD272" t="s">
        <v>5409</v>
      </c>
      <c r="AE272" t="s">
        <v>5410</v>
      </c>
      <c r="AF272" t="s">
        <v>74</v>
      </c>
      <c r="AG272">
        <v>57</v>
      </c>
      <c r="AH272">
        <v>42</v>
      </c>
      <c r="AI272">
        <v>43</v>
      </c>
      <c r="AJ272">
        <v>1</v>
      </c>
      <c r="AK272">
        <v>42</v>
      </c>
      <c r="AL272" t="s">
        <v>2414</v>
      </c>
      <c r="AM272" t="s">
        <v>2415</v>
      </c>
      <c r="AN272" t="s">
        <v>2416</v>
      </c>
      <c r="AO272" t="s">
        <v>5411</v>
      </c>
      <c r="AP272" t="s">
        <v>5412</v>
      </c>
      <c r="AQ272" t="s">
        <v>74</v>
      </c>
      <c r="AR272" t="s">
        <v>5413</v>
      </c>
      <c r="AS272" t="s">
        <v>5414</v>
      </c>
      <c r="AT272" t="s">
        <v>3442</v>
      </c>
      <c r="AU272">
        <v>2012</v>
      </c>
      <c r="AV272">
        <v>26</v>
      </c>
      <c r="AW272">
        <v>2</v>
      </c>
      <c r="AX272" t="s">
        <v>74</v>
      </c>
      <c r="AY272" t="s">
        <v>74</v>
      </c>
      <c r="AZ272" t="s">
        <v>74</v>
      </c>
      <c r="BA272" t="s">
        <v>74</v>
      </c>
      <c r="BB272">
        <v>443</v>
      </c>
      <c r="BC272">
        <v>458</v>
      </c>
      <c r="BD272" t="s">
        <v>74</v>
      </c>
      <c r="BE272" t="s">
        <v>5415</v>
      </c>
      <c r="BF272" t="str">
        <f>HYPERLINK("http://dx.doi.org/10.1007/s00468-011-0605-3","http://dx.doi.org/10.1007/s00468-011-0605-3")</f>
        <v>http://dx.doi.org/10.1007/s00468-011-0605-3</v>
      </c>
      <c r="BG272" t="s">
        <v>74</v>
      </c>
      <c r="BH272" t="s">
        <v>74</v>
      </c>
      <c r="BI272">
        <v>16</v>
      </c>
      <c r="BJ272" t="s">
        <v>5416</v>
      </c>
      <c r="BK272" t="s">
        <v>99</v>
      </c>
      <c r="BL272" t="s">
        <v>5416</v>
      </c>
      <c r="BM272" t="s">
        <v>5417</v>
      </c>
      <c r="BN272" t="s">
        <v>74</v>
      </c>
      <c r="BO272" t="s">
        <v>328</v>
      </c>
      <c r="BP272" t="s">
        <v>74</v>
      </c>
      <c r="BQ272" t="s">
        <v>74</v>
      </c>
      <c r="BR272" t="s">
        <v>101</v>
      </c>
      <c r="BS272" t="s">
        <v>5418</v>
      </c>
      <c r="BT272" t="str">
        <f>HYPERLINK("https%3A%2F%2Fwww.webofscience.com%2Fwos%2Fwoscc%2Ffull-record%2FWOS:000301779200015","View Full Record in Web of Science")</f>
        <v>View Full Record in Web of Science</v>
      </c>
    </row>
    <row r="273" spans="1:72" x14ac:dyDescent="0.15">
      <c r="A273" t="s">
        <v>72</v>
      </c>
      <c r="B273" t="s">
        <v>5419</v>
      </c>
      <c r="C273" t="s">
        <v>74</v>
      </c>
      <c r="D273" t="s">
        <v>74</v>
      </c>
      <c r="E273" t="s">
        <v>74</v>
      </c>
      <c r="F273" t="s">
        <v>5420</v>
      </c>
      <c r="G273" t="s">
        <v>74</v>
      </c>
      <c r="H273" t="s">
        <v>74</v>
      </c>
      <c r="I273" t="s">
        <v>5421</v>
      </c>
      <c r="J273" t="s">
        <v>5422</v>
      </c>
      <c r="K273" t="s">
        <v>74</v>
      </c>
      <c r="L273" t="s">
        <v>74</v>
      </c>
      <c r="M273" t="s">
        <v>78</v>
      </c>
      <c r="N273" t="s">
        <v>79</v>
      </c>
      <c r="O273" t="s">
        <v>74</v>
      </c>
      <c r="P273" t="s">
        <v>74</v>
      </c>
      <c r="Q273" t="s">
        <v>74</v>
      </c>
      <c r="R273" t="s">
        <v>74</v>
      </c>
      <c r="S273" t="s">
        <v>74</v>
      </c>
      <c r="T273" t="s">
        <v>74</v>
      </c>
      <c r="U273" t="s">
        <v>5423</v>
      </c>
      <c r="V273" t="s">
        <v>5424</v>
      </c>
      <c r="W273" t="s">
        <v>5425</v>
      </c>
      <c r="X273" t="s">
        <v>5426</v>
      </c>
      <c r="Y273" t="s">
        <v>5427</v>
      </c>
      <c r="Z273" t="s">
        <v>5428</v>
      </c>
      <c r="AA273" t="s">
        <v>5429</v>
      </c>
      <c r="AB273" t="s">
        <v>5430</v>
      </c>
      <c r="AC273" t="s">
        <v>5431</v>
      </c>
      <c r="AD273" t="s">
        <v>5432</v>
      </c>
      <c r="AE273" t="s">
        <v>5433</v>
      </c>
      <c r="AF273" t="s">
        <v>74</v>
      </c>
      <c r="AG273">
        <v>73</v>
      </c>
      <c r="AH273">
        <v>245</v>
      </c>
      <c r="AI273">
        <v>266</v>
      </c>
      <c r="AJ273">
        <v>9</v>
      </c>
      <c r="AK273">
        <v>232</v>
      </c>
      <c r="AL273" t="s">
        <v>5434</v>
      </c>
      <c r="AM273" t="s">
        <v>147</v>
      </c>
      <c r="AN273" t="s">
        <v>5435</v>
      </c>
      <c r="AO273" t="s">
        <v>5436</v>
      </c>
      <c r="AP273" t="s">
        <v>74</v>
      </c>
      <c r="AQ273" t="s">
        <v>74</v>
      </c>
      <c r="AR273" t="s">
        <v>5437</v>
      </c>
      <c r="AS273" t="s">
        <v>5438</v>
      </c>
      <c r="AT273" t="s">
        <v>3442</v>
      </c>
      <c r="AU273">
        <v>2012</v>
      </c>
      <c r="AV273">
        <v>27</v>
      </c>
      <c r="AW273">
        <v>4</v>
      </c>
      <c r="AX273" t="s">
        <v>74</v>
      </c>
      <c r="AY273" t="s">
        <v>74</v>
      </c>
      <c r="AZ273" t="s">
        <v>74</v>
      </c>
      <c r="BA273" t="s">
        <v>74</v>
      </c>
      <c r="BB273">
        <v>219</v>
      </c>
      <c r="BC273">
        <v>225</v>
      </c>
      <c r="BD273" t="s">
        <v>74</v>
      </c>
      <c r="BE273" t="s">
        <v>5439</v>
      </c>
      <c r="BF273" t="str">
        <f>HYPERLINK("http://dx.doi.org/10.1016/j.tree.2011.09.012","http://dx.doi.org/10.1016/j.tree.2011.09.012")</f>
        <v>http://dx.doi.org/10.1016/j.tree.2011.09.012</v>
      </c>
      <c r="BG273" t="s">
        <v>74</v>
      </c>
      <c r="BH273" t="s">
        <v>74</v>
      </c>
      <c r="BI273">
        <v>7</v>
      </c>
      <c r="BJ273" t="s">
        <v>5440</v>
      </c>
      <c r="BK273" t="s">
        <v>99</v>
      </c>
      <c r="BL273" t="s">
        <v>5441</v>
      </c>
      <c r="BM273" t="s">
        <v>5442</v>
      </c>
      <c r="BN273">
        <v>22000675</v>
      </c>
      <c r="BO273" t="s">
        <v>74</v>
      </c>
      <c r="BP273" t="s">
        <v>74</v>
      </c>
      <c r="BQ273" t="s">
        <v>74</v>
      </c>
      <c r="BR273" t="s">
        <v>101</v>
      </c>
      <c r="BS273" t="s">
        <v>5443</v>
      </c>
      <c r="BT273" t="str">
        <f>HYPERLINK("https%3A%2F%2Fwww.webofscience.com%2Fwos%2Fwoscc%2Ffull-record%2FWOS:000302976000009","View Full Record in Web of Science")</f>
        <v>View Full Record in Web of Science</v>
      </c>
    </row>
    <row r="274" spans="1:72" x14ac:dyDescent="0.15">
      <c r="A274" t="s">
        <v>72</v>
      </c>
      <c r="B274" t="s">
        <v>5444</v>
      </c>
      <c r="C274" t="s">
        <v>74</v>
      </c>
      <c r="D274" t="s">
        <v>74</v>
      </c>
      <c r="E274" t="s">
        <v>74</v>
      </c>
      <c r="F274" t="s">
        <v>5445</v>
      </c>
      <c r="G274" t="s">
        <v>74</v>
      </c>
      <c r="H274" t="s">
        <v>74</v>
      </c>
      <c r="I274" t="s">
        <v>5446</v>
      </c>
      <c r="J274" t="s">
        <v>4645</v>
      </c>
      <c r="K274" t="s">
        <v>74</v>
      </c>
      <c r="L274" t="s">
        <v>74</v>
      </c>
      <c r="M274" t="s">
        <v>78</v>
      </c>
      <c r="N274" t="s">
        <v>79</v>
      </c>
      <c r="O274" t="s">
        <v>74</v>
      </c>
      <c r="P274" t="s">
        <v>74</v>
      </c>
      <c r="Q274" t="s">
        <v>74</v>
      </c>
      <c r="R274" t="s">
        <v>74</v>
      </c>
      <c r="S274" t="s">
        <v>74</v>
      </c>
      <c r="T274" t="s">
        <v>5447</v>
      </c>
      <c r="U274" t="s">
        <v>5448</v>
      </c>
      <c r="V274" t="s">
        <v>5449</v>
      </c>
      <c r="W274" t="s">
        <v>5450</v>
      </c>
      <c r="X274" t="s">
        <v>5451</v>
      </c>
      <c r="Y274" t="s">
        <v>5452</v>
      </c>
      <c r="Z274" t="s">
        <v>2536</v>
      </c>
      <c r="AA274" t="s">
        <v>5453</v>
      </c>
      <c r="AB274" t="s">
        <v>5454</v>
      </c>
      <c r="AC274" t="s">
        <v>5455</v>
      </c>
      <c r="AD274" t="s">
        <v>5456</v>
      </c>
      <c r="AE274" t="s">
        <v>5457</v>
      </c>
      <c r="AF274" t="s">
        <v>74</v>
      </c>
      <c r="AG274">
        <v>30</v>
      </c>
      <c r="AH274">
        <v>3</v>
      </c>
      <c r="AI274">
        <v>3</v>
      </c>
      <c r="AJ274">
        <v>0</v>
      </c>
      <c r="AK274">
        <v>3</v>
      </c>
      <c r="AL274" t="s">
        <v>1111</v>
      </c>
      <c r="AM274" t="s">
        <v>656</v>
      </c>
      <c r="AN274" t="s">
        <v>1209</v>
      </c>
      <c r="AO274" t="s">
        <v>4646</v>
      </c>
      <c r="AP274" t="s">
        <v>5458</v>
      </c>
      <c r="AQ274" t="s">
        <v>74</v>
      </c>
      <c r="AR274" t="s">
        <v>4647</v>
      </c>
      <c r="AS274" t="s">
        <v>4648</v>
      </c>
      <c r="AT274" t="s">
        <v>3442</v>
      </c>
      <c r="AU274">
        <v>2012</v>
      </c>
      <c r="AV274">
        <v>24</v>
      </c>
      <c r="AW274">
        <v>2</v>
      </c>
      <c r="AX274" t="s">
        <v>74</v>
      </c>
      <c r="AY274" t="s">
        <v>74</v>
      </c>
      <c r="AZ274" t="s">
        <v>74</v>
      </c>
      <c r="BA274" t="s">
        <v>74</v>
      </c>
      <c r="BB274">
        <v>115</v>
      </c>
      <c r="BC274">
        <v>120</v>
      </c>
      <c r="BD274" t="s">
        <v>74</v>
      </c>
      <c r="BE274" t="s">
        <v>5459</v>
      </c>
      <c r="BF274" t="str">
        <f>HYPERLINK("http://dx.doi.org/10.1017/S0954102011000733","http://dx.doi.org/10.1017/S0954102011000733")</f>
        <v>http://dx.doi.org/10.1017/S0954102011000733</v>
      </c>
      <c r="BG274" t="s">
        <v>74</v>
      </c>
      <c r="BH274" t="s">
        <v>74</v>
      </c>
      <c r="BI274">
        <v>6</v>
      </c>
      <c r="BJ274" t="s">
        <v>4650</v>
      </c>
      <c r="BK274" t="s">
        <v>99</v>
      </c>
      <c r="BL274" t="s">
        <v>4651</v>
      </c>
      <c r="BM274" t="s">
        <v>4652</v>
      </c>
      <c r="BN274" t="s">
        <v>74</v>
      </c>
      <c r="BO274" t="s">
        <v>74</v>
      </c>
      <c r="BP274" t="s">
        <v>74</v>
      </c>
      <c r="BQ274" t="s">
        <v>74</v>
      </c>
      <c r="BR274" t="s">
        <v>101</v>
      </c>
      <c r="BS274" t="s">
        <v>5460</v>
      </c>
      <c r="BT274" t="str">
        <f>HYPERLINK("https%3A%2F%2Fwww.webofscience.com%2Fwos%2Fwoscc%2Ffull-record%2FWOS:000300878400002","View Full Record in Web of Science")</f>
        <v>View Full Record in Web of Science</v>
      </c>
    </row>
    <row r="275" spans="1:72" x14ac:dyDescent="0.15">
      <c r="A275" t="s">
        <v>72</v>
      </c>
      <c r="B275" t="s">
        <v>5461</v>
      </c>
      <c r="C275" t="s">
        <v>74</v>
      </c>
      <c r="D275" t="s">
        <v>74</v>
      </c>
      <c r="E275" t="s">
        <v>74</v>
      </c>
      <c r="F275" t="s">
        <v>5462</v>
      </c>
      <c r="G275" t="s">
        <v>74</v>
      </c>
      <c r="H275" t="s">
        <v>74</v>
      </c>
      <c r="I275" t="s">
        <v>5463</v>
      </c>
      <c r="J275" t="s">
        <v>4645</v>
      </c>
      <c r="K275" t="s">
        <v>74</v>
      </c>
      <c r="L275" t="s">
        <v>74</v>
      </c>
      <c r="M275" t="s">
        <v>78</v>
      </c>
      <c r="N275" t="s">
        <v>79</v>
      </c>
      <c r="O275" t="s">
        <v>74</v>
      </c>
      <c r="P275" t="s">
        <v>74</v>
      </c>
      <c r="Q275" t="s">
        <v>74</v>
      </c>
      <c r="R275" t="s">
        <v>74</v>
      </c>
      <c r="S275" t="s">
        <v>74</v>
      </c>
      <c r="T275" t="s">
        <v>5464</v>
      </c>
      <c r="U275" t="s">
        <v>5465</v>
      </c>
      <c r="V275" t="s">
        <v>5466</v>
      </c>
      <c r="W275" t="s">
        <v>5467</v>
      </c>
      <c r="X275" t="s">
        <v>5468</v>
      </c>
      <c r="Y275" t="s">
        <v>5469</v>
      </c>
      <c r="Z275" t="s">
        <v>5470</v>
      </c>
      <c r="AA275" t="s">
        <v>5471</v>
      </c>
      <c r="AB275" t="s">
        <v>5472</v>
      </c>
      <c r="AC275" t="s">
        <v>5473</v>
      </c>
      <c r="AD275" t="s">
        <v>5474</v>
      </c>
      <c r="AE275" t="s">
        <v>5475</v>
      </c>
      <c r="AF275" t="s">
        <v>74</v>
      </c>
      <c r="AG275">
        <v>18</v>
      </c>
      <c r="AH275">
        <v>6</v>
      </c>
      <c r="AI275">
        <v>6</v>
      </c>
      <c r="AJ275">
        <v>0</v>
      </c>
      <c r="AK275">
        <v>19</v>
      </c>
      <c r="AL275" t="s">
        <v>1111</v>
      </c>
      <c r="AM275" t="s">
        <v>656</v>
      </c>
      <c r="AN275" t="s">
        <v>1209</v>
      </c>
      <c r="AO275" t="s">
        <v>4646</v>
      </c>
      <c r="AP275" t="s">
        <v>5458</v>
      </c>
      <c r="AQ275" t="s">
        <v>74</v>
      </c>
      <c r="AR275" t="s">
        <v>4647</v>
      </c>
      <c r="AS275" t="s">
        <v>4648</v>
      </c>
      <c r="AT275" t="s">
        <v>3442</v>
      </c>
      <c r="AU275">
        <v>2012</v>
      </c>
      <c r="AV275">
        <v>24</v>
      </c>
      <c r="AW275">
        <v>2</v>
      </c>
      <c r="AX275" t="s">
        <v>74</v>
      </c>
      <c r="AY275" t="s">
        <v>74</v>
      </c>
      <c r="AZ275" t="s">
        <v>74</v>
      </c>
      <c r="BA275" t="s">
        <v>74</v>
      </c>
      <c r="BB275">
        <v>121</v>
      </c>
      <c r="BC275">
        <v>130</v>
      </c>
      <c r="BD275" t="s">
        <v>74</v>
      </c>
      <c r="BE275" t="s">
        <v>5476</v>
      </c>
      <c r="BF275" t="str">
        <f>HYPERLINK("http://dx.doi.org/10.1017/S0954102011000721","http://dx.doi.org/10.1017/S0954102011000721")</f>
        <v>http://dx.doi.org/10.1017/S0954102011000721</v>
      </c>
      <c r="BG275" t="s">
        <v>74</v>
      </c>
      <c r="BH275" t="s">
        <v>74</v>
      </c>
      <c r="BI275">
        <v>10</v>
      </c>
      <c r="BJ275" t="s">
        <v>4650</v>
      </c>
      <c r="BK275" t="s">
        <v>99</v>
      </c>
      <c r="BL275" t="s">
        <v>4651</v>
      </c>
      <c r="BM275" t="s">
        <v>4652</v>
      </c>
      <c r="BN275" t="s">
        <v>74</v>
      </c>
      <c r="BO275" t="s">
        <v>74</v>
      </c>
      <c r="BP275" t="s">
        <v>74</v>
      </c>
      <c r="BQ275" t="s">
        <v>74</v>
      </c>
      <c r="BR275" t="s">
        <v>101</v>
      </c>
      <c r="BS275" t="s">
        <v>5477</v>
      </c>
      <c r="BT275" t="str">
        <f>HYPERLINK("https%3A%2F%2Fwww.webofscience.com%2Fwos%2Fwoscc%2Ffull-record%2FWOS:000300878400003","View Full Record in Web of Science")</f>
        <v>View Full Record in Web of Science</v>
      </c>
    </row>
    <row r="276" spans="1:72" x14ac:dyDescent="0.15">
      <c r="A276" t="s">
        <v>72</v>
      </c>
      <c r="B276" t="s">
        <v>5478</v>
      </c>
      <c r="C276" t="s">
        <v>74</v>
      </c>
      <c r="D276" t="s">
        <v>74</v>
      </c>
      <c r="E276" t="s">
        <v>74</v>
      </c>
      <c r="F276" t="s">
        <v>5479</v>
      </c>
      <c r="G276" t="s">
        <v>74</v>
      </c>
      <c r="H276" t="s">
        <v>74</v>
      </c>
      <c r="I276" t="s">
        <v>5480</v>
      </c>
      <c r="J276" t="s">
        <v>4645</v>
      </c>
      <c r="K276" t="s">
        <v>74</v>
      </c>
      <c r="L276" t="s">
        <v>74</v>
      </c>
      <c r="M276" t="s">
        <v>78</v>
      </c>
      <c r="N276" t="s">
        <v>79</v>
      </c>
      <c r="O276" t="s">
        <v>74</v>
      </c>
      <c r="P276" t="s">
        <v>74</v>
      </c>
      <c r="Q276" t="s">
        <v>74</v>
      </c>
      <c r="R276" t="s">
        <v>74</v>
      </c>
      <c r="S276" t="s">
        <v>74</v>
      </c>
      <c r="T276" t="s">
        <v>5481</v>
      </c>
      <c r="U276" t="s">
        <v>5482</v>
      </c>
      <c r="V276" t="s">
        <v>5483</v>
      </c>
      <c r="W276" t="s">
        <v>5484</v>
      </c>
      <c r="X276" t="s">
        <v>5485</v>
      </c>
      <c r="Y276" t="s">
        <v>5486</v>
      </c>
      <c r="Z276" t="s">
        <v>5487</v>
      </c>
      <c r="AA276" t="s">
        <v>5488</v>
      </c>
      <c r="AB276" t="s">
        <v>5489</v>
      </c>
      <c r="AC276" t="s">
        <v>5490</v>
      </c>
      <c r="AD276" t="s">
        <v>5491</v>
      </c>
      <c r="AE276" t="s">
        <v>5492</v>
      </c>
      <c r="AF276" t="s">
        <v>74</v>
      </c>
      <c r="AG276">
        <v>67</v>
      </c>
      <c r="AH276">
        <v>13</v>
      </c>
      <c r="AI276">
        <v>19</v>
      </c>
      <c r="AJ276">
        <v>0</v>
      </c>
      <c r="AK276">
        <v>26</v>
      </c>
      <c r="AL276" t="s">
        <v>1111</v>
      </c>
      <c r="AM276" t="s">
        <v>656</v>
      </c>
      <c r="AN276" t="s">
        <v>1209</v>
      </c>
      <c r="AO276" t="s">
        <v>4646</v>
      </c>
      <c r="AP276" t="s">
        <v>5458</v>
      </c>
      <c r="AQ276" t="s">
        <v>74</v>
      </c>
      <c r="AR276" t="s">
        <v>4647</v>
      </c>
      <c r="AS276" t="s">
        <v>4648</v>
      </c>
      <c r="AT276" t="s">
        <v>3442</v>
      </c>
      <c r="AU276">
        <v>2012</v>
      </c>
      <c r="AV276">
        <v>24</v>
      </c>
      <c r="AW276">
        <v>2</v>
      </c>
      <c r="AX276" t="s">
        <v>74</v>
      </c>
      <c r="AY276" t="s">
        <v>74</v>
      </c>
      <c r="AZ276" t="s">
        <v>74</v>
      </c>
      <c r="BA276" t="s">
        <v>74</v>
      </c>
      <c r="BB276">
        <v>131</v>
      </c>
      <c r="BC276">
        <v>138</v>
      </c>
      <c r="BD276" t="s">
        <v>74</v>
      </c>
      <c r="BE276" t="s">
        <v>5493</v>
      </c>
      <c r="BF276" t="str">
        <f>HYPERLINK("http://dx.doi.org/10.1017/S095410201100071X","http://dx.doi.org/10.1017/S095410201100071X")</f>
        <v>http://dx.doi.org/10.1017/S095410201100071X</v>
      </c>
      <c r="BG276" t="s">
        <v>74</v>
      </c>
      <c r="BH276" t="s">
        <v>74</v>
      </c>
      <c r="BI276">
        <v>8</v>
      </c>
      <c r="BJ276" t="s">
        <v>4650</v>
      </c>
      <c r="BK276" t="s">
        <v>99</v>
      </c>
      <c r="BL276" t="s">
        <v>4651</v>
      </c>
      <c r="BM276" t="s">
        <v>4652</v>
      </c>
      <c r="BN276" t="s">
        <v>74</v>
      </c>
      <c r="BO276" t="s">
        <v>74</v>
      </c>
      <c r="BP276" t="s">
        <v>74</v>
      </c>
      <c r="BQ276" t="s">
        <v>74</v>
      </c>
      <c r="BR276" t="s">
        <v>101</v>
      </c>
      <c r="BS276" t="s">
        <v>5494</v>
      </c>
      <c r="BT276" t="str">
        <f>HYPERLINK("https%3A%2F%2Fwww.webofscience.com%2Fwos%2Fwoscc%2Ffull-record%2FWOS:000300878400004","View Full Record in Web of Science")</f>
        <v>View Full Record in Web of Science</v>
      </c>
    </row>
    <row r="277" spans="1:72" x14ac:dyDescent="0.15">
      <c r="A277" t="s">
        <v>72</v>
      </c>
      <c r="B277" t="s">
        <v>5495</v>
      </c>
      <c r="C277" t="s">
        <v>74</v>
      </c>
      <c r="D277" t="s">
        <v>74</v>
      </c>
      <c r="E277" t="s">
        <v>74</v>
      </c>
      <c r="F277" t="s">
        <v>5496</v>
      </c>
      <c r="G277" t="s">
        <v>74</v>
      </c>
      <c r="H277" t="s">
        <v>74</v>
      </c>
      <c r="I277" t="s">
        <v>5497</v>
      </c>
      <c r="J277" t="s">
        <v>4645</v>
      </c>
      <c r="K277" t="s">
        <v>74</v>
      </c>
      <c r="L277" t="s">
        <v>74</v>
      </c>
      <c r="M277" t="s">
        <v>78</v>
      </c>
      <c r="N277" t="s">
        <v>79</v>
      </c>
      <c r="O277" t="s">
        <v>74</v>
      </c>
      <c r="P277" t="s">
        <v>74</v>
      </c>
      <c r="Q277" t="s">
        <v>74</v>
      </c>
      <c r="R277" t="s">
        <v>74</v>
      </c>
      <c r="S277" t="s">
        <v>74</v>
      </c>
      <c r="T277" t="s">
        <v>5498</v>
      </c>
      <c r="U277" t="s">
        <v>5499</v>
      </c>
      <c r="V277" t="s">
        <v>5500</v>
      </c>
      <c r="W277" t="s">
        <v>5501</v>
      </c>
      <c r="X277" t="s">
        <v>5502</v>
      </c>
      <c r="Y277" t="s">
        <v>5503</v>
      </c>
      <c r="Z277" t="s">
        <v>5504</v>
      </c>
      <c r="AA277" t="s">
        <v>5505</v>
      </c>
      <c r="AB277" t="s">
        <v>5506</v>
      </c>
      <c r="AC277" t="s">
        <v>5507</v>
      </c>
      <c r="AD277" t="s">
        <v>5508</v>
      </c>
      <c r="AE277" t="s">
        <v>5509</v>
      </c>
      <c r="AF277" t="s">
        <v>74</v>
      </c>
      <c r="AG277">
        <v>40</v>
      </c>
      <c r="AH277">
        <v>4</v>
      </c>
      <c r="AI277">
        <v>4</v>
      </c>
      <c r="AJ277">
        <v>0</v>
      </c>
      <c r="AK277">
        <v>14</v>
      </c>
      <c r="AL277" t="s">
        <v>1111</v>
      </c>
      <c r="AM277" t="s">
        <v>656</v>
      </c>
      <c r="AN277" t="s">
        <v>1209</v>
      </c>
      <c r="AO277" t="s">
        <v>4646</v>
      </c>
      <c r="AP277" t="s">
        <v>74</v>
      </c>
      <c r="AQ277" t="s">
        <v>74</v>
      </c>
      <c r="AR277" t="s">
        <v>4647</v>
      </c>
      <c r="AS277" t="s">
        <v>4648</v>
      </c>
      <c r="AT277" t="s">
        <v>3442</v>
      </c>
      <c r="AU277">
        <v>2012</v>
      </c>
      <c r="AV277">
        <v>24</v>
      </c>
      <c r="AW277">
        <v>2</v>
      </c>
      <c r="AX277" t="s">
        <v>74</v>
      </c>
      <c r="AY277" t="s">
        <v>74</v>
      </c>
      <c r="AZ277" t="s">
        <v>74</v>
      </c>
      <c r="BA277" t="s">
        <v>74</v>
      </c>
      <c r="BB277">
        <v>139</v>
      </c>
      <c r="BC277">
        <v>146</v>
      </c>
      <c r="BD277" t="s">
        <v>74</v>
      </c>
      <c r="BE277" t="s">
        <v>5510</v>
      </c>
      <c r="BF277" t="str">
        <f>HYPERLINK("http://dx.doi.org/10.1017/S0954102011000770","http://dx.doi.org/10.1017/S0954102011000770")</f>
        <v>http://dx.doi.org/10.1017/S0954102011000770</v>
      </c>
      <c r="BG277" t="s">
        <v>74</v>
      </c>
      <c r="BH277" t="s">
        <v>74</v>
      </c>
      <c r="BI277">
        <v>8</v>
      </c>
      <c r="BJ277" t="s">
        <v>4650</v>
      </c>
      <c r="BK277" t="s">
        <v>99</v>
      </c>
      <c r="BL277" t="s">
        <v>4651</v>
      </c>
      <c r="BM277" t="s">
        <v>4652</v>
      </c>
      <c r="BN277" t="s">
        <v>74</v>
      </c>
      <c r="BO277" t="s">
        <v>156</v>
      </c>
      <c r="BP277" t="s">
        <v>74</v>
      </c>
      <c r="BQ277" t="s">
        <v>74</v>
      </c>
      <c r="BR277" t="s">
        <v>101</v>
      </c>
      <c r="BS277" t="s">
        <v>5511</v>
      </c>
      <c r="BT277" t="str">
        <f>HYPERLINK("https%3A%2F%2Fwww.webofscience.com%2Fwos%2Fwoscc%2Ffull-record%2FWOS:000300878400005","View Full Record in Web of Science")</f>
        <v>View Full Record in Web of Science</v>
      </c>
    </row>
    <row r="278" spans="1:72" x14ac:dyDescent="0.15">
      <c r="A278" t="s">
        <v>72</v>
      </c>
      <c r="B278" t="s">
        <v>5512</v>
      </c>
      <c r="C278" t="s">
        <v>74</v>
      </c>
      <c r="D278" t="s">
        <v>74</v>
      </c>
      <c r="E278" t="s">
        <v>74</v>
      </c>
      <c r="F278" t="s">
        <v>5513</v>
      </c>
      <c r="G278" t="s">
        <v>74</v>
      </c>
      <c r="H278" t="s">
        <v>74</v>
      </c>
      <c r="I278" t="s">
        <v>5514</v>
      </c>
      <c r="J278" t="s">
        <v>4645</v>
      </c>
      <c r="K278" t="s">
        <v>74</v>
      </c>
      <c r="L278" t="s">
        <v>74</v>
      </c>
      <c r="M278" t="s">
        <v>78</v>
      </c>
      <c r="N278" t="s">
        <v>79</v>
      </c>
      <c r="O278" t="s">
        <v>74</v>
      </c>
      <c r="P278" t="s">
        <v>74</v>
      </c>
      <c r="Q278" t="s">
        <v>74</v>
      </c>
      <c r="R278" t="s">
        <v>74</v>
      </c>
      <c r="S278" t="s">
        <v>74</v>
      </c>
      <c r="T278" t="s">
        <v>5515</v>
      </c>
      <c r="U278" t="s">
        <v>5516</v>
      </c>
      <c r="V278" t="s">
        <v>5517</v>
      </c>
      <c r="W278" t="s">
        <v>5518</v>
      </c>
      <c r="X278" t="s">
        <v>5519</v>
      </c>
      <c r="Y278" t="s">
        <v>5520</v>
      </c>
      <c r="Z278" t="s">
        <v>5521</v>
      </c>
      <c r="AA278" t="s">
        <v>5522</v>
      </c>
      <c r="AB278" t="s">
        <v>5523</v>
      </c>
      <c r="AC278" t="s">
        <v>5524</v>
      </c>
      <c r="AD278" t="s">
        <v>5524</v>
      </c>
      <c r="AE278" t="s">
        <v>5525</v>
      </c>
      <c r="AF278" t="s">
        <v>74</v>
      </c>
      <c r="AG278">
        <v>26</v>
      </c>
      <c r="AH278">
        <v>3</v>
      </c>
      <c r="AI278">
        <v>3</v>
      </c>
      <c r="AJ278">
        <v>0</v>
      </c>
      <c r="AK278">
        <v>17</v>
      </c>
      <c r="AL278" t="s">
        <v>1111</v>
      </c>
      <c r="AM278" t="s">
        <v>656</v>
      </c>
      <c r="AN278" t="s">
        <v>1209</v>
      </c>
      <c r="AO278" t="s">
        <v>4646</v>
      </c>
      <c r="AP278" t="s">
        <v>74</v>
      </c>
      <c r="AQ278" t="s">
        <v>74</v>
      </c>
      <c r="AR278" t="s">
        <v>4647</v>
      </c>
      <c r="AS278" t="s">
        <v>4648</v>
      </c>
      <c r="AT278" t="s">
        <v>3442</v>
      </c>
      <c r="AU278">
        <v>2012</v>
      </c>
      <c r="AV278">
        <v>24</v>
      </c>
      <c r="AW278">
        <v>2</v>
      </c>
      <c r="AX278" t="s">
        <v>74</v>
      </c>
      <c r="AY278" t="s">
        <v>74</v>
      </c>
      <c r="AZ278" t="s">
        <v>74</v>
      </c>
      <c r="BA278" t="s">
        <v>74</v>
      </c>
      <c r="BB278">
        <v>147</v>
      </c>
      <c r="BC278">
        <v>153</v>
      </c>
      <c r="BD278" t="s">
        <v>74</v>
      </c>
      <c r="BE278" t="s">
        <v>5526</v>
      </c>
      <c r="BF278" t="str">
        <f>HYPERLINK("http://dx.doi.org/10.1017/S0954102011000812","http://dx.doi.org/10.1017/S0954102011000812")</f>
        <v>http://dx.doi.org/10.1017/S0954102011000812</v>
      </c>
      <c r="BG278" t="s">
        <v>74</v>
      </c>
      <c r="BH278" t="s">
        <v>74</v>
      </c>
      <c r="BI278">
        <v>7</v>
      </c>
      <c r="BJ278" t="s">
        <v>4650</v>
      </c>
      <c r="BK278" t="s">
        <v>99</v>
      </c>
      <c r="BL278" t="s">
        <v>4651</v>
      </c>
      <c r="BM278" t="s">
        <v>4652</v>
      </c>
      <c r="BN278" t="s">
        <v>74</v>
      </c>
      <c r="BO278" t="s">
        <v>74</v>
      </c>
      <c r="BP278" t="s">
        <v>74</v>
      </c>
      <c r="BQ278" t="s">
        <v>74</v>
      </c>
      <c r="BR278" t="s">
        <v>101</v>
      </c>
      <c r="BS278" t="s">
        <v>5527</v>
      </c>
      <c r="BT278" t="str">
        <f>HYPERLINK("https%3A%2F%2Fwww.webofscience.com%2Fwos%2Fwoscc%2Ffull-record%2FWOS:000300878400006","View Full Record in Web of Science")</f>
        <v>View Full Record in Web of Science</v>
      </c>
    </row>
    <row r="279" spans="1:72" x14ac:dyDescent="0.15">
      <c r="A279" t="s">
        <v>72</v>
      </c>
      <c r="B279" t="s">
        <v>5528</v>
      </c>
      <c r="C279" t="s">
        <v>74</v>
      </c>
      <c r="D279" t="s">
        <v>74</v>
      </c>
      <c r="E279" t="s">
        <v>74</v>
      </c>
      <c r="F279" t="s">
        <v>5529</v>
      </c>
      <c r="G279" t="s">
        <v>74</v>
      </c>
      <c r="H279" t="s">
        <v>74</v>
      </c>
      <c r="I279" t="s">
        <v>5530</v>
      </c>
      <c r="J279" t="s">
        <v>4645</v>
      </c>
      <c r="K279" t="s">
        <v>74</v>
      </c>
      <c r="L279" t="s">
        <v>74</v>
      </c>
      <c r="M279" t="s">
        <v>78</v>
      </c>
      <c r="N279" t="s">
        <v>79</v>
      </c>
      <c r="O279" t="s">
        <v>74</v>
      </c>
      <c r="P279" t="s">
        <v>74</v>
      </c>
      <c r="Q279" t="s">
        <v>74</v>
      </c>
      <c r="R279" t="s">
        <v>74</v>
      </c>
      <c r="S279" t="s">
        <v>74</v>
      </c>
      <c r="T279" t="s">
        <v>5531</v>
      </c>
      <c r="U279" t="s">
        <v>5532</v>
      </c>
      <c r="V279" t="s">
        <v>5533</v>
      </c>
      <c r="W279" t="s">
        <v>5534</v>
      </c>
      <c r="X279" t="s">
        <v>5535</v>
      </c>
      <c r="Y279" t="s">
        <v>5536</v>
      </c>
      <c r="Z279" t="s">
        <v>5537</v>
      </c>
      <c r="AA279" t="s">
        <v>5538</v>
      </c>
      <c r="AB279" t="s">
        <v>5539</v>
      </c>
      <c r="AC279" t="s">
        <v>5540</v>
      </c>
      <c r="AD279" t="s">
        <v>5541</v>
      </c>
      <c r="AE279" t="s">
        <v>5542</v>
      </c>
      <c r="AF279" t="s">
        <v>74</v>
      </c>
      <c r="AG279">
        <v>44</v>
      </c>
      <c r="AH279">
        <v>9</v>
      </c>
      <c r="AI279">
        <v>10</v>
      </c>
      <c r="AJ279">
        <v>4</v>
      </c>
      <c r="AK279">
        <v>33</v>
      </c>
      <c r="AL279" t="s">
        <v>1111</v>
      </c>
      <c r="AM279" t="s">
        <v>656</v>
      </c>
      <c r="AN279" t="s">
        <v>1209</v>
      </c>
      <c r="AO279" t="s">
        <v>4646</v>
      </c>
      <c r="AP279" t="s">
        <v>5458</v>
      </c>
      <c r="AQ279" t="s">
        <v>74</v>
      </c>
      <c r="AR279" t="s">
        <v>4647</v>
      </c>
      <c r="AS279" t="s">
        <v>4648</v>
      </c>
      <c r="AT279" t="s">
        <v>3442</v>
      </c>
      <c r="AU279">
        <v>2012</v>
      </c>
      <c r="AV279">
        <v>24</v>
      </c>
      <c r="AW279">
        <v>2</v>
      </c>
      <c r="AX279" t="s">
        <v>74</v>
      </c>
      <c r="AY279" t="s">
        <v>74</v>
      </c>
      <c r="AZ279" t="s">
        <v>74</v>
      </c>
      <c r="BA279" t="s">
        <v>74</v>
      </c>
      <c r="BB279">
        <v>154</v>
      </c>
      <c r="BC279">
        <v>164</v>
      </c>
      <c r="BD279" t="s">
        <v>74</v>
      </c>
      <c r="BE279" t="s">
        <v>5543</v>
      </c>
      <c r="BF279" t="str">
        <f>HYPERLINK("http://dx.doi.org/10.1017/S0954102011000873","http://dx.doi.org/10.1017/S0954102011000873")</f>
        <v>http://dx.doi.org/10.1017/S0954102011000873</v>
      </c>
      <c r="BG279" t="s">
        <v>74</v>
      </c>
      <c r="BH279" t="s">
        <v>74</v>
      </c>
      <c r="BI279">
        <v>11</v>
      </c>
      <c r="BJ279" t="s">
        <v>4650</v>
      </c>
      <c r="BK279" t="s">
        <v>99</v>
      </c>
      <c r="BL279" t="s">
        <v>4651</v>
      </c>
      <c r="BM279" t="s">
        <v>4652</v>
      </c>
      <c r="BN279" t="s">
        <v>74</v>
      </c>
      <c r="BO279" t="s">
        <v>74</v>
      </c>
      <c r="BP279" t="s">
        <v>74</v>
      </c>
      <c r="BQ279" t="s">
        <v>74</v>
      </c>
      <c r="BR279" t="s">
        <v>101</v>
      </c>
      <c r="BS279" t="s">
        <v>5544</v>
      </c>
      <c r="BT279" t="str">
        <f>HYPERLINK("https%3A%2F%2Fwww.webofscience.com%2Fwos%2Fwoscc%2Ffull-record%2FWOS:000300878400007","View Full Record in Web of Science")</f>
        <v>View Full Record in Web of Science</v>
      </c>
    </row>
    <row r="280" spans="1:72" x14ac:dyDescent="0.15">
      <c r="A280" t="s">
        <v>72</v>
      </c>
      <c r="B280" t="s">
        <v>5545</v>
      </c>
      <c r="C280" t="s">
        <v>74</v>
      </c>
      <c r="D280" t="s">
        <v>74</v>
      </c>
      <c r="E280" t="s">
        <v>74</v>
      </c>
      <c r="F280" t="s">
        <v>5546</v>
      </c>
      <c r="G280" t="s">
        <v>74</v>
      </c>
      <c r="H280" t="s">
        <v>74</v>
      </c>
      <c r="I280" t="s">
        <v>5547</v>
      </c>
      <c r="J280" t="s">
        <v>4645</v>
      </c>
      <c r="K280" t="s">
        <v>74</v>
      </c>
      <c r="L280" t="s">
        <v>74</v>
      </c>
      <c r="M280" t="s">
        <v>78</v>
      </c>
      <c r="N280" t="s">
        <v>79</v>
      </c>
      <c r="O280" t="s">
        <v>74</v>
      </c>
      <c r="P280" t="s">
        <v>74</v>
      </c>
      <c r="Q280" t="s">
        <v>74</v>
      </c>
      <c r="R280" t="s">
        <v>74</v>
      </c>
      <c r="S280" t="s">
        <v>74</v>
      </c>
      <c r="T280" t="s">
        <v>5548</v>
      </c>
      <c r="U280" t="s">
        <v>5549</v>
      </c>
      <c r="V280" t="s">
        <v>5550</v>
      </c>
      <c r="W280" t="s">
        <v>5551</v>
      </c>
      <c r="X280" t="s">
        <v>5552</v>
      </c>
      <c r="Y280" t="s">
        <v>5553</v>
      </c>
      <c r="Z280" t="s">
        <v>5554</v>
      </c>
      <c r="AA280" t="s">
        <v>74</v>
      </c>
      <c r="AB280" t="s">
        <v>74</v>
      </c>
      <c r="AC280" t="s">
        <v>5555</v>
      </c>
      <c r="AD280" t="s">
        <v>5556</v>
      </c>
      <c r="AE280" t="s">
        <v>5557</v>
      </c>
      <c r="AF280" t="s">
        <v>74</v>
      </c>
      <c r="AG280">
        <v>38</v>
      </c>
      <c r="AH280">
        <v>7</v>
      </c>
      <c r="AI280">
        <v>7</v>
      </c>
      <c r="AJ280">
        <v>0</v>
      </c>
      <c r="AK280">
        <v>25</v>
      </c>
      <c r="AL280" t="s">
        <v>1111</v>
      </c>
      <c r="AM280" t="s">
        <v>656</v>
      </c>
      <c r="AN280" t="s">
        <v>1209</v>
      </c>
      <c r="AO280" t="s">
        <v>4646</v>
      </c>
      <c r="AP280" t="s">
        <v>74</v>
      </c>
      <c r="AQ280" t="s">
        <v>74</v>
      </c>
      <c r="AR280" t="s">
        <v>4647</v>
      </c>
      <c r="AS280" t="s">
        <v>4648</v>
      </c>
      <c r="AT280" t="s">
        <v>3442</v>
      </c>
      <c r="AU280">
        <v>2012</v>
      </c>
      <c r="AV280">
        <v>24</v>
      </c>
      <c r="AW280">
        <v>2</v>
      </c>
      <c r="AX280" t="s">
        <v>74</v>
      </c>
      <c r="AY280" t="s">
        <v>74</v>
      </c>
      <c r="AZ280" t="s">
        <v>74</v>
      </c>
      <c r="BA280" t="s">
        <v>74</v>
      </c>
      <c r="BB280">
        <v>165</v>
      </c>
      <c r="BC280">
        <v>172</v>
      </c>
      <c r="BD280" t="s">
        <v>74</v>
      </c>
      <c r="BE280" t="s">
        <v>5558</v>
      </c>
      <c r="BF280" t="str">
        <f>HYPERLINK("http://dx.doi.org/10.1017/S0954102011000836","http://dx.doi.org/10.1017/S0954102011000836")</f>
        <v>http://dx.doi.org/10.1017/S0954102011000836</v>
      </c>
      <c r="BG280" t="s">
        <v>74</v>
      </c>
      <c r="BH280" t="s">
        <v>74</v>
      </c>
      <c r="BI280">
        <v>8</v>
      </c>
      <c r="BJ280" t="s">
        <v>4650</v>
      </c>
      <c r="BK280" t="s">
        <v>99</v>
      </c>
      <c r="BL280" t="s">
        <v>4651</v>
      </c>
      <c r="BM280" t="s">
        <v>4652</v>
      </c>
      <c r="BN280" t="s">
        <v>74</v>
      </c>
      <c r="BO280" t="s">
        <v>74</v>
      </c>
      <c r="BP280" t="s">
        <v>74</v>
      </c>
      <c r="BQ280" t="s">
        <v>74</v>
      </c>
      <c r="BR280" t="s">
        <v>101</v>
      </c>
      <c r="BS280" t="s">
        <v>5559</v>
      </c>
      <c r="BT280" t="str">
        <f>HYPERLINK("https%3A%2F%2Fwww.webofscience.com%2Fwos%2Fwoscc%2Ffull-record%2FWOS:000300878400008","View Full Record in Web of Science")</f>
        <v>View Full Record in Web of Science</v>
      </c>
    </row>
    <row r="281" spans="1:72" x14ac:dyDescent="0.15">
      <c r="A281" t="s">
        <v>72</v>
      </c>
      <c r="B281" t="s">
        <v>5560</v>
      </c>
      <c r="C281" t="s">
        <v>74</v>
      </c>
      <c r="D281" t="s">
        <v>74</v>
      </c>
      <c r="E281" t="s">
        <v>74</v>
      </c>
      <c r="F281" t="s">
        <v>5561</v>
      </c>
      <c r="G281" t="s">
        <v>74</v>
      </c>
      <c r="H281" t="s">
        <v>74</v>
      </c>
      <c r="I281" t="s">
        <v>5562</v>
      </c>
      <c r="J281" t="s">
        <v>4645</v>
      </c>
      <c r="K281" t="s">
        <v>74</v>
      </c>
      <c r="L281" t="s">
        <v>74</v>
      </c>
      <c r="M281" t="s">
        <v>78</v>
      </c>
      <c r="N281" t="s">
        <v>79</v>
      </c>
      <c r="O281" t="s">
        <v>74</v>
      </c>
      <c r="P281" t="s">
        <v>74</v>
      </c>
      <c r="Q281" t="s">
        <v>74</v>
      </c>
      <c r="R281" t="s">
        <v>74</v>
      </c>
      <c r="S281" t="s">
        <v>74</v>
      </c>
      <c r="T281" t="s">
        <v>5563</v>
      </c>
      <c r="U281" t="s">
        <v>5564</v>
      </c>
      <c r="V281" t="s">
        <v>5565</v>
      </c>
      <c r="W281" t="s">
        <v>5566</v>
      </c>
      <c r="X281" t="s">
        <v>5567</v>
      </c>
      <c r="Y281" t="s">
        <v>5568</v>
      </c>
      <c r="Z281" t="s">
        <v>5569</v>
      </c>
      <c r="AA281" t="s">
        <v>5570</v>
      </c>
      <c r="AB281" t="s">
        <v>5571</v>
      </c>
      <c r="AC281" t="s">
        <v>5572</v>
      </c>
      <c r="AD281" t="s">
        <v>5573</v>
      </c>
      <c r="AE281" t="s">
        <v>5574</v>
      </c>
      <c r="AF281" t="s">
        <v>74</v>
      </c>
      <c r="AG281">
        <v>26</v>
      </c>
      <c r="AH281">
        <v>10</v>
      </c>
      <c r="AI281">
        <v>12</v>
      </c>
      <c r="AJ281">
        <v>0</v>
      </c>
      <c r="AK281">
        <v>10</v>
      </c>
      <c r="AL281" t="s">
        <v>1111</v>
      </c>
      <c r="AM281" t="s">
        <v>656</v>
      </c>
      <c r="AN281" t="s">
        <v>1209</v>
      </c>
      <c r="AO281" t="s">
        <v>4646</v>
      </c>
      <c r="AP281" t="s">
        <v>5458</v>
      </c>
      <c r="AQ281" t="s">
        <v>74</v>
      </c>
      <c r="AR281" t="s">
        <v>4647</v>
      </c>
      <c r="AS281" t="s">
        <v>4648</v>
      </c>
      <c r="AT281" t="s">
        <v>3442</v>
      </c>
      <c r="AU281">
        <v>2012</v>
      </c>
      <c r="AV281">
        <v>24</v>
      </c>
      <c r="AW281">
        <v>2</v>
      </c>
      <c r="AX281" t="s">
        <v>74</v>
      </c>
      <c r="AY281" t="s">
        <v>74</v>
      </c>
      <c r="AZ281" t="s">
        <v>74</v>
      </c>
      <c r="BA281" t="s">
        <v>74</v>
      </c>
      <c r="BB281">
        <v>183</v>
      </c>
      <c r="BC281">
        <v>192</v>
      </c>
      <c r="BD281" t="s">
        <v>74</v>
      </c>
      <c r="BE281" t="s">
        <v>5575</v>
      </c>
      <c r="BF281" t="str">
        <f>HYPERLINK("http://dx.doi.org/10.1017/S0954102011000745","http://dx.doi.org/10.1017/S0954102011000745")</f>
        <v>http://dx.doi.org/10.1017/S0954102011000745</v>
      </c>
      <c r="BG281" t="s">
        <v>74</v>
      </c>
      <c r="BH281" t="s">
        <v>74</v>
      </c>
      <c r="BI281">
        <v>10</v>
      </c>
      <c r="BJ281" t="s">
        <v>4650</v>
      </c>
      <c r="BK281" t="s">
        <v>99</v>
      </c>
      <c r="BL281" t="s">
        <v>4651</v>
      </c>
      <c r="BM281" t="s">
        <v>4652</v>
      </c>
      <c r="BN281" t="s">
        <v>74</v>
      </c>
      <c r="BO281" t="s">
        <v>74</v>
      </c>
      <c r="BP281" t="s">
        <v>74</v>
      </c>
      <c r="BQ281" t="s">
        <v>74</v>
      </c>
      <c r="BR281" t="s">
        <v>101</v>
      </c>
      <c r="BS281" t="s">
        <v>5576</v>
      </c>
      <c r="BT281" t="str">
        <f>HYPERLINK("https%3A%2F%2Fwww.webofscience.com%2Fwos%2Fwoscc%2Ffull-record%2FWOS:000300878400010","View Full Record in Web of Science")</f>
        <v>View Full Record in Web of Science</v>
      </c>
    </row>
    <row r="282" spans="1:72" x14ac:dyDescent="0.15">
      <c r="A282" t="s">
        <v>72</v>
      </c>
      <c r="B282" t="s">
        <v>5577</v>
      </c>
      <c r="C282" t="s">
        <v>74</v>
      </c>
      <c r="D282" t="s">
        <v>74</v>
      </c>
      <c r="E282" t="s">
        <v>74</v>
      </c>
      <c r="F282" t="s">
        <v>5578</v>
      </c>
      <c r="G282" t="s">
        <v>74</v>
      </c>
      <c r="H282" t="s">
        <v>74</v>
      </c>
      <c r="I282" t="s">
        <v>5579</v>
      </c>
      <c r="J282" t="s">
        <v>4645</v>
      </c>
      <c r="K282" t="s">
        <v>74</v>
      </c>
      <c r="L282" t="s">
        <v>74</v>
      </c>
      <c r="M282" t="s">
        <v>78</v>
      </c>
      <c r="N282" t="s">
        <v>79</v>
      </c>
      <c r="O282" t="s">
        <v>74</v>
      </c>
      <c r="P282" t="s">
        <v>74</v>
      </c>
      <c r="Q282" t="s">
        <v>74</v>
      </c>
      <c r="R282" t="s">
        <v>74</v>
      </c>
      <c r="S282" t="s">
        <v>74</v>
      </c>
      <c r="T282" t="s">
        <v>5580</v>
      </c>
      <c r="U282" t="s">
        <v>5581</v>
      </c>
      <c r="V282" t="s">
        <v>5582</v>
      </c>
      <c r="W282" t="s">
        <v>5583</v>
      </c>
      <c r="X282" t="s">
        <v>5584</v>
      </c>
      <c r="Y282" t="s">
        <v>5585</v>
      </c>
      <c r="Z282" t="s">
        <v>5586</v>
      </c>
      <c r="AA282" t="s">
        <v>5587</v>
      </c>
      <c r="AB282" t="s">
        <v>5588</v>
      </c>
      <c r="AC282" t="s">
        <v>5589</v>
      </c>
      <c r="AD282" t="s">
        <v>5590</v>
      </c>
      <c r="AE282" t="s">
        <v>5591</v>
      </c>
      <c r="AF282" t="s">
        <v>74</v>
      </c>
      <c r="AG282">
        <v>36</v>
      </c>
      <c r="AH282">
        <v>15</v>
      </c>
      <c r="AI282">
        <v>17</v>
      </c>
      <c r="AJ282">
        <v>0</v>
      </c>
      <c r="AK282">
        <v>9</v>
      </c>
      <c r="AL282" t="s">
        <v>1111</v>
      </c>
      <c r="AM282" t="s">
        <v>656</v>
      </c>
      <c r="AN282" t="s">
        <v>1209</v>
      </c>
      <c r="AO282" t="s">
        <v>4646</v>
      </c>
      <c r="AP282" t="s">
        <v>5458</v>
      </c>
      <c r="AQ282" t="s">
        <v>74</v>
      </c>
      <c r="AR282" t="s">
        <v>4647</v>
      </c>
      <c r="AS282" t="s">
        <v>4648</v>
      </c>
      <c r="AT282" t="s">
        <v>3442</v>
      </c>
      <c r="AU282">
        <v>2012</v>
      </c>
      <c r="AV282">
        <v>24</v>
      </c>
      <c r="AW282">
        <v>2</v>
      </c>
      <c r="AX282" t="s">
        <v>74</v>
      </c>
      <c r="AY282" t="s">
        <v>74</v>
      </c>
      <c r="AZ282" t="s">
        <v>74</v>
      </c>
      <c r="BA282" t="s">
        <v>74</v>
      </c>
      <c r="BB282">
        <v>193</v>
      </c>
      <c r="BC282">
        <v>201</v>
      </c>
      <c r="BD282" t="s">
        <v>74</v>
      </c>
      <c r="BE282" t="s">
        <v>5592</v>
      </c>
      <c r="BF282" t="str">
        <f>HYPERLINK("http://dx.doi.org/10.1017/S095410201100068X","http://dx.doi.org/10.1017/S095410201100068X")</f>
        <v>http://dx.doi.org/10.1017/S095410201100068X</v>
      </c>
      <c r="BG282" t="s">
        <v>74</v>
      </c>
      <c r="BH282" t="s">
        <v>74</v>
      </c>
      <c r="BI282">
        <v>9</v>
      </c>
      <c r="BJ282" t="s">
        <v>4650</v>
      </c>
      <c r="BK282" t="s">
        <v>99</v>
      </c>
      <c r="BL282" t="s">
        <v>4651</v>
      </c>
      <c r="BM282" t="s">
        <v>4652</v>
      </c>
      <c r="BN282" t="s">
        <v>74</v>
      </c>
      <c r="BO282" t="s">
        <v>74</v>
      </c>
      <c r="BP282" t="s">
        <v>74</v>
      </c>
      <c r="BQ282" t="s">
        <v>74</v>
      </c>
      <c r="BR282" t="s">
        <v>101</v>
      </c>
      <c r="BS282" t="s">
        <v>5593</v>
      </c>
      <c r="BT282" t="str">
        <f>HYPERLINK("https%3A%2F%2Fwww.webofscience.com%2Fwos%2Fwoscc%2Ffull-record%2FWOS:000300878400011","View Full Record in Web of Science")</f>
        <v>View Full Record in Web of Science</v>
      </c>
    </row>
    <row r="283" spans="1:72" x14ac:dyDescent="0.15">
      <c r="A283" t="s">
        <v>72</v>
      </c>
      <c r="B283" t="s">
        <v>5594</v>
      </c>
      <c r="C283" t="s">
        <v>74</v>
      </c>
      <c r="D283" t="s">
        <v>74</v>
      </c>
      <c r="E283" t="s">
        <v>74</v>
      </c>
      <c r="F283" t="s">
        <v>5595</v>
      </c>
      <c r="G283" t="s">
        <v>74</v>
      </c>
      <c r="H283" t="s">
        <v>74</v>
      </c>
      <c r="I283" t="s">
        <v>5596</v>
      </c>
      <c r="J283" t="s">
        <v>4645</v>
      </c>
      <c r="K283" t="s">
        <v>74</v>
      </c>
      <c r="L283" t="s">
        <v>74</v>
      </c>
      <c r="M283" t="s">
        <v>78</v>
      </c>
      <c r="N283" t="s">
        <v>79</v>
      </c>
      <c r="O283" t="s">
        <v>74</v>
      </c>
      <c r="P283" t="s">
        <v>74</v>
      </c>
      <c r="Q283" t="s">
        <v>74</v>
      </c>
      <c r="R283" t="s">
        <v>74</v>
      </c>
      <c r="S283" t="s">
        <v>74</v>
      </c>
      <c r="T283" t="s">
        <v>5597</v>
      </c>
      <c r="U283" t="s">
        <v>5598</v>
      </c>
      <c r="V283" t="s">
        <v>5599</v>
      </c>
      <c r="W283" t="s">
        <v>5600</v>
      </c>
      <c r="X283" t="s">
        <v>5601</v>
      </c>
      <c r="Y283" t="s">
        <v>5602</v>
      </c>
      <c r="Z283" t="s">
        <v>5603</v>
      </c>
      <c r="AA283" t="s">
        <v>74</v>
      </c>
      <c r="AB283" t="s">
        <v>74</v>
      </c>
      <c r="AC283" t="s">
        <v>5604</v>
      </c>
      <c r="AD283" t="s">
        <v>5605</v>
      </c>
      <c r="AE283" t="s">
        <v>5606</v>
      </c>
      <c r="AF283" t="s">
        <v>74</v>
      </c>
      <c r="AG283">
        <v>22</v>
      </c>
      <c r="AH283">
        <v>8</v>
      </c>
      <c r="AI283">
        <v>8</v>
      </c>
      <c r="AJ283">
        <v>0</v>
      </c>
      <c r="AK283">
        <v>10</v>
      </c>
      <c r="AL283" t="s">
        <v>1111</v>
      </c>
      <c r="AM283" t="s">
        <v>656</v>
      </c>
      <c r="AN283" t="s">
        <v>1209</v>
      </c>
      <c r="AO283" t="s">
        <v>4646</v>
      </c>
      <c r="AP283" t="s">
        <v>5458</v>
      </c>
      <c r="AQ283" t="s">
        <v>74</v>
      </c>
      <c r="AR283" t="s">
        <v>4647</v>
      </c>
      <c r="AS283" t="s">
        <v>4648</v>
      </c>
      <c r="AT283" t="s">
        <v>3442</v>
      </c>
      <c r="AU283">
        <v>2012</v>
      </c>
      <c r="AV283">
        <v>24</v>
      </c>
      <c r="AW283">
        <v>2</v>
      </c>
      <c r="AX283" t="s">
        <v>74</v>
      </c>
      <c r="AY283" t="s">
        <v>74</v>
      </c>
      <c r="AZ283" t="s">
        <v>74</v>
      </c>
      <c r="BA283" t="s">
        <v>74</v>
      </c>
      <c r="BB283">
        <v>202</v>
      </c>
      <c r="BC283">
        <v>208</v>
      </c>
      <c r="BD283" t="s">
        <v>74</v>
      </c>
      <c r="BE283" t="s">
        <v>5607</v>
      </c>
      <c r="BF283" t="str">
        <f>HYPERLINK("http://dx.doi.org/10.1017/S0954102011000885","http://dx.doi.org/10.1017/S0954102011000885")</f>
        <v>http://dx.doi.org/10.1017/S0954102011000885</v>
      </c>
      <c r="BG283" t="s">
        <v>74</v>
      </c>
      <c r="BH283" t="s">
        <v>74</v>
      </c>
      <c r="BI283">
        <v>7</v>
      </c>
      <c r="BJ283" t="s">
        <v>4650</v>
      </c>
      <c r="BK283" t="s">
        <v>99</v>
      </c>
      <c r="BL283" t="s">
        <v>4651</v>
      </c>
      <c r="BM283" t="s">
        <v>4652</v>
      </c>
      <c r="BN283" t="s">
        <v>74</v>
      </c>
      <c r="BO283" t="s">
        <v>74</v>
      </c>
      <c r="BP283" t="s">
        <v>74</v>
      </c>
      <c r="BQ283" t="s">
        <v>74</v>
      </c>
      <c r="BR283" t="s">
        <v>101</v>
      </c>
      <c r="BS283" t="s">
        <v>5608</v>
      </c>
      <c r="BT283" t="str">
        <f>HYPERLINK("https%3A%2F%2Fwww.webofscience.com%2Fwos%2Fwoscc%2Ffull-record%2FWOS:000300878400012","View Full Record in Web of Science")</f>
        <v>View Full Record in Web of Science</v>
      </c>
    </row>
    <row r="284" spans="1:72" x14ac:dyDescent="0.15">
      <c r="A284" t="s">
        <v>72</v>
      </c>
      <c r="B284" t="s">
        <v>5609</v>
      </c>
      <c r="C284" t="s">
        <v>74</v>
      </c>
      <c r="D284" t="s">
        <v>74</v>
      </c>
      <c r="E284" t="s">
        <v>74</v>
      </c>
      <c r="F284" t="s">
        <v>5610</v>
      </c>
      <c r="G284" t="s">
        <v>74</v>
      </c>
      <c r="H284" t="s">
        <v>74</v>
      </c>
      <c r="I284" t="s">
        <v>5611</v>
      </c>
      <c r="J284" t="s">
        <v>5612</v>
      </c>
      <c r="K284" t="s">
        <v>74</v>
      </c>
      <c r="L284" t="s">
        <v>74</v>
      </c>
      <c r="M284" t="s">
        <v>78</v>
      </c>
      <c r="N284" t="s">
        <v>79</v>
      </c>
      <c r="O284" t="s">
        <v>74</v>
      </c>
      <c r="P284" t="s">
        <v>74</v>
      </c>
      <c r="Q284" t="s">
        <v>74</v>
      </c>
      <c r="R284" t="s">
        <v>74</v>
      </c>
      <c r="S284" t="s">
        <v>74</v>
      </c>
      <c r="T284" t="s">
        <v>5613</v>
      </c>
      <c r="U284" t="s">
        <v>5614</v>
      </c>
      <c r="V284" t="s">
        <v>5615</v>
      </c>
      <c r="W284" t="s">
        <v>5616</v>
      </c>
      <c r="X284" t="s">
        <v>5617</v>
      </c>
      <c r="Y284" t="s">
        <v>5618</v>
      </c>
      <c r="Z284" t="s">
        <v>5619</v>
      </c>
      <c r="AA284" t="s">
        <v>5620</v>
      </c>
      <c r="AB284" t="s">
        <v>5621</v>
      </c>
      <c r="AC284" t="s">
        <v>5622</v>
      </c>
      <c r="AD284" t="s">
        <v>5623</v>
      </c>
      <c r="AE284" t="s">
        <v>5624</v>
      </c>
      <c r="AF284" t="s">
        <v>74</v>
      </c>
      <c r="AG284">
        <v>74</v>
      </c>
      <c r="AH284">
        <v>24</v>
      </c>
      <c r="AI284">
        <v>25</v>
      </c>
      <c r="AJ284">
        <v>1</v>
      </c>
      <c r="AK284">
        <v>28</v>
      </c>
      <c r="AL284" t="s">
        <v>655</v>
      </c>
      <c r="AM284" t="s">
        <v>1442</v>
      </c>
      <c r="AN284" t="s">
        <v>1443</v>
      </c>
      <c r="AO284" t="s">
        <v>5625</v>
      </c>
      <c r="AP284" t="s">
        <v>5626</v>
      </c>
      <c r="AQ284" t="s">
        <v>74</v>
      </c>
      <c r="AR284" t="s">
        <v>5627</v>
      </c>
      <c r="AS284" t="s">
        <v>5628</v>
      </c>
      <c r="AT284" t="s">
        <v>3442</v>
      </c>
      <c r="AU284">
        <v>2012</v>
      </c>
      <c r="AV284">
        <v>21</v>
      </c>
      <c r="AW284">
        <v>4</v>
      </c>
      <c r="AX284" t="s">
        <v>74</v>
      </c>
      <c r="AY284" t="s">
        <v>74</v>
      </c>
      <c r="AZ284" t="s">
        <v>74</v>
      </c>
      <c r="BA284" t="s">
        <v>74</v>
      </c>
      <c r="BB284">
        <v>1079</v>
      </c>
      <c r="BC284">
        <v>1093</v>
      </c>
      <c r="BD284" t="s">
        <v>74</v>
      </c>
      <c r="BE284" t="s">
        <v>5629</v>
      </c>
      <c r="BF284" t="str">
        <f>HYPERLINK("http://dx.doi.org/10.1007/s10531-012-0241-2","http://dx.doi.org/10.1007/s10531-012-0241-2")</f>
        <v>http://dx.doi.org/10.1007/s10531-012-0241-2</v>
      </c>
      <c r="BG284" t="s">
        <v>74</v>
      </c>
      <c r="BH284" t="s">
        <v>74</v>
      </c>
      <c r="BI284">
        <v>15</v>
      </c>
      <c r="BJ284" t="s">
        <v>1783</v>
      </c>
      <c r="BK284" t="s">
        <v>2236</v>
      </c>
      <c r="BL284" t="s">
        <v>1784</v>
      </c>
      <c r="BM284" t="s">
        <v>5630</v>
      </c>
      <c r="BN284" t="s">
        <v>74</v>
      </c>
      <c r="BO284" t="s">
        <v>74</v>
      </c>
      <c r="BP284" t="s">
        <v>74</v>
      </c>
      <c r="BQ284" t="s">
        <v>74</v>
      </c>
      <c r="BR284" t="s">
        <v>101</v>
      </c>
      <c r="BS284" t="s">
        <v>5631</v>
      </c>
      <c r="BT284" t="str">
        <f>HYPERLINK("https%3A%2F%2Fwww.webofscience.com%2Fwos%2Fwoscc%2Ffull-record%2FWOS:000301178500012","View Full Record in Web of Science")</f>
        <v>View Full Record in Web of Science</v>
      </c>
    </row>
    <row r="285" spans="1:72" x14ac:dyDescent="0.15">
      <c r="A285" t="s">
        <v>72</v>
      </c>
      <c r="B285" t="s">
        <v>5632</v>
      </c>
      <c r="C285" t="s">
        <v>74</v>
      </c>
      <c r="D285" t="s">
        <v>74</v>
      </c>
      <c r="E285" t="s">
        <v>74</v>
      </c>
      <c r="F285" t="s">
        <v>5633</v>
      </c>
      <c r="G285" t="s">
        <v>74</v>
      </c>
      <c r="H285" t="s">
        <v>74</v>
      </c>
      <c r="I285" t="s">
        <v>5634</v>
      </c>
      <c r="J285" t="s">
        <v>5635</v>
      </c>
      <c r="K285" t="s">
        <v>74</v>
      </c>
      <c r="L285" t="s">
        <v>74</v>
      </c>
      <c r="M285" t="s">
        <v>78</v>
      </c>
      <c r="N285" t="s">
        <v>1073</v>
      </c>
      <c r="O285" t="s">
        <v>74</v>
      </c>
      <c r="P285" t="s">
        <v>74</v>
      </c>
      <c r="Q285" t="s">
        <v>74</v>
      </c>
      <c r="R285" t="s">
        <v>74</v>
      </c>
      <c r="S285" t="s">
        <v>74</v>
      </c>
      <c r="T285" t="s">
        <v>5636</v>
      </c>
      <c r="U285" t="s">
        <v>5637</v>
      </c>
      <c r="V285" t="s">
        <v>5638</v>
      </c>
      <c r="W285" t="s">
        <v>5639</v>
      </c>
      <c r="X285" t="s">
        <v>5640</v>
      </c>
      <c r="Y285" t="s">
        <v>5641</v>
      </c>
      <c r="Z285" t="s">
        <v>5642</v>
      </c>
      <c r="AA285" t="s">
        <v>74</v>
      </c>
      <c r="AB285" t="s">
        <v>74</v>
      </c>
      <c r="AC285" t="s">
        <v>5643</v>
      </c>
      <c r="AD285" t="s">
        <v>5644</v>
      </c>
      <c r="AE285" t="s">
        <v>5645</v>
      </c>
      <c r="AF285" t="s">
        <v>74</v>
      </c>
      <c r="AG285">
        <v>68</v>
      </c>
      <c r="AH285">
        <v>104</v>
      </c>
      <c r="AI285">
        <v>122</v>
      </c>
      <c r="AJ285">
        <v>1</v>
      </c>
      <c r="AK285">
        <v>16</v>
      </c>
      <c r="AL285" t="s">
        <v>4632</v>
      </c>
      <c r="AM285" t="s">
        <v>147</v>
      </c>
      <c r="AN285" t="s">
        <v>4633</v>
      </c>
      <c r="AO285" t="s">
        <v>5646</v>
      </c>
      <c r="AP285" t="s">
        <v>5647</v>
      </c>
      <c r="AQ285" t="s">
        <v>74</v>
      </c>
      <c r="AR285" t="s">
        <v>5648</v>
      </c>
      <c r="AS285" t="s">
        <v>5649</v>
      </c>
      <c r="AT285" t="s">
        <v>3442</v>
      </c>
      <c r="AU285">
        <v>2012</v>
      </c>
      <c r="AV285">
        <v>34</v>
      </c>
      <c r="AW285" t="s">
        <v>74</v>
      </c>
      <c r="AX285" t="s">
        <v>74</v>
      </c>
      <c r="AY285" t="s">
        <v>74</v>
      </c>
      <c r="AZ285" t="s">
        <v>74</v>
      </c>
      <c r="BA285" t="s">
        <v>74</v>
      </c>
      <c r="BB285">
        <v>348</v>
      </c>
      <c r="BC285">
        <v>366</v>
      </c>
      <c r="BD285" t="s">
        <v>74</v>
      </c>
      <c r="BE285" t="s">
        <v>5650</v>
      </c>
      <c r="BF285" t="str">
        <f>HYPERLINK("http://dx.doi.org/10.1016/j.cretres.2011.11.015","http://dx.doi.org/10.1016/j.cretres.2011.11.015")</f>
        <v>http://dx.doi.org/10.1016/j.cretres.2011.11.015</v>
      </c>
      <c r="BG285" t="s">
        <v>74</v>
      </c>
      <c r="BH285" t="s">
        <v>74</v>
      </c>
      <c r="BI285">
        <v>19</v>
      </c>
      <c r="BJ285" t="s">
        <v>5651</v>
      </c>
      <c r="BK285" t="s">
        <v>99</v>
      </c>
      <c r="BL285" t="s">
        <v>5651</v>
      </c>
      <c r="BM285" t="s">
        <v>5652</v>
      </c>
      <c r="BN285" t="s">
        <v>74</v>
      </c>
      <c r="BO285" t="s">
        <v>74</v>
      </c>
      <c r="BP285" t="s">
        <v>74</v>
      </c>
      <c r="BQ285" t="s">
        <v>74</v>
      </c>
      <c r="BR285" t="s">
        <v>101</v>
      </c>
      <c r="BS285" t="s">
        <v>5653</v>
      </c>
      <c r="BT285" t="str">
        <f>HYPERLINK("https%3A%2F%2Fwww.webofscience.com%2Fwos%2Fwoscc%2Ffull-record%2FWOS:000301027200032","View Full Record in Web of Science")</f>
        <v>View Full Record in Web of Science</v>
      </c>
    </row>
    <row r="286" spans="1:72" x14ac:dyDescent="0.15">
      <c r="A286" t="s">
        <v>72</v>
      </c>
      <c r="B286" t="s">
        <v>5654</v>
      </c>
      <c r="C286" t="s">
        <v>74</v>
      </c>
      <c r="D286" t="s">
        <v>74</v>
      </c>
      <c r="E286" t="s">
        <v>74</v>
      </c>
      <c r="F286" t="s">
        <v>5655</v>
      </c>
      <c r="G286" t="s">
        <v>74</v>
      </c>
      <c r="H286" t="s">
        <v>74</v>
      </c>
      <c r="I286" t="s">
        <v>5656</v>
      </c>
      <c r="J286" t="s">
        <v>5657</v>
      </c>
      <c r="K286" t="s">
        <v>74</v>
      </c>
      <c r="L286" t="s">
        <v>74</v>
      </c>
      <c r="M286" t="s">
        <v>78</v>
      </c>
      <c r="N286" t="s">
        <v>79</v>
      </c>
      <c r="O286" t="s">
        <v>74</v>
      </c>
      <c r="P286" t="s">
        <v>74</v>
      </c>
      <c r="Q286" t="s">
        <v>74</v>
      </c>
      <c r="R286" t="s">
        <v>74</v>
      </c>
      <c r="S286" t="s">
        <v>74</v>
      </c>
      <c r="T286" t="s">
        <v>5658</v>
      </c>
      <c r="U286" t="s">
        <v>5659</v>
      </c>
      <c r="V286" t="s">
        <v>5660</v>
      </c>
      <c r="W286" t="s">
        <v>5661</v>
      </c>
      <c r="X286" t="s">
        <v>5662</v>
      </c>
      <c r="Y286" t="s">
        <v>5663</v>
      </c>
      <c r="Z286" t="s">
        <v>5664</v>
      </c>
      <c r="AA286" t="s">
        <v>74</v>
      </c>
      <c r="AB286" t="s">
        <v>74</v>
      </c>
      <c r="AC286" t="s">
        <v>5665</v>
      </c>
      <c r="AD286" t="s">
        <v>5666</v>
      </c>
      <c r="AE286" t="s">
        <v>5667</v>
      </c>
      <c r="AF286" t="s">
        <v>74</v>
      </c>
      <c r="AG286">
        <v>29</v>
      </c>
      <c r="AH286">
        <v>24</v>
      </c>
      <c r="AI286">
        <v>26</v>
      </c>
      <c r="AJ286">
        <v>0</v>
      </c>
      <c r="AK286">
        <v>54</v>
      </c>
      <c r="AL286" t="s">
        <v>627</v>
      </c>
      <c r="AM286" t="s">
        <v>628</v>
      </c>
      <c r="AN286" t="s">
        <v>629</v>
      </c>
      <c r="AO286" t="s">
        <v>5668</v>
      </c>
      <c r="AP286" t="s">
        <v>5669</v>
      </c>
      <c r="AQ286" t="s">
        <v>74</v>
      </c>
      <c r="AR286" t="s">
        <v>5670</v>
      </c>
      <c r="AS286" t="s">
        <v>5671</v>
      </c>
      <c r="AT286" t="s">
        <v>3442</v>
      </c>
      <c r="AU286">
        <v>2012</v>
      </c>
      <c r="AV286">
        <v>35</v>
      </c>
      <c r="AW286">
        <v>4</v>
      </c>
      <c r="AX286" t="s">
        <v>74</v>
      </c>
      <c r="AY286" t="s">
        <v>74</v>
      </c>
      <c r="AZ286" t="s">
        <v>74</v>
      </c>
      <c r="BA286" t="s">
        <v>74</v>
      </c>
      <c r="BB286">
        <v>829</v>
      </c>
      <c r="BC286">
        <v>837</v>
      </c>
      <c r="BD286" t="s">
        <v>74</v>
      </c>
      <c r="BE286" t="s">
        <v>5672</v>
      </c>
      <c r="BF286" t="str">
        <f>HYPERLINK("http://dx.doi.org/10.1111/j.1365-3040.2011.02456.x","http://dx.doi.org/10.1111/j.1365-3040.2011.02456.x")</f>
        <v>http://dx.doi.org/10.1111/j.1365-3040.2011.02456.x</v>
      </c>
      <c r="BG286" t="s">
        <v>74</v>
      </c>
      <c r="BH286" t="s">
        <v>74</v>
      </c>
      <c r="BI286">
        <v>9</v>
      </c>
      <c r="BJ286" t="s">
        <v>396</v>
      </c>
      <c r="BK286" t="s">
        <v>99</v>
      </c>
      <c r="BL286" t="s">
        <v>396</v>
      </c>
      <c r="BM286" t="s">
        <v>5673</v>
      </c>
      <c r="BN286">
        <v>22070607</v>
      </c>
      <c r="BO286" t="s">
        <v>74</v>
      </c>
      <c r="BP286" t="s">
        <v>74</v>
      </c>
      <c r="BQ286" t="s">
        <v>74</v>
      </c>
      <c r="BR286" t="s">
        <v>101</v>
      </c>
      <c r="BS286" t="s">
        <v>5674</v>
      </c>
      <c r="BT286" t="str">
        <f>HYPERLINK("https%3A%2F%2Fwww.webofscience.com%2Fwos%2Fwoscc%2Ffull-record%2FWOS:000301055100013","View Full Record in Web of Science")</f>
        <v>View Full Record in Web of Science</v>
      </c>
    </row>
    <row r="287" spans="1:72" x14ac:dyDescent="0.15">
      <c r="A287" t="s">
        <v>72</v>
      </c>
      <c r="B287" t="s">
        <v>5675</v>
      </c>
      <c r="C287" t="s">
        <v>74</v>
      </c>
      <c r="D287" t="s">
        <v>74</v>
      </c>
      <c r="E287" t="s">
        <v>74</v>
      </c>
      <c r="F287" t="s">
        <v>5676</v>
      </c>
      <c r="G287" t="s">
        <v>74</v>
      </c>
      <c r="H287" t="s">
        <v>74</v>
      </c>
      <c r="I287" t="s">
        <v>5677</v>
      </c>
      <c r="J287" t="s">
        <v>1561</v>
      </c>
      <c r="K287" t="s">
        <v>74</v>
      </c>
      <c r="L287" t="s">
        <v>74</v>
      </c>
      <c r="M287" t="s">
        <v>78</v>
      </c>
      <c r="N287" t="s">
        <v>79</v>
      </c>
      <c r="O287" t="s">
        <v>74</v>
      </c>
      <c r="P287" t="s">
        <v>74</v>
      </c>
      <c r="Q287" t="s">
        <v>74</v>
      </c>
      <c r="R287" t="s">
        <v>74</v>
      </c>
      <c r="S287" t="s">
        <v>74</v>
      </c>
      <c r="T287" t="s">
        <v>5678</v>
      </c>
      <c r="U287" t="s">
        <v>5679</v>
      </c>
      <c r="V287" t="s">
        <v>5680</v>
      </c>
      <c r="W287" t="s">
        <v>5681</v>
      </c>
      <c r="X287" t="s">
        <v>5682</v>
      </c>
      <c r="Y287" t="s">
        <v>5683</v>
      </c>
      <c r="Z287" t="s">
        <v>5684</v>
      </c>
      <c r="AA287" t="s">
        <v>74</v>
      </c>
      <c r="AB287" t="s">
        <v>5685</v>
      </c>
      <c r="AC287" t="s">
        <v>5686</v>
      </c>
      <c r="AD287" t="s">
        <v>5687</v>
      </c>
      <c r="AE287" t="s">
        <v>5688</v>
      </c>
      <c r="AF287" t="s">
        <v>74</v>
      </c>
      <c r="AG287">
        <v>41</v>
      </c>
      <c r="AH287">
        <v>26</v>
      </c>
      <c r="AI287">
        <v>34</v>
      </c>
      <c r="AJ287">
        <v>1</v>
      </c>
      <c r="AK287">
        <v>38</v>
      </c>
      <c r="AL287" t="s">
        <v>627</v>
      </c>
      <c r="AM287" t="s">
        <v>628</v>
      </c>
      <c r="AN287" t="s">
        <v>629</v>
      </c>
      <c r="AO287" t="s">
        <v>1573</v>
      </c>
      <c r="AP287" t="s">
        <v>1574</v>
      </c>
      <c r="AQ287" t="s">
        <v>74</v>
      </c>
      <c r="AR287" t="s">
        <v>1575</v>
      </c>
      <c r="AS287" t="s">
        <v>1576</v>
      </c>
      <c r="AT287" t="s">
        <v>3442</v>
      </c>
      <c r="AU287">
        <v>2012</v>
      </c>
      <c r="AV287">
        <v>194</v>
      </c>
      <c r="AW287">
        <v>1</v>
      </c>
      <c r="AX287" t="s">
        <v>74</v>
      </c>
      <c r="AY287" t="s">
        <v>74</v>
      </c>
      <c r="AZ287" t="s">
        <v>1913</v>
      </c>
      <c r="BA287" t="s">
        <v>74</v>
      </c>
      <c r="BB287">
        <v>63</v>
      </c>
      <c r="BC287">
        <v>69</v>
      </c>
      <c r="BD287" t="s">
        <v>74</v>
      </c>
      <c r="BE287" t="s">
        <v>5689</v>
      </c>
      <c r="BF287" t="str">
        <f>HYPERLINK("http://dx.doi.org/10.1111/j.1469-8137.2011.04025.x","http://dx.doi.org/10.1111/j.1469-8137.2011.04025.x")</f>
        <v>http://dx.doi.org/10.1111/j.1469-8137.2011.04025.x</v>
      </c>
      <c r="BG287" t="s">
        <v>74</v>
      </c>
      <c r="BH287" t="s">
        <v>74</v>
      </c>
      <c r="BI287">
        <v>7</v>
      </c>
      <c r="BJ287" t="s">
        <v>396</v>
      </c>
      <c r="BK287" t="s">
        <v>99</v>
      </c>
      <c r="BL287" t="s">
        <v>396</v>
      </c>
      <c r="BM287" t="s">
        <v>5690</v>
      </c>
      <c r="BN287">
        <v>22187970</v>
      </c>
      <c r="BO287" t="s">
        <v>217</v>
      </c>
      <c r="BP287" t="s">
        <v>74</v>
      </c>
      <c r="BQ287" t="s">
        <v>74</v>
      </c>
      <c r="BR287" t="s">
        <v>101</v>
      </c>
      <c r="BS287" t="s">
        <v>5691</v>
      </c>
      <c r="BT287" t="str">
        <f>HYPERLINK("https%3A%2F%2Fwww.webofscience.com%2Fwos%2Fwoscc%2Ffull-record%2FWOS:000300719400009","View Full Record in Web of Science")</f>
        <v>View Full Record in Web of Science</v>
      </c>
    </row>
    <row r="288" spans="1:72" x14ac:dyDescent="0.15">
      <c r="A288" t="s">
        <v>72</v>
      </c>
      <c r="B288" t="s">
        <v>5692</v>
      </c>
      <c r="C288" t="s">
        <v>74</v>
      </c>
      <c r="D288" t="s">
        <v>74</v>
      </c>
      <c r="E288" t="s">
        <v>74</v>
      </c>
      <c r="F288" t="s">
        <v>5693</v>
      </c>
      <c r="G288" t="s">
        <v>74</v>
      </c>
      <c r="H288" t="s">
        <v>74</v>
      </c>
      <c r="I288" t="s">
        <v>5694</v>
      </c>
      <c r="J288" t="s">
        <v>106</v>
      </c>
      <c r="K288" t="s">
        <v>74</v>
      </c>
      <c r="L288" t="s">
        <v>74</v>
      </c>
      <c r="M288" t="s">
        <v>78</v>
      </c>
      <c r="N288" t="s">
        <v>79</v>
      </c>
      <c r="O288" t="s">
        <v>74</v>
      </c>
      <c r="P288" t="s">
        <v>74</v>
      </c>
      <c r="Q288" t="s">
        <v>74</v>
      </c>
      <c r="R288" t="s">
        <v>74</v>
      </c>
      <c r="S288" t="s">
        <v>74</v>
      </c>
      <c r="T288" t="s">
        <v>74</v>
      </c>
      <c r="U288" t="s">
        <v>5695</v>
      </c>
      <c r="V288" t="s">
        <v>5696</v>
      </c>
      <c r="W288" t="s">
        <v>5697</v>
      </c>
      <c r="X288" t="s">
        <v>5698</v>
      </c>
      <c r="Y288" t="s">
        <v>5699</v>
      </c>
      <c r="Z288" t="s">
        <v>5700</v>
      </c>
      <c r="AA288" t="s">
        <v>5701</v>
      </c>
      <c r="AB288" t="s">
        <v>5702</v>
      </c>
      <c r="AC288" t="s">
        <v>5703</v>
      </c>
      <c r="AD288" t="s">
        <v>5704</v>
      </c>
      <c r="AE288" t="s">
        <v>5705</v>
      </c>
      <c r="AF288" t="s">
        <v>74</v>
      </c>
      <c r="AG288">
        <v>51</v>
      </c>
      <c r="AH288">
        <v>8</v>
      </c>
      <c r="AI288">
        <v>11</v>
      </c>
      <c r="AJ288">
        <v>7</v>
      </c>
      <c r="AK288">
        <v>45</v>
      </c>
      <c r="AL288" t="s">
        <v>118</v>
      </c>
      <c r="AM288" t="s">
        <v>119</v>
      </c>
      <c r="AN288" t="s">
        <v>120</v>
      </c>
      <c r="AO288" t="s">
        <v>121</v>
      </c>
      <c r="AP288" t="s">
        <v>122</v>
      </c>
      <c r="AQ288" t="s">
        <v>74</v>
      </c>
      <c r="AR288" t="s">
        <v>123</v>
      </c>
      <c r="AS288" t="s">
        <v>124</v>
      </c>
      <c r="AT288" t="s">
        <v>5706</v>
      </c>
      <c r="AU288">
        <v>2012</v>
      </c>
      <c r="AV288">
        <v>117</v>
      </c>
      <c r="AW288" t="s">
        <v>74</v>
      </c>
      <c r="AX288" t="s">
        <v>74</v>
      </c>
      <c r="AY288" t="s">
        <v>74</v>
      </c>
      <c r="AZ288" t="s">
        <v>74</v>
      </c>
      <c r="BA288" t="s">
        <v>74</v>
      </c>
      <c r="BB288" t="s">
        <v>74</v>
      </c>
      <c r="BC288" t="s">
        <v>74</v>
      </c>
      <c r="BD288" t="s">
        <v>5707</v>
      </c>
      <c r="BE288" t="s">
        <v>5708</v>
      </c>
      <c r="BF288" t="str">
        <f>HYPERLINK("http://dx.doi.org/10.1029/2011JD017152","http://dx.doi.org/10.1029/2011JD017152")</f>
        <v>http://dx.doi.org/10.1029/2011JD017152</v>
      </c>
      <c r="BG288" t="s">
        <v>74</v>
      </c>
      <c r="BH288" t="s">
        <v>74</v>
      </c>
      <c r="BI288">
        <v>10</v>
      </c>
      <c r="BJ288" t="s">
        <v>128</v>
      </c>
      <c r="BK288" t="s">
        <v>99</v>
      </c>
      <c r="BL288" t="s">
        <v>128</v>
      </c>
      <c r="BM288" t="s">
        <v>5709</v>
      </c>
      <c r="BN288" t="s">
        <v>74</v>
      </c>
      <c r="BO288" t="s">
        <v>217</v>
      </c>
      <c r="BP288" t="s">
        <v>74</v>
      </c>
      <c r="BQ288" t="s">
        <v>74</v>
      </c>
      <c r="BR288" t="s">
        <v>101</v>
      </c>
      <c r="BS288" t="s">
        <v>5710</v>
      </c>
      <c r="BT288" t="str">
        <f>HYPERLINK("https%3A%2F%2Fwww.webofscience.com%2Fwos%2Fwoscc%2Ffull-record%2FWOS:000302237200008","View Full Record in Web of Science")</f>
        <v>View Full Record in Web of Science</v>
      </c>
    </row>
    <row r="289" spans="1:72" x14ac:dyDescent="0.15">
      <c r="A289" t="s">
        <v>72</v>
      </c>
      <c r="B289" t="s">
        <v>5711</v>
      </c>
      <c r="C289" t="s">
        <v>74</v>
      </c>
      <c r="D289" t="s">
        <v>74</v>
      </c>
      <c r="E289" t="s">
        <v>74</v>
      </c>
      <c r="F289" t="s">
        <v>5712</v>
      </c>
      <c r="G289" t="s">
        <v>74</v>
      </c>
      <c r="H289" t="s">
        <v>74</v>
      </c>
      <c r="I289" t="s">
        <v>5713</v>
      </c>
      <c r="J289" t="s">
        <v>5714</v>
      </c>
      <c r="K289" t="s">
        <v>74</v>
      </c>
      <c r="L289" t="s">
        <v>74</v>
      </c>
      <c r="M289" t="s">
        <v>78</v>
      </c>
      <c r="N289" t="s">
        <v>79</v>
      </c>
      <c r="O289" t="s">
        <v>74</v>
      </c>
      <c r="P289" t="s">
        <v>74</v>
      </c>
      <c r="Q289" t="s">
        <v>74</v>
      </c>
      <c r="R289" t="s">
        <v>74</v>
      </c>
      <c r="S289" t="s">
        <v>74</v>
      </c>
      <c r="T289" t="s">
        <v>5715</v>
      </c>
      <c r="U289" t="s">
        <v>5716</v>
      </c>
      <c r="V289" t="s">
        <v>5717</v>
      </c>
      <c r="W289" t="s">
        <v>5718</v>
      </c>
      <c r="X289" t="s">
        <v>5719</v>
      </c>
      <c r="Y289" t="s">
        <v>5720</v>
      </c>
      <c r="Z289" t="s">
        <v>5721</v>
      </c>
      <c r="AA289" t="s">
        <v>74</v>
      </c>
      <c r="AB289" t="s">
        <v>74</v>
      </c>
      <c r="AC289" t="s">
        <v>5722</v>
      </c>
      <c r="AD289" t="s">
        <v>3893</v>
      </c>
      <c r="AE289" t="s">
        <v>5723</v>
      </c>
      <c r="AF289" t="s">
        <v>74</v>
      </c>
      <c r="AG289">
        <v>59</v>
      </c>
      <c r="AH289">
        <v>9</v>
      </c>
      <c r="AI289">
        <v>12</v>
      </c>
      <c r="AJ289">
        <v>0</v>
      </c>
      <c r="AK289">
        <v>1</v>
      </c>
      <c r="AL289" t="s">
        <v>5724</v>
      </c>
      <c r="AM289" t="s">
        <v>5725</v>
      </c>
      <c r="AN289" t="s">
        <v>5726</v>
      </c>
      <c r="AO289" t="s">
        <v>5727</v>
      </c>
      <c r="AP289" t="s">
        <v>5728</v>
      </c>
      <c r="AQ289" t="s">
        <v>74</v>
      </c>
      <c r="AR289" t="s">
        <v>5729</v>
      </c>
      <c r="AS289" t="s">
        <v>5730</v>
      </c>
      <c r="AT289" t="s">
        <v>5706</v>
      </c>
      <c r="AU289">
        <v>2012</v>
      </c>
      <c r="AV289">
        <v>80</v>
      </c>
      <c r="AW289">
        <v>2</v>
      </c>
      <c r="AX289" t="s">
        <v>74</v>
      </c>
      <c r="AY289" t="s">
        <v>74</v>
      </c>
      <c r="AZ289" t="s">
        <v>74</v>
      </c>
      <c r="BA289" t="s">
        <v>74</v>
      </c>
      <c r="BB289">
        <v>147</v>
      </c>
      <c r="BC289">
        <v>158</v>
      </c>
      <c r="BD289" t="s">
        <v>74</v>
      </c>
      <c r="BE289" t="s">
        <v>74</v>
      </c>
      <c r="BF289" t="s">
        <v>74</v>
      </c>
      <c r="BG289" t="s">
        <v>74</v>
      </c>
      <c r="BH289" t="s">
        <v>74</v>
      </c>
      <c r="BI289">
        <v>12</v>
      </c>
      <c r="BJ289" t="s">
        <v>5731</v>
      </c>
      <c r="BK289" t="s">
        <v>99</v>
      </c>
      <c r="BL289" t="s">
        <v>5731</v>
      </c>
      <c r="BM289" t="s">
        <v>5732</v>
      </c>
      <c r="BN289" t="s">
        <v>74</v>
      </c>
      <c r="BO289" t="s">
        <v>74</v>
      </c>
      <c r="BP289" t="s">
        <v>74</v>
      </c>
      <c r="BQ289" t="s">
        <v>74</v>
      </c>
      <c r="BR289" t="s">
        <v>101</v>
      </c>
      <c r="BS289" t="s">
        <v>5733</v>
      </c>
      <c r="BT289" t="str">
        <f>HYPERLINK("https%3A%2F%2Fwww.webofscience.com%2Fwos%2Fwoscc%2Ffull-record%2FWOS:000303035800003","View Full Record in Web of Science")</f>
        <v>View Full Record in Web of Science</v>
      </c>
    </row>
    <row r="290" spans="1:72" x14ac:dyDescent="0.15">
      <c r="A290" t="s">
        <v>72</v>
      </c>
      <c r="B290" t="s">
        <v>5734</v>
      </c>
      <c r="C290" t="s">
        <v>74</v>
      </c>
      <c r="D290" t="s">
        <v>74</v>
      </c>
      <c r="E290" t="s">
        <v>74</v>
      </c>
      <c r="F290" t="s">
        <v>5735</v>
      </c>
      <c r="G290" t="s">
        <v>74</v>
      </c>
      <c r="H290" t="s">
        <v>74</v>
      </c>
      <c r="I290" t="s">
        <v>5736</v>
      </c>
      <c r="J290" t="s">
        <v>106</v>
      </c>
      <c r="K290" t="s">
        <v>74</v>
      </c>
      <c r="L290" t="s">
        <v>74</v>
      </c>
      <c r="M290" t="s">
        <v>78</v>
      </c>
      <c r="N290" t="s">
        <v>79</v>
      </c>
      <c r="O290" t="s">
        <v>74</v>
      </c>
      <c r="P290" t="s">
        <v>74</v>
      </c>
      <c r="Q290" t="s">
        <v>74</v>
      </c>
      <c r="R290" t="s">
        <v>74</v>
      </c>
      <c r="S290" t="s">
        <v>74</v>
      </c>
      <c r="T290" t="s">
        <v>74</v>
      </c>
      <c r="U290" t="s">
        <v>5737</v>
      </c>
      <c r="V290" t="s">
        <v>5738</v>
      </c>
      <c r="W290" t="s">
        <v>5739</v>
      </c>
      <c r="X290" t="s">
        <v>5740</v>
      </c>
      <c r="Y290" t="s">
        <v>5741</v>
      </c>
      <c r="Z290" t="s">
        <v>5742</v>
      </c>
      <c r="AA290" t="s">
        <v>5743</v>
      </c>
      <c r="AB290" t="s">
        <v>5744</v>
      </c>
      <c r="AC290" t="s">
        <v>5745</v>
      </c>
      <c r="AD290" t="s">
        <v>5746</v>
      </c>
      <c r="AE290" t="s">
        <v>5747</v>
      </c>
      <c r="AF290" t="s">
        <v>74</v>
      </c>
      <c r="AG290">
        <v>47</v>
      </c>
      <c r="AH290">
        <v>18</v>
      </c>
      <c r="AI290">
        <v>23</v>
      </c>
      <c r="AJ290">
        <v>2</v>
      </c>
      <c r="AK290">
        <v>20</v>
      </c>
      <c r="AL290" t="s">
        <v>118</v>
      </c>
      <c r="AM290" t="s">
        <v>119</v>
      </c>
      <c r="AN290" t="s">
        <v>120</v>
      </c>
      <c r="AO290" t="s">
        <v>121</v>
      </c>
      <c r="AP290" t="s">
        <v>122</v>
      </c>
      <c r="AQ290" t="s">
        <v>74</v>
      </c>
      <c r="AR290" t="s">
        <v>123</v>
      </c>
      <c r="AS290" t="s">
        <v>124</v>
      </c>
      <c r="AT290" t="s">
        <v>5748</v>
      </c>
      <c r="AU290">
        <v>2012</v>
      </c>
      <c r="AV290">
        <v>117</v>
      </c>
      <c r="AW290" t="s">
        <v>74</v>
      </c>
      <c r="AX290" t="s">
        <v>74</v>
      </c>
      <c r="AY290" t="s">
        <v>74</v>
      </c>
      <c r="AZ290" t="s">
        <v>74</v>
      </c>
      <c r="BA290" t="s">
        <v>74</v>
      </c>
      <c r="BB290" t="s">
        <v>74</v>
      </c>
      <c r="BC290" t="s">
        <v>74</v>
      </c>
      <c r="BD290" t="s">
        <v>5749</v>
      </c>
      <c r="BE290" t="s">
        <v>5750</v>
      </c>
      <c r="BF290" t="str">
        <f>HYPERLINK("http://dx.doi.org/10.1029/2011JD016893","http://dx.doi.org/10.1029/2011JD016893")</f>
        <v>http://dx.doi.org/10.1029/2011JD016893</v>
      </c>
      <c r="BG290" t="s">
        <v>74</v>
      </c>
      <c r="BH290" t="s">
        <v>74</v>
      </c>
      <c r="BI290">
        <v>13</v>
      </c>
      <c r="BJ290" t="s">
        <v>128</v>
      </c>
      <c r="BK290" t="s">
        <v>99</v>
      </c>
      <c r="BL290" t="s">
        <v>128</v>
      </c>
      <c r="BM290" t="s">
        <v>5751</v>
      </c>
      <c r="BN290" t="s">
        <v>74</v>
      </c>
      <c r="BO290" t="s">
        <v>74</v>
      </c>
      <c r="BP290" t="s">
        <v>74</v>
      </c>
      <c r="BQ290" t="s">
        <v>74</v>
      </c>
      <c r="BR290" t="s">
        <v>101</v>
      </c>
      <c r="BS290" t="s">
        <v>5752</v>
      </c>
      <c r="BT290" t="str">
        <f>HYPERLINK("https%3A%2F%2Fwww.webofscience.com%2Fwos%2Fwoscc%2Ffull-record%2FWOS:000302237100008","View Full Record in Web of Science")</f>
        <v>View Full Record in Web of Science</v>
      </c>
    </row>
    <row r="291" spans="1:72" x14ac:dyDescent="0.15">
      <c r="A291" t="s">
        <v>72</v>
      </c>
      <c r="B291" t="s">
        <v>5753</v>
      </c>
      <c r="C291" t="s">
        <v>74</v>
      </c>
      <c r="D291" t="s">
        <v>74</v>
      </c>
      <c r="E291" t="s">
        <v>74</v>
      </c>
      <c r="F291" t="s">
        <v>5754</v>
      </c>
      <c r="G291" t="s">
        <v>74</v>
      </c>
      <c r="H291" t="s">
        <v>74</v>
      </c>
      <c r="I291" t="s">
        <v>5755</v>
      </c>
      <c r="J291" t="s">
        <v>333</v>
      </c>
      <c r="K291" t="s">
        <v>74</v>
      </c>
      <c r="L291" t="s">
        <v>74</v>
      </c>
      <c r="M291" t="s">
        <v>78</v>
      </c>
      <c r="N291" t="s">
        <v>79</v>
      </c>
      <c r="O291" t="s">
        <v>74</v>
      </c>
      <c r="P291" t="s">
        <v>74</v>
      </c>
      <c r="Q291" t="s">
        <v>74</v>
      </c>
      <c r="R291" t="s">
        <v>74</v>
      </c>
      <c r="S291" t="s">
        <v>74</v>
      </c>
      <c r="T291" t="s">
        <v>74</v>
      </c>
      <c r="U291" t="s">
        <v>5756</v>
      </c>
      <c r="V291" t="s">
        <v>5757</v>
      </c>
      <c r="W291" t="s">
        <v>5758</v>
      </c>
      <c r="X291" t="s">
        <v>5759</v>
      </c>
      <c r="Y291" t="s">
        <v>5760</v>
      </c>
      <c r="Z291" t="s">
        <v>5761</v>
      </c>
      <c r="AA291" t="s">
        <v>74</v>
      </c>
      <c r="AB291" t="s">
        <v>5762</v>
      </c>
      <c r="AC291" t="s">
        <v>5763</v>
      </c>
      <c r="AD291" t="s">
        <v>5764</v>
      </c>
      <c r="AE291" t="s">
        <v>5765</v>
      </c>
      <c r="AF291" t="s">
        <v>74</v>
      </c>
      <c r="AG291">
        <v>38</v>
      </c>
      <c r="AH291">
        <v>22</v>
      </c>
      <c r="AI291">
        <v>23</v>
      </c>
      <c r="AJ291">
        <v>0</v>
      </c>
      <c r="AK291">
        <v>6</v>
      </c>
      <c r="AL291" t="s">
        <v>118</v>
      </c>
      <c r="AM291" t="s">
        <v>119</v>
      </c>
      <c r="AN291" t="s">
        <v>120</v>
      </c>
      <c r="AO291" t="s">
        <v>344</v>
      </c>
      <c r="AP291" t="s">
        <v>345</v>
      </c>
      <c r="AQ291" t="s">
        <v>74</v>
      </c>
      <c r="AR291" t="s">
        <v>346</v>
      </c>
      <c r="AS291" t="s">
        <v>347</v>
      </c>
      <c r="AT291" t="s">
        <v>5748</v>
      </c>
      <c r="AU291">
        <v>2012</v>
      </c>
      <c r="AV291">
        <v>117</v>
      </c>
      <c r="AW291" t="s">
        <v>74</v>
      </c>
      <c r="AX291" t="s">
        <v>74</v>
      </c>
      <c r="AY291" t="s">
        <v>74</v>
      </c>
      <c r="AZ291" t="s">
        <v>74</v>
      </c>
      <c r="BA291" t="s">
        <v>74</v>
      </c>
      <c r="BB291" t="s">
        <v>74</v>
      </c>
      <c r="BC291" t="s">
        <v>74</v>
      </c>
      <c r="BD291" t="s">
        <v>5766</v>
      </c>
      <c r="BE291" t="s">
        <v>5767</v>
      </c>
      <c r="BF291" t="str">
        <f>HYPERLINK("http://dx.doi.org/10.1029/2011JC007586","http://dx.doi.org/10.1029/2011JC007586")</f>
        <v>http://dx.doi.org/10.1029/2011JC007586</v>
      </c>
      <c r="BG291" t="s">
        <v>74</v>
      </c>
      <c r="BH291" t="s">
        <v>74</v>
      </c>
      <c r="BI291">
        <v>17</v>
      </c>
      <c r="BJ291" t="s">
        <v>350</v>
      </c>
      <c r="BK291" t="s">
        <v>99</v>
      </c>
      <c r="BL291" t="s">
        <v>350</v>
      </c>
      <c r="BM291" t="s">
        <v>5768</v>
      </c>
      <c r="BN291" t="s">
        <v>74</v>
      </c>
      <c r="BO291" t="s">
        <v>328</v>
      </c>
      <c r="BP291" t="s">
        <v>74</v>
      </c>
      <c r="BQ291" t="s">
        <v>74</v>
      </c>
      <c r="BR291" t="s">
        <v>101</v>
      </c>
      <c r="BS291" t="s">
        <v>5769</v>
      </c>
      <c r="BT291" t="str">
        <f>HYPERLINK("https%3A%2F%2Fwww.webofscience.com%2Fwos%2Fwoscc%2Ffull-record%2FWOS:000302243900002","View Full Record in Web of Science")</f>
        <v>View Full Record in Web of Science</v>
      </c>
    </row>
    <row r="292" spans="1:72" x14ac:dyDescent="0.15">
      <c r="A292" t="s">
        <v>72</v>
      </c>
      <c r="B292" t="s">
        <v>5770</v>
      </c>
      <c r="C292" t="s">
        <v>74</v>
      </c>
      <c r="D292" t="s">
        <v>74</v>
      </c>
      <c r="E292" t="s">
        <v>74</v>
      </c>
      <c r="F292" t="s">
        <v>5771</v>
      </c>
      <c r="G292" t="s">
        <v>74</v>
      </c>
      <c r="H292" t="s">
        <v>74</v>
      </c>
      <c r="I292" t="s">
        <v>5772</v>
      </c>
      <c r="J292" t="s">
        <v>5773</v>
      </c>
      <c r="K292" t="s">
        <v>74</v>
      </c>
      <c r="L292" t="s">
        <v>74</v>
      </c>
      <c r="M292" t="s">
        <v>78</v>
      </c>
      <c r="N292" t="s">
        <v>79</v>
      </c>
      <c r="O292" t="s">
        <v>74</v>
      </c>
      <c r="P292" t="s">
        <v>74</v>
      </c>
      <c r="Q292" t="s">
        <v>74</v>
      </c>
      <c r="R292" t="s">
        <v>74</v>
      </c>
      <c r="S292" t="s">
        <v>74</v>
      </c>
      <c r="T292" t="s">
        <v>5774</v>
      </c>
      <c r="U292" t="s">
        <v>5775</v>
      </c>
      <c r="V292" t="s">
        <v>5776</v>
      </c>
      <c r="W292" t="s">
        <v>5777</v>
      </c>
      <c r="X292" t="s">
        <v>5778</v>
      </c>
      <c r="Y292" t="s">
        <v>1796</v>
      </c>
      <c r="Z292" t="s">
        <v>5779</v>
      </c>
      <c r="AA292" t="s">
        <v>5780</v>
      </c>
      <c r="AB292" t="s">
        <v>74</v>
      </c>
      <c r="AC292" t="s">
        <v>5781</v>
      </c>
      <c r="AD292" t="s">
        <v>5782</v>
      </c>
      <c r="AE292" t="s">
        <v>5783</v>
      </c>
      <c r="AF292" t="s">
        <v>74</v>
      </c>
      <c r="AG292">
        <v>56</v>
      </c>
      <c r="AH292">
        <v>98</v>
      </c>
      <c r="AI292">
        <v>110</v>
      </c>
      <c r="AJ292">
        <v>11</v>
      </c>
      <c r="AK292">
        <v>182</v>
      </c>
      <c r="AL292" t="s">
        <v>368</v>
      </c>
      <c r="AM292" t="s">
        <v>369</v>
      </c>
      <c r="AN292" t="s">
        <v>370</v>
      </c>
      <c r="AO292" t="s">
        <v>5784</v>
      </c>
      <c r="AP292" t="s">
        <v>5785</v>
      </c>
      <c r="AQ292" t="s">
        <v>74</v>
      </c>
      <c r="AR292" t="s">
        <v>5786</v>
      </c>
      <c r="AS292" t="s">
        <v>5787</v>
      </c>
      <c r="AT292" t="s">
        <v>5748</v>
      </c>
      <c r="AU292">
        <v>2012</v>
      </c>
      <c r="AV292">
        <v>209</v>
      </c>
      <c r="AW292" t="s">
        <v>74</v>
      </c>
      <c r="AX292" t="s">
        <v>74</v>
      </c>
      <c r="AY292" t="s">
        <v>74</v>
      </c>
      <c r="AZ292" t="s">
        <v>74</v>
      </c>
      <c r="BA292" t="s">
        <v>74</v>
      </c>
      <c r="BB292">
        <v>335</v>
      </c>
      <c r="BC292">
        <v>342</v>
      </c>
      <c r="BD292" t="s">
        <v>74</v>
      </c>
      <c r="BE292" t="s">
        <v>5788</v>
      </c>
      <c r="BF292" t="str">
        <f>HYPERLINK("http://dx.doi.org/10.1016/j.jhazmat.2012.01.030","http://dx.doi.org/10.1016/j.jhazmat.2012.01.030")</f>
        <v>http://dx.doi.org/10.1016/j.jhazmat.2012.01.030</v>
      </c>
      <c r="BG292" t="s">
        <v>74</v>
      </c>
      <c r="BH292" t="s">
        <v>74</v>
      </c>
      <c r="BI292">
        <v>8</v>
      </c>
      <c r="BJ292" t="s">
        <v>1401</v>
      </c>
      <c r="BK292" t="s">
        <v>99</v>
      </c>
      <c r="BL292" t="s">
        <v>1402</v>
      </c>
      <c r="BM292" t="s">
        <v>5789</v>
      </c>
      <c r="BN292">
        <v>22305203</v>
      </c>
      <c r="BO292" t="s">
        <v>74</v>
      </c>
      <c r="BP292" t="s">
        <v>74</v>
      </c>
      <c r="BQ292" t="s">
        <v>74</v>
      </c>
      <c r="BR292" t="s">
        <v>101</v>
      </c>
      <c r="BS292" t="s">
        <v>5790</v>
      </c>
      <c r="BT292" t="str">
        <f>HYPERLINK("https%3A%2F%2Fwww.webofscience.com%2Fwos%2Fwoscc%2Ffull-record%2FWOS:000301884700042","View Full Record in Web of Science")</f>
        <v>View Full Record in Web of Science</v>
      </c>
    </row>
    <row r="293" spans="1:72" x14ac:dyDescent="0.15">
      <c r="A293" t="s">
        <v>72</v>
      </c>
      <c r="B293" t="s">
        <v>5791</v>
      </c>
      <c r="C293" t="s">
        <v>74</v>
      </c>
      <c r="D293" t="s">
        <v>74</v>
      </c>
      <c r="E293" t="s">
        <v>74</v>
      </c>
      <c r="F293" t="s">
        <v>5792</v>
      </c>
      <c r="G293" t="s">
        <v>74</v>
      </c>
      <c r="H293" t="s">
        <v>74</v>
      </c>
      <c r="I293" t="s">
        <v>5793</v>
      </c>
      <c r="J293" t="s">
        <v>106</v>
      </c>
      <c r="K293" t="s">
        <v>74</v>
      </c>
      <c r="L293" t="s">
        <v>74</v>
      </c>
      <c r="M293" t="s">
        <v>78</v>
      </c>
      <c r="N293" t="s">
        <v>79</v>
      </c>
      <c r="O293" t="s">
        <v>74</v>
      </c>
      <c r="P293" t="s">
        <v>74</v>
      </c>
      <c r="Q293" t="s">
        <v>74</v>
      </c>
      <c r="R293" t="s">
        <v>74</v>
      </c>
      <c r="S293" t="s">
        <v>74</v>
      </c>
      <c r="T293" t="s">
        <v>74</v>
      </c>
      <c r="U293" t="s">
        <v>5794</v>
      </c>
      <c r="V293" t="s">
        <v>5795</v>
      </c>
      <c r="W293" t="s">
        <v>5796</v>
      </c>
      <c r="X293" t="s">
        <v>5797</v>
      </c>
      <c r="Y293" t="s">
        <v>1796</v>
      </c>
      <c r="Z293" t="s">
        <v>5798</v>
      </c>
      <c r="AA293" t="s">
        <v>5799</v>
      </c>
      <c r="AB293" t="s">
        <v>74</v>
      </c>
      <c r="AC293" t="s">
        <v>1800</v>
      </c>
      <c r="AD293" t="s">
        <v>1801</v>
      </c>
      <c r="AE293" t="s">
        <v>5800</v>
      </c>
      <c r="AF293" t="s">
        <v>74</v>
      </c>
      <c r="AG293">
        <v>39</v>
      </c>
      <c r="AH293">
        <v>27</v>
      </c>
      <c r="AI293">
        <v>29</v>
      </c>
      <c r="AJ293">
        <v>3</v>
      </c>
      <c r="AK293">
        <v>96</v>
      </c>
      <c r="AL293" t="s">
        <v>118</v>
      </c>
      <c r="AM293" t="s">
        <v>119</v>
      </c>
      <c r="AN293" t="s">
        <v>120</v>
      </c>
      <c r="AO293" t="s">
        <v>121</v>
      </c>
      <c r="AP293" t="s">
        <v>122</v>
      </c>
      <c r="AQ293" t="s">
        <v>74</v>
      </c>
      <c r="AR293" t="s">
        <v>123</v>
      </c>
      <c r="AS293" t="s">
        <v>124</v>
      </c>
      <c r="AT293" t="s">
        <v>5748</v>
      </c>
      <c r="AU293">
        <v>2012</v>
      </c>
      <c r="AV293">
        <v>117</v>
      </c>
      <c r="AW293" t="s">
        <v>74</v>
      </c>
      <c r="AX293" t="s">
        <v>74</v>
      </c>
      <c r="AY293" t="s">
        <v>74</v>
      </c>
      <c r="AZ293" t="s">
        <v>74</v>
      </c>
      <c r="BA293" t="s">
        <v>74</v>
      </c>
      <c r="BB293" t="s">
        <v>74</v>
      </c>
      <c r="BC293" t="s">
        <v>74</v>
      </c>
      <c r="BD293" t="s">
        <v>5801</v>
      </c>
      <c r="BE293" t="s">
        <v>5802</v>
      </c>
      <c r="BF293" t="str">
        <f>HYPERLINK("http://dx.doi.org/10.1029/2011JD016910","http://dx.doi.org/10.1029/2011JD016910")</f>
        <v>http://dx.doi.org/10.1029/2011JD016910</v>
      </c>
      <c r="BG293" t="s">
        <v>74</v>
      </c>
      <c r="BH293" t="s">
        <v>74</v>
      </c>
      <c r="BI293">
        <v>9</v>
      </c>
      <c r="BJ293" t="s">
        <v>128</v>
      </c>
      <c r="BK293" t="s">
        <v>99</v>
      </c>
      <c r="BL293" t="s">
        <v>128</v>
      </c>
      <c r="BM293" t="s">
        <v>5751</v>
      </c>
      <c r="BN293" t="s">
        <v>74</v>
      </c>
      <c r="BO293" t="s">
        <v>156</v>
      </c>
      <c r="BP293" t="s">
        <v>74</v>
      </c>
      <c r="BQ293" t="s">
        <v>74</v>
      </c>
      <c r="BR293" t="s">
        <v>101</v>
      </c>
      <c r="BS293" t="s">
        <v>5803</v>
      </c>
      <c r="BT293" t="str">
        <f>HYPERLINK("https%3A%2F%2Fwww.webofscience.com%2Fwos%2Fwoscc%2Ffull-record%2FWOS:000302237100009","View Full Record in Web of Science")</f>
        <v>View Full Record in Web of Science</v>
      </c>
    </row>
    <row r="294" spans="1:72" x14ac:dyDescent="0.15">
      <c r="A294" t="s">
        <v>72</v>
      </c>
      <c r="B294" t="s">
        <v>5804</v>
      </c>
      <c r="C294" t="s">
        <v>74</v>
      </c>
      <c r="D294" t="s">
        <v>74</v>
      </c>
      <c r="E294" t="s">
        <v>74</v>
      </c>
      <c r="F294" t="s">
        <v>5805</v>
      </c>
      <c r="G294" t="s">
        <v>74</v>
      </c>
      <c r="H294" t="s">
        <v>74</v>
      </c>
      <c r="I294" t="s">
        <v>5806</v>
      </c>
      <c r="J294" t="s">
        <v>2975</v>
      </c>
      <c r="K294" t="s">
        <v>74</v>
      </c>
      <c r="L294" t="s">
        <v>74</v>
      </c>
      <c r="M294" t="s">
        <v>78</v>
      </c>
      <c r="N294" t="s">
        <v>79</v>
      </c>
      <c r="O294" t="s">
        <v>74</v>
      </c>
      <c r="P294" t="s">
        <v>74</v>
      </c>
      <c r="Q294" t="s">
        <v>74</v>
      </c>
      <c r="R294" t="s">
        <v>74</v>
      </c>
      <c r="S294" t="s">
        <v>74</v>
      </c>
      <c r="T294" t="s">
        <v>5807</v>
      </c>
      <c r="U294" t="s">
        <v>5808</v>
      </c>
      <c r="V294" t="s">
        <v>5809</v>
      </c>
      <c r="W294" t="s">
        <v>5810</v>
      </c>
      <c r="X294" t="s">
        <v>5811</v>
      </c>
      <c r="Y294" t="s">
        <v>5812</v>
      </c>
      <c r="Z294" t="s">
        <v>5813</v>
      </c>
      <c r="AA294" t="s">
        <v>5814</v>
      </c>
      <c r="AB294" t="s">
        <v>5815</v>
      </c>
      <c r="AC294" t="s">
        <v>5816</v>
      </c>
      <c r="AD294" t="s">
        <v>5817</v>
      </c>
      <c r="AE294" t="s">
        <v>5818</v>
      </c>
      <c r="AF294" t="s">
        <v>74</v>
      </c>
      <c r="AG294">
        <v>40</v>
      </c>
      <c r="AH294">
        <v>86</v>
      </c>
      <c r="AI294">
        <v>96</v>
      </c>
      <c r="AJ294">
        <v>1</v>
      </c>
      <c r="AK294">
        <v>24</v>
      </c>
      <c r="AL294" t="s">
        <v>277</v>
      </c>
      <c r="AM294" t="s">
        <v>278</v>
      </c>
      <c r="AN294" t="s">
        <v>279</v>
      </c>
      <c r="AO294" t="s">
        <v>2988</v>
      </c>
      <c r="AP294" t="s">
        <v>74</v>
      </c>
      <c r="AQ294" t="s">
        <v>74</v>
      </c>
      <c r="AR294" t="s">
        <v>2989</v>
      </c>
      <c r="AS294" t="s">
        <v>2990</v>
      </c>
      <c r="AT294" t="s">
        <v>5748</v>
      </c>
      <c r="AU294">
        <v>2012</v>
      </c>
      <c r="AV294">
        <v>38</v>
      </c>
      <c r="AW294" t="s">
        <v>74</v>
      </c>
      <c r="AX294" t="s">
        <v>74</v>
      </c>
      <c r="AY294" t="s">
        <v>74</v>
      </c>
      <c r="AZ294" t="s">
        <v>74</v>
      </c>
      <c r="BA294" t="s">
        <v>74</v>
      </c>
      <c r="BB294">
        <v>1</v>
      </c>
      <c r="BC294">
        <v>10</v>
      </c>
      <c r="BD294" t="s">
        <v>74</v>
      </c>
      <c r="BE294" t="s">
        <v>5819</v>
      </c>
      <c r="BF294" t="str">
        <f>HYPERLINK("http://dx.doi.org/10.1016/j.quascirev.2011.12.017","http://dx.doi.org/10.1016/j.quascirev.2011.12.017")</f>
        <v>http://dx.doi.org/10.1016/j.quascirev.2011.12.017</v>
      </c>
      <c r="BG294" t="s">
        <v>74</v>
      </c>
      <c r="BH294" t="s">
        <v>74</v>
      </c>
      <c r="BI294">
        <v>10</v>
      </c>
      <c r="BJ294" t="s">
        <v>943</v>
      </c>
      <c r="BK294" t="s">
        <v>99</v>
      </c>
      <c r="BL294" t="s">
        <v>944</v>
      </c>
      <c r="BM294" t="s">
        <v>5820</v>
      </c>
      <c r="BN294" t="s">
        <v>74</v>
      </c>
      <c r="BO294" t="s">
        <v>74</v>
      </c>
      <c r="BP294" t="s">
        <v>74</v>
      </c>
      <c r="BQ294" t="s">
        <v>74</v>
      </c>
      <c r="BR294" t="s">
        <v>101</v>
      </c>
      <c r="BS294" t="s">
        <v>5821</v>
      </c>
      <c r="BT294" t="str">
        <f>HYPERLINK("https%3A%2F%2Fwww.webofscience.com%2Fwos%2Fwoscc%2Ffull-record%2FWOS:000302886700001","View Full Record in Web of Science")</f>
        <v>View Full Record in Web of Science</v>
      </c>
    </row>
    <row r="295" spans="1:72" x14ac:dyDescent="0.15">
      <c r="A295" t="s">
        <v>72</v>
      </c>
      <c r="B295" t="s">
        <v>5822</v>
      </c>
      <c r="C295" t="s">
        <v>74</v>
      </c>
      <c r="D295" t="s">
        <v>74</v>
      </c>
      <c r="E295" t="s">
        <v>74</v>
      </c>
      <c r="F295" t="s">
        <v>5823</v>
      </c>
      <c r="G295" t="s">
        <v>74</v>
      </c>
      <c r="H295" t="s">
        <v>74</v>
      </c>
      <c r="I295" t="s">
        <v>5824</v>
      </c>
      <c r="J295" t="s">
        <v>2975</v>
      </c>
      <c r="K295" t="s">
        <v>74</v>
      </c>
      <c r="L295" t="s">
        <v>74</v>
      </c>
      <c r="M295" t="s">
        <v>78</v>
      </c>
      <c r="N295" t="s">
        <v>79</v>
      </c>
      <c r="O295" t="s">
        <v>74</v>
      </c>
      <c r="P295" t="s">
        <v>74</v>
      </c>
      <c r="Q295" t="s">
        <v>74</v>
      </c>
      <c r="R295" t="s">
        <v>74</v>
      </c>
      <c r="S295" t="s">
        <v>74</v>
      </c>
      <c r="T295" t="s">
        <v>5825</v>
      </c>
      <c r="U295" t="s">
        <v>5826</v>
      </c>
      <c r="V295" t="s">
        <v>5827</v>
      </c>
      <c r="W295" t="s">
        <v>5828</v>
      </c>
      <c r="X295" t="s">
        <v>5829</v>
      </c>
      <c r="Y295" t="s">
        <v>5830</v>
      </c>
      <c r="Z295" t="s">
        <v>5831</v>
      </c>
      <c r="AA295" t="s">
        <v>5832</v>
      </c>
      <c r="AB295" t="s">
        <v>5833</v>
      </c>
      <c r="AC295" t="s">
        <v>5834</v>
      </c>
      <c r="AD295" t="s">
        <v>5835</v>
      </c>
      <c r="AE295" t="s">
        <v>5836</v>
      </c>
      <c r="AF295" t="s">
        <v>74</v>
      </c>
      <c r="AG295">
        <v>70</v>
      </c>
      <c r="AH295">
        <v>68</v>
      </c>
      <c r="AI295">
        <v>77</v>
      </c>
      <c r="AJ295">
        <v>0</v>
      </c>
      <c r="AK295">
        <v>21</v>
      </c>
      <c r="AL295" t="s">
        <v>277</v>
      </c>
      <c r="AM295" t="s">
        <v>278</v>
      </c>
      <c r="AN295" t="s">
        <v>279</v>
      </c>
      <c r="AO295" t="s">
        <v>2988</v>
      </c>
      <c r="AP295" t="s">
        <v>74</v>
      </c>
      <c r="AQ295" t="s">
        <v>74</v>
      </c>
      <c r="AR295" t="s">
        <v>2989</v>
      </c>
      <c r="AS295" t="s">
        <v>2990</v>
      </c>
      <c r="AT295" t="s">
        <v>5748</v>
      </c>
      <c r="AU295">
        <v>2012</v>
      </c>
      <c r="AV295">
        <v>38</v>
      </c>
      <c r="AW295" t="s">
        <v>74</v>
      </c>
      <c r="AX295" t="s">
        <v>74</v>
      </c>
      <c r="AY295" t="s">
        <v>74</v>
      </c>
      <c r="AZ295" t="s">
        <v>74</v>
      </c>
      <c r="BA295" t="s">
        <v>74</v>
      </c>
      <c r="BB295">
        <v>11</v>
      </c>
      <c r="BC295">
        <v>26</v>
      </c>
      <c r="BD295" t="s">
        <v>74</v>
      </c>
      <c r="BE295" t="s">
        <v>5837</v>
      </c>
      <c r="BF295" t="str">
        <f>HYPERLINK("http://dx.doi.org/10.1016/j.quascirev.2012.01.017","http://dx.doi.org/10.1016/j.quascirev.2012.01.017")</f>
        <v>http://dx.doi.org/10.1016/j.quascirev.2012.01.017</v>
      </c>
      <c r="BG295" t="s">
        <v>74</v>
      </c>
      <c r="BH295" t="s">
        <v>74</v>
      </c>
      <c r="BI295">
        <v>16</v>
      </c>
      <c r="BJ295" t="s">
        <v>943</v>
      </c>
      <c r="BK295" t="s">
        <v>99</v>
      </c>
      <c r="BL295" t="s">
        <v>944</v>
      </c>
      <c r="BM295" t="s">
        <v>5820</v>
      </c>
      <c r="BN295" t="s">
        <v>74</v>
      </c>
      <c r="BO295" t="s">
        <v>74</v>
      </c>
      <c r="BP295" t="s">
        <v>74</v>
      </c>
      <c r="BQ295" t="s">
        <v>74</v>
      </c>
      <c r="BR295" t="s">
        <v>101</v>
      </c>
      <c r="BS295" t="s">
        <v>5838</v>
      </c>
      <c r="BT295" t="str">
        <f>HYPERLINK("https%3A%2F%2Fwww.webofscience.com%2Fwos%2Fwoscc%2Ffull-record%2FWOS:000302886700002","View Full Record in Web of Science")</f>
        <v>View Full Record in Web of Science</v>
      </c>
    </row>
    <row r="296" spans="1:72" x14ac:dyDescent="0.15">
      <c r="A296" t="s">
        <v>72</v>
      </c>
      <c r="B296" t="s">
        <v>5839</v>
      </c>
      <c r="C296" t="s">
        <v>74</v>
      </c>
      <c r="D296" t="s">
        <v>74</v>
      </c>
      <c r="E296" t="s">
        <v>74</v>
      </c>
      <c r="F296" t="s">
        <v>5840</v>
      </c>
      <c r="G296" t="s">
        <v>74</v>
      </c>
      <c r="H296" t="s">
        <v>74</v>
      </c>
      <c r="I296" t="s">
        <v>5841</v>
      </c>
      <c r="J296" t="s">
        <v>502</v>
      </c>
      <c r="K296" t="s">
        <v>74</v>
      </c>
      <c r="L296" t="s">
        <v>74</v>
      </c>
      <c r="M296" t="s">
        <v>78</v>
      </c>
      <c r="N296" t="s">
        <v>79</v>
      </c>
      <c r="O296" t="s">
        <v>74</v>
      </c>
      <c r="P296" t="s">
        <v>74</v>
      </c>
      <c r="Q296" t="s">
        <v>74</v>
      </c>
      <c r="R296" t="s">
        <v>74</v>
      </c>
      <c r="S296" t="s">
        <v>74</v>
      </c>
      <c r="T296" t="s">
        <v>74</v>
      </c>
      <c r="U296" t="s">
        <v>5842</v>
      </c>
      <c r="V296" t="s">
        <v>5843</v>
      </c>
      <c r="W296" t="s">
        <v>5844</v>
      </c>
      <c r="X296" t="s">
        <v>5845</v>
      </c>
      <c r="Y296" t="s">
        <v>5846</v>
      </c>
      <c r="Z296" t="s">
        <v>5847</v>
      </c>
      <c r="AA296" t="s">
        <v>5848</v>
      </c>
      <c r="AB296" t="s">
        <v>5849</v>
      </c>
      <c r="AC296" t="s">
        <v>5850</v>
      </c>
      <c r="AD296" t="s">
        <v>5851</v>
      </c>
      <c r="AE296" t="s">
        <v>5852</v>
      </c>
      <c r="AF296" t="s">
        <v>74</v>
      </c>
      <c r="AG296">
        <v>71</v>
      </c>
      <c r="AH296">
        <v>19</v>
      </c>
      <c r="AI296">
        <v>24</v>
      </c>
      <c r="AJ296">
        <v>0</v>
      </c>
      <c r="AK296">
        <v>14</v>
      </c>
      <c r="AL296" t="s">
        <v>513</v>
      </c>
      <c r="AM296" t="s">
        <v>514</v>
      </c>
      <c r="AN296" t="s">
        <v>515</v>
      </c>
      <c r="AO296" t="s">
        <v>516</v>
      </c>
      <c r="AP296" t="s">
        <v>74</v>
      </c>
      <c r="AQ296" t="s">
        <v>74</v>
      </c>
      <c r="AR296" t="s">
        <v>502</v>
      </c>
      <c r="AS296" t="s">
        <v>517</v>
      </c>
      <c r="AT296" t="s">
        <v>5853</v>
      </c>
      <c r="AU296">
        <v>2012</v>
      </c>
      <c r="AV296">
        <v>7</v>
      </c>
      <c r="AW296">
        <v>3</v>
      </c>
      <c r="AX296" t="s">
        <v>74</v>
      </c>
      <c r="AY296" t="s">
        <v>74</v>
      </c>
      <c r="AZ296" t="s">
        <v>74</v>
      </c>
      <c r="BA296" t="s">
        <v>74</v>
      </c>
      <c r="BB296" t="s">
        <v>74</v>
      </c>
      <c r="BC296" t="s">
        <v>74</v>
      </c>
      <c r="BD296" t="s">
        <v>5854</v>
      </c>
      <c r="BE296" t="s">
        <v>5855</v>
      </c>
      <c r="BF296" t="str">
        <f>HYPERLINK("http://dx.doi.org/10.1371/journal.pone.0034438","http://dx.doi.org/10.1371/journal.pone.0034438")</f>
        <v>http://dx.doi.org/10.1371/journal.pone.0034438</v>
      </c>
      <c r="BG296" t="s">
        <v>74</v>
      </c>
      <c r="BH296" t="s">
        <v>74</v>
      </c>
      <c r="BI296">
        <v>10</v>
      </c>
      <c r="BJ296" t="s">
        <v>153</v>
      </c>
      <c r="BK296" t="s">
        <v>99</v>
      </c>
      <c r="BL296" t="s">
        <v>154</v>
      </c>
      <c r="BM296" t="s">
        <v>5856</v>
      </c>
      <c r="BN296">
        <v>22479631</v>
      </c>
      <c r="BO296" t="s">
        <v>2787</v>
      </c>
      <c r="BP296" t="s">
        <v>74</v>
      </c>
      <c r="BQ296" t="s">
        <v>74</v>
      </c>
      <c r="BR296" t="s">
        <v>101</v>
      </c>
      <c r="BS296" t="s">
        <v>5857</v>
      </c>
      <c r="BT296" t="str">
        <f>HYPERLINK("https%3A%2F%2Fwww.webofscience.com%2Fwos%2Fwoscc%2Ffull-record%2FWOS:000304523400084","View Full Record in Web of Science")</f>
        <v>View Full Record in Web of Science</v>
      </c>
    </row>
    <row r="297" spans="1:72" x14ac:dyDescent="0.15">
      <c r="A297" t="s">
        <v>72</v>
      </c>
      <c r="B297" t="s">
        <v>5858</v>
      </c>
      <c r="C297" t="s">
        <v>74</v>
      </c>
      <c r="D297" t="s">
        <v>74</v>
      </c>
      <c r="E297" t="s">
        <v>74</v>
      </c>
      <c r="F297" t="s">
        <v>5859</v>
      </c>
      <c r="G297" t="s">
        <v>74</v>
      </c>
      <c r="H297" t="s">
        <v>74</v>
      </c>
      <c r="I297" t="s">
        <v>5860</v>
      </c>
      <c r="J297" t="s">
        <v>2817</v>
      </c>
      <c r="K297" t="s">
        <v>74</v>
      </c>
      <c r="L297" t="s">
        <v>74</v>
      </c>
      <c r="M297" t="s">
        <v>78</v>
      </c>
      <c r="N297" t="s">
        <v>79</v>
      </c>
      <c r="O297" t="s">
        <v>74</v>
      </c>
      <c r="P297" t="s">
        <v>74</v>
      </c>
      <c r="Q297" t="s">
        <v>74</v>
      </c>
      <c r="R297" t="s">
        <v>74</v>
      </c>
      <c r="S297" t="s">
        <v>74</v>
      </c>
      <c r="T297" t="s">
        <v>74</v>
      </c>
      <c r="U297" t="s">
        <v>5861</v>
      </c>
      <c r="V297" t="s">
        <v>5862</v>
      </c>
      <c r="W297" t="s">
        <v>5863</v>
      </c>
      <c r="X297" t="s">
        <v>5864</v>
      </c>
      <c r="Y297" t="s">
        <v>5865</v>
      </c>
      <c r="Z297" t="s">
        <v>5866</v>
      </c>
      <c r="AA297" t="s">
        <v>74</v>
      </c>
      <c r="AB297" t="s">
        <v>74</v>
      </c>
      <c r="AC297" t="s">
        <v>5867</v>
      </c>
      <c r="AD297" t="s">
        <v>5868</v>
      </c>
      <c r="AE297" t="s">
        <v>74</v>
      </c>
      <c r="AF297" t="s">
        <v>74</v>
      </c>
      <c r="AG297">
        <v>17</v>
      </c>
      <c r="AH297">
        <v>24</v>
      </c>
      <c r="AI297">
        <v>25</v>
      </c>
      <c r="AJ297">
        <v>0</v>
      </c>
      <c r="AK297">
        <v>14</v>
      </c>
      <c r="AL297" t="s">
        <v>118</v>
      </c>
      <c r="AM297" t="s">
        <v>119</v>
      </c>
      <c r="AN297" t="s">
        <v>120</v>
      </c>
      <c r="AO297" t="s">
        <v>2828</v>
      </c>
      <c r="AP297" t="s">
        <v>2829</v>
      </c>
      <c r="AQ297" t="s">
        <v>74</v>
      </c>
      <c r="AR297" t="s">
        <v>2817</v>
      </c>
      <c r="AS297" t="s">
        <v>2830</v>
      </c>
      <c r="AT297" t="s">
        <v>5853</v>
      </c>
      <c r="AU297">
        <v>2012</v>
      </c>
      <c r="AV297">
        <v>27</v>
      </c>
      <c r="AW297" t="s">
        <v>74</v>
      </c>
      <c r="AX297" t="s">
        <v>74</v>
      </c>
      <c r="AY297" t="s">
        <v>74</v>
      </c>
      <c r="AZ297" t="s">
        <v>74</v>
      </c>
      <c r="BA297" t="s">
        <v>74</v>
      </c>
      <c r="BB297" t="s">
        <v>74</v>
      </c>
      <c r="BC297" t="s">
        <v>74</v>
      </c>
      <c r="BD297" t="s">
        <v>5869</v>
      </c>
      <c r="BE297" t="s">
        <v>5870</v>
      </c>
      <c r="BF297" t="str">
        <f>HYPERLINK("http://dx.doi.org/10.1029/2011PA002216","http://dx.doi.org/10.1029/2011PA002216")</f>
        <v>http://dx.doi.org/10.1029/2011PA002216</v>
      </c>
      <c r="BG297" t="s">
        <v>74</v>
      </c>
      <c r="BH297" t="s">
        <v>74</v>
      </c>
      <c r="BI297">
        <v>12</v>
      </c>
      <c r="BJ297" t="s">
        <v>2834</v>
      </c>
      <c r="BK297" t="s">
        <v>99</v>
      </c>
      <c r="BL297" t="s">
        <v>2835</v>
      </c>
      <c r="BM297" t="s">
        <v>5871</v>
      </c>
      <c r="BN297" t="s">
        <v>74</v>
      </c>
      <c r="BO297" t="s">
        <v>308</v>
      </c>
      <c r="BP297" t="s">
        <v>74</v>
      </c>
      <c r="BQ297" t="s">
        <v>74</v>
      </c>
      <c r="BR297" t="s">
        <v>101</v>
      </c>
      <c r="BS297" t="s">
        <v>5872</v>
      </c>
      <c r="BT297" t="str">
        <f>HYPERLINK("https%3A%2F%2Fwww.webofscience.com%2Fwos%2Fwoscc%2Ffull-record%2FWOS:000302253000001","View Full Record in Web of Science")</f>
        <v>View Full Record in Web of Science</v>
      </c>
    </row>
    <row r="298" spans="1:72" x14ac:dyDescent="0.15">
      <c r="A298" t="s">
        <v>72</v>
      </c>
      <c r="B298" t="s">
        <v>5873</v>
      </c>
      <c r="C298" t="s">
        <v>74</v>
      </c>
      <c r="D298" t="s">
        <v>74</v>
      </c>
      <c r="E298" t="s">
        <v>74</v>
      </c>
      <c r="F298" t="s">
        <v>5874</v>
      </c>
      <c r="G298" t="s">
        <v>74</v>
      </c>
      <c r="H298" t="s">
        <v>74</v>
      </c>
      <c r="I298" t="s">
        <v>5875</v>
      </c>
      <c r="J298" t="s">
        <v>5876</v>
      </c>
      <c r="K298" t="s">
        <v>74</v>
      </c>
      <c r="L298" t="s">
        <v>74</v>
      </c>
      <c r="M298" t="s">
        <v>78</v>
      </c>
      <c r="N298" t="s">
        <v>79</v>
      </c>
      <c r="O298" t="s">
        <v>74</v>
      </c>
      <c r="P298" t="s">
        <v>74</v>
      </c>
      <c r="Q298" t="s">
        <v>74</v>
      </c>
      <c r="R298" t="s">
        <v>74</v>
      </c>
      <c r="S298" t="s">
        <v>74</v>
      </c>
      <c r="T298" t="s">
        <v>74</v>
      </c>
      <c r="U298" t="s">
        <v>5877</v>
      </c>
      <c r="V298" t="s">
        <v>5878</v>
      </c>
      <c r="W298" t="s">
        <v>5879</v>
      </c>
      <c r="X298" t="s">
        <v>5880</v>
      </c>
      <c r="Y298" t="s">
        <v>5881</v>
      </c>
      <c r="Z298" t="s">
        <v>5882</v>
      </c>
      <c r="AA298" t="s">
        <v>5883</v>
      </c>
      <c r="AB298" t="s">
        <v>5884</v>
      </c>
      <c r="AC298" t="s">
        <v>5885</v>
      </c>
      <c r="AD298" t="s">
        <v>5886</v>
      </c>
      <c r="AE298" t="s">
        <v>5887</v>
      </c>
      <c r="AF298" t="s">
        <v>74</v>
      </c>
      <c r="AG298">
        <v>26</v>
      </c>
      <c r="AH298">
        <v>38</v>
      </c>
      <c r="AI298">
        <v>42</v>
      </c>
      <c r="AJ298">
        <v>0</v>
      </c>
      <c r="AK298">
        <v>6</v>
      </c>
      <c r="AL298" t="s">
        <v>5888</v>
      </c>
      <c r="AM298" t="s">
        <v>5889</v>
      </c>
      <c r="AN298" t="s">
        <v>5890</v>
      </c>
      <c r="AO298" t="s">
        <v>5891</v>
      </c>
      <c r="AP298" t="s">
        <v>5892</v>
      </c>
      <c r="AQ298" t="s">
        <v>74</v>
      </c>
      <c r="AR298" t="s">
        <v>5893</v>
      </c>
      <c r="AS298" t="s">
        <v>5894</v>
      </c>
      <c r="AT298" t="s">
        <v>5853</v>
      </c>
      <c r="AU298">
        <v>2012</v>
      </c>
      <c r="AV298">
        <v>108</v>
      </c>
      <c r="AW298">
        <v>13</v>
      </c>
      <c r="AX298" t="s">
        <v>74</v>
      </c>
      <c r="AY298" t="s">
        <v>74</v>
      </c>
      <c r="AZ298" t="s">
        <v>74</v>
      </c>
      <c r="BA298" t="s">
        <v>74</v>
      </c>
      <c r="BB298" t="s">
        <v>74</v>
      </c>
      <c r="BC298" t="s">
        <v>74</v>
      </c>
      <c r="BD298">
        <v>131301</v>
      </c>
      <c r="BE298" t="s">
        <v>5895</v>
      </c>
      <c r="BF298" t="str">
        <f>HYPERLINK("http://dx.doi.org/10.1103/PhysRevLett.108.131301","http://dx.doi.org/10.1103/PhysRevLett.108.131301")</f>
        <v>http://dx.doi.org/10.1103/PhysRevLett.108.131301</v>
      </c>
      <c r="BG298" t="s">
        <v>74</v>
      </c>
      <c r="BH298" t="s">
        <v>74</v>
      </c>
      <c r="BI298">
        <v>4</v>
      </c>
      <c r="BJ298" t="s">
        <v>3677</v>
      </c>
      <c r="BK298" t="s">
        <v>99</v>
      </c>
      <c r="BL298" t="s">
        <v>3678</v>
      </c>
      <c r="BM298" t="s">
        <v>5896</v>
      </c>
      <c r="BN298">
        <v>22540691</v>
      </c>
      <c r="BO298" t="s">
        <v>5252</v>
      </c>
      <c r="BP298" t="s">
        <v>74</v>
      </c>
      <c r="BQ298" t="s">
        <v>74</v>
      </c>
      <c r="BR298" t="s">
        <v>101</v>
      </c>
      <c r="BS298" t="s">
        <v>5897</v>
      </c>
      <c r="BT298" t="str">
        <f>HYPERLINK("https%3A%2F%2Fwww.webofscience.com%2Fwos%2Fwoscc%2Ffull-record%2FWOS:000302118300002","View Full Record in Web of Science")</f>
        <v>View Full Record in Web of Science</v>
      </c>
    </row>
    <row r="299" spans="1:72" x14ac:dyDescent="0.15">
      <c r="A299" t="s">
        <v>72</v>
      </c>
      <c r="B299" t="s">
        <v>5898</v>
      </c>
      <c r="C299" t="s">
        <v>74</v>
      </c>
      <c r="D299" t="s">
        <v>74</v>
      </c>
      <c r="E299" t="s">
        <v>74</v>
      </c>
      <c r="F299" t="s">
        <v>5899</v>
      </c>
      <c r="G299" t="s">
        <v>74</v>
      </c>
      <c r="H299" t="s">
        <v>74</v>
      </c>
      <c r="I299" t="s">
        <v>5900</v>
      </c>
      <c r="J299" t="s">
        <v>135</v>
      </c>
      <c r="K299" t="s">
        <v>74</v>
      </c>
      <c r="L299" t="s">
        <v>74</v>
      </c>
      <c r="M299" t="s">
        <v>78</v>
      </c>
      <c r="N299" t="s">
        <v>2225</v>
      </c>
      <c r="O299" t="s">
        <v>74</v>
      </c>
      <c r="P299" t="s">
        <v>74</v>
      </c>
      <c r="Q299" t="s">
        <v>74</v>
      </c>
      <c r="R299" t="s">
        <v>74</v>
      </c>
      <c r="S299" t="s">
        <v>74</v>
      </c>
      <c r="T299" t="s">
        <v>74</v>
      </c>
      <c r="U299" t="s">
        <v>5901</v>
      </c>
      <c r="V299" t="s">
        <v>74</v>
      </c>
      <c r="W299" t="s">
        <v>5902</v>
      </c>
      <c r="X299" t="s">
        <v>5903</v>
      </c>
      <c r="Y299" t="s">
        <v>5904</v>
      </c>
      <c r="Z299" t="s">
        <v>5905</v>
      </c>
      <c r="AA299" t="s">
        <v>5906</v>
      </c>
      <c r="AB299" t="s">
        <v>5907</v>
      </c>
      <c r="AC299" t="s">
        <v>74</v>
      </c>
      <c r="AD299" t="s">
        <v>74</v>
      </c>
      <c r="AE299" t="s">
        <v>74</v>
      </c>
      <c r="AF299" t="s">
        <v>74</v>
      </c>
      <c r="AG299">
        <v>15</v>
      </c>
      <c r="AH299">
        <v>7</v>
      </c>
      <c r="AI299">
        <v>7</v>
      </c>
      <c r="AJ299">
        <v>0</v>
      </c>
      <c r="AK299">
        <v>18</v>
      </c>
      <c r="AL299" t="s">
        <v>146</v>
      </c>
      <c r="AM299" t="s">
        <v>147</v>
      </c>
      <c r="AN299" t="s">
        <v>148</v>
      </c>
      <c r="AO299" t="s">
        <v>149</v>
      </c>
      <c r="AP299" t="s">
        <v>74</v>
      </c>
      <c r="AQ299" t="s">
        <v>74</v>
      </c>
      <c r="AR299" t="s">
        <v>135</v>
      </c>
      <c r="AS299" t="s">
        <v>151</v>
      </c>
      <c r="AT299" t="s">
        <v>5853</v>
      </c>
      <c r="AU299">
        <v>2012</v>
      </c>
      <c r="AV299">
        <v>483</v>
      </c>
      <c r="AW299">
        <v>7391</v>
      </c>
      <c r="AX299" t="s">
        <v>74</v>
      </c>
      <c r="AY299" t="s">
        <v>74</v>
      </c>
      <c r="AZ299" t="s">
        <v>74</v>
      </c>
      <c r="BA299" t="s">
        <v>74</v>
      </c>
      <c r="BB299">
        <v>549</v>
      </c>
      <c r="BC299">
        <v>550</v>
      </c>
      <c r="BD299" t="s">
        <v>74</v>
      </c>
      <c r="BE299" t="s">
        <v>5908</v>
      </c>
      <c r="BF299" t="str">
        <f>HYPERLINK("http://dx.doi.org/10.1038/483549a","http://dx.doi.org/10.1038/483549a")</f>
        <v>http://dx.doi.org/10.1038/483549a</v>
      </c>
      <c r="BG299" t="s">
        <v>74</v>
      </c>
      <c r="BH299" t="s">
        <v>74</v>
      </c>
      <c r="BI299">
        <v>2</v>
      </c>
      <c r="BJ299" t="s">
        <v>153</v>
      </c>
      <c r="BK299" t="s">
        <v>99</v>
      </c>
      <c r="BL299" t="s">
        <v>154</v>
      </c>
      <c r="BM299" t="s">
        <v>5909</v>
      </c>
      <c r="BN299">
        <v>22460897</v>
      </c>
      <c r="BO299" t="s">
        <v>74</v>
      </c>
      <c r="BP299" t="s">
        <v>74</v>
      </c>
      <c r="BQ299" t="s">
        <v>74</v>
      </c>
      <c r="BR299" t="s">
        <v>101</v>
      </c>
      <c r="BS299" t="s">
        <v>5910</v>
      </c>
      <c r="BT299" t="str">
        <f>HYPERLINK("https%3A%2F%2Fwww.webofscience.com%2Fwos%2Fwoscc%2Ffull-record%2FWOS:000302006100028","View Full Record in Web of Science")</f>
        <v>View Full Record in Web of Science</v>
      </c>
    </row>
    <row r="300" spans="1:72" x14ac:dyDescent="0.15">
      <c r="A300" t="s">
        <v>72</v>
      </c>
      <c r="B300" t="s">
        <v>5911</v>
      </c>
      <c r="C300" t="s">
        <v>74</v>
      </c>
      <c r="D300" t="s">
        <v>74</v>
      </c>
      <c r="E300" t="s">
        <v>74</v>
      </c>
      <c r="F300" t="s">
        <v>5912</v>
      </c>
      <c r="G300" t="s">
        <v>74</v>
      </c>
      <c r="H300" t="s">
        <v>74</v>
      </c>
      <c r="I300" t="s">
        <v>5913</v>
      </c>
      <c r="J300" t="s">
        <v>176</v>
      </c>
      <c r="K300" t="s">
        <v>74</v>
      </c>
      <c r="L300" t="s">
        <v>74</v>
      </c>
      <c r="M300" t="s">
        <v>78</v>
      </c>
      <c r="N300" t="s">
        <v>79</v>
      </c>
      <c r="O300" t="s">
        <v>74</v>
      </c>
      <c r="P300" t="s">
        <v>74</v>
      </c>
      <c r="Q300" t="s">
        <v>74</v>
      </c>
      <c r="R300" t="s">
        <v>74</v>
      </c>
      <c r="S300" t="s">
        <v>74</v>
      </c>
      <c r="T300" t="s">
        <v>74</v>
      </c>
      <c r="U300" t="s">
        <v>5914</v>
      </c>
      <c r="V300" t="s">
        <v>5915</v>
      </c>
      <c r="W300" t="s">
        <v>5916</v>
      </c>
      <c r="X300" t="s">
        <v>5917</v>
      </c>
      <c r="Y300" t="s">
        <v>5918</v>
      </c>
      <c r="Z300" t="s">
        <v>5919</v>
      </c>
      <c r="AA300" t="s">
        <v>5920</v>
      </c>
      <c r="AB300" t="s">
        <v>5921</v>
      </c>
      <c r="AC300" t="s">
        <v>5922</v>
      </c>
      <c r="AD300" t="s">
        <v>5923</v>
      </c>
      <c r="AE300" t="s">
        <v>5924</v>
      </c>
      <c r="AF300" t="s">
        <v>74</v>
      </c>
      <c r="AG300">
        <v>36</v>
      </c>
      <c r="AH300">
        <v>63</v>
      </c>
      <c r="AI300">
        <v>70</v>
      </c>
      <c r="AJ300">
        <v>0</v>
      </c>
      <c r="AK300">
        <v>32</v>
      </c>
      <c r="AL300" t="s">
        <v>118</v>
      </c>
      <c r="AM300" t="s">
        <v>119</v>
      </c>
      <c r="AN300" t="s">
        <v>120</v>
      </c>
      <c r="AO300" t="s">
        <v>187</v>
      </c>
      <c r="AP300" t="s">
        <v>74</v>
      </c>
      <c r="AQ300" t="s">
        <v>74</v>
      </c>
      <c r="AR300" t="s">
        <v>189</v>
      </c>
      <c r="AS300" t="s">
        <v>190</v>
      </c>
      <c r="AT300" t="s">
        <v>5925</v>
      </c>
      <c r="AU300">
        <v>2012</v>
      </c>
      <c r="AV300">
        <v>39</v>
      </c>
      <c r="AW300" t="s">
        <v>74</v>
      </c>
      <c r="AX300" t="s">
        <v>74</v>
      </c>
      <c r="AY300" t="s">
        <v>74</v>
      </c>
      <c r="AZ300" t="s">
        <v>74</v>
      </c>
      <c r="BA300" t="s">
        <v>74</v>
      </c>
      <c r="BB300" t="s">
        <v>74</v>
      </c>
      <c r="BC300" t="s">
        <v>74</v>
      </c>
      <c r="BD300" t="s">
        <v>5926</v>
      </c>
      <c r="BE300" t="s">
        <v>5927</v>
      </c>
      <c r="BF300" t="str">
        <f>HYPERLINK("http://dx.doi.org/10.1029/2012GL051157","http://dx.doi.org/10.1029/2012GL051157")</f>
        <v>http://dx.doi.org/10.1029/2012GL051157</v>
      </c>
      <c r="BG300" t="s">
        <v>74</v>
      </c>
      <c r="BH300" t="s">
        <v>74</v>
      </c>
      <c r="BI300">
        <v>6</v>
      </c>
      <c r="BJ300" t="s">
        <v>194</v>
      </c>
      <c r="BK300" t="s">
        <v>99</v>
      </c>
      <c r="BL300" t="s">
        <v>195</v>
      </c>
      <c r="BM300" t="s">
        <v>5928</v>
      </c>
      <c r="BN300" t="s">
        <v>74</v>
      </c>
      <c r="BO300" t="s">
        <v>308</v>
      </c>
      <c r="BP300" t="s">
        <v>74</v>
      </c>
      <c r="BQ300" t="s">
        <v>74</v>
      </c>
      <c r="BR300" t="s">
        <v>101</v>
      </c>
      <c r="BS300" t="s">
        <v>5929</v>
      </c>
      <c r="BT300" t="str">
        <f>HYPERLINK("https%3A%2F%2Fwww.webofscience.com%2Fwos%2Fwoscc%2Ffull-record%2FWOS:000302235000004","View Full Record in Web of Science")</f>
        <v>View Full Record in Web of Science</v>
      </c>
    </row>
    <row r="301" spans="1:72" x14ac:dyDescent="0.15">
      <c r="A301" t="s">
        <v>72</v>
      </c>
      <c r="B301" t="s">
        <v>5930</v>
      </c>
      <c r="C301" t="s">
        <v>74</v>
      </c>
      <c r="D301" t="s">
        <v>74</v>
      </c>
      <c r="E301" t="s">
        <v>74</v>
      </c>
      <c r="F301" t="s">
        <v>5931</v>
      </c>
      <c r="G301" t="s">
        <v>74</v>
      </c>
      <c r="H301" t="s">
        <v>74</v>
      </c>
      <c r="I301" t="s">
        <v>5932</v>
      </c>
      <c r="J301" t="s">
        <v>106</v>
      </c>
      <c r="K301" t="s">
        <v>74</v>
      </c>
      <c r="L301" t="s">
        <v>74</v>
      </c>
      <c r="M301" t="s">
        <v>78</v>
      </c>
      <c r="N301" t="s">
        <v>79</v>
      </c>
      <c r="O301" t="s">
        <v>74</v>
      </c>
      <c r="P301" t="s">
        <v>74</v>
      </c>
      <c r="Q301" t="s">
        <v>74</v>
      </c>
      <c r="R301" t="s">
        <v>74</v>
      </c>
      <c r="S301" t="s">
        <v>74</v>
      </c>
      <c r="T301" t="s">
        <v>74</v>
      </c>
      <c r="U301" t="s">
        <v>5933</v>
      </c>
      <c r="V301" t="s">
        <v>5934</v>
      </c>
      <c r="W301" t="s">
        <v>5935</v>
      </c>
      <c r="X301" t="s">
        <v>5936</v>
      </c>
      <c r="Y301" t="s">
        <v>5937</v>
      </c>
      <c r="Z301" t="s">
        <v>5938</v>
      </c>
      <c r="AA301" t="s">
        <v>5939</v>
      </c>
      <c r="AB301" t="s">
        <v>5940</v>
      </c>
      <c r="AC301" t="s">
        <v>5941</v>
      </c>
      <c r="AD301" t="s">
        <v>5942</v>
      </c>
      <c r="AE301" t="s">
        <v>5943</v>
      </c>
      <c r="AF301" t="s">
        <v>74</v>
      </c>
      <c r="AG301">
        <v>59</v>
      </c>
      <c r="AH301">
        <v>28</v>
      </c>
      <c r="AI301">
        <v>29</v>
      </c>
      <c r="AJ301">
        <v>3</v>
      </c>
      <c r="AK301">
        <v>40</v>
      </c>
      <c r="AL301" t="s">
        <v>118</v>
      </c>
      <c r="AM301" t="s">
        <v>119</v>
      </c>
      <c r="AN301" t="s">
        <v>120</v>
      </c>
      <c r="AO301" t="s">
        <v>121</v>
      </c>
      <c r="AP301" t="s">
        <v>74</v>
      </c>
      <c r="AQ301" t="s">
        <v>74</v>
      </c>
      <c r="AR301" t="s">
        <v>123</v>
      </c>
      <c r="AS301" t="s">
        <v>124</v>
      </c>
      <c r="AT301" t="s">
        <v>5944</v>
      </c>
      <c r="AU301">
        <v>2012</v>
      </c>
      <c r="AV301">
        <v>117</v>
      </c>
      <c r="AW301" t="s">
        <v>74</v>
      </c>
      <c r="AX301" t="s">
        <v>74</v>
      </c>
      <c r="AY301" t="s">
        <v>74</v>
      </c>
      <c r="AZ301" t="s">
        <v>74</v>
      </c>
      <c r="BA301" t="s">
        <v>74</v>
      </c>
      <c r="BB301" t="s">
        <v>74</v>
      </c>
      <c r="BC301" t="s">
        <v>74</v>
      </c>
      <c r="BD301" t="s">
        <v>5945</v>
      </c>
      <c r="BE301" t="s">
        <v>5946</v>
      </c>
      <c r="BF301" t="str">
        <f>HYPERLINK("http://dx.doi.org/10.1029/2011JD017102","http://dx.doi.org/10.1029/2011JD017102")</f>
        <v>http://dx.doi.org/10.1029/2011JD017102</v>
      </c>
      <c r="BG301" t="s">
        <v>74</v>
      </c>
      <c r="BH301" t="s">
        <v>74</v>
      </c>
      <c r="BI301">
        <v>15</v>
      </c>
      <c r="BJ301" t="s">
        <v>128</v>
      </c>
      <c r="BK301" t="s">
        <v>99</v>
      </c>
      <c r="BL301" t="s">
        <v>128</v>
      </c>
      <c r="BM301" t="s">
        <v>5947</v>
      </c>
      <c r="BN301" t="s">
        <v>74</v>
      </c>
      <c r="BO301" t="s">
        <v>308</v>
      </c>
      <c r="BP301" t="s">
        <v>74</v>
      </c>
      <c r="BQ301" t="s">
        <v>74</v>
      </c>
      <c r="BR301" t="s">
        <v>101</v>
      </c>
      <c r="BS301" t="s">
        <v>5948</v>
      </c>
      <c r="BT301" t="str">
        <f>HYPERLINK("https%3A%2F%2Fwww.webofscience.com%2Fwos%2Fwoscc%2Ffull-record%2FWOS:000302236500007","View Full Record in Web of Science")</f>
        <v>View Full Record in Web of Science</v>
      </c>
    </row>
    <row r="302" spans="1:72" x14ac:dyDescent="0.15">
      <c r="A302" t="s">
        <v>72</v>
      </c>
      <c r="B302" t="s">
        <v>5949</v>
      </c>
      <c r="C302" t="s">
        <v>74</v>
      </c>
      <c r="D302" t="s">
        <v>74</v>
      </c>
      <c r="E302" t="s">
        <v>74</v>
      </c>
      <c r="F302" t="s">
        <v>5950</v>
      </c>
      <c r="G302" t="s">
        <v>74</v>
      </c>
      <c r="H302" t="s">
        <v>74</v>
      </c>
      <c r="I302" t="s">
        <v>5951</v>
      </c>
      <c r="J302" t="s">
        <v>176</v>
      </c>
      <c r="K302" t="s">
        <v>74</v>
      </c>
      <c r="L302" t="s">
        <v>74</v>
      </c>
      <c r="M302" t="s">
        <v>78</v>
      </c>
      <c r="N302" t="s">
        <v>79</v>
      </c>
      <c r="O302" t="s">
        <v>74</v>
      </c>
      <c r="P302" t="s">
        <v>74</v>
      </c>
      <c r="Q302" t="s">
        <v>74</v>
      </c>
      <c r="R302" t="s">
        <v>74</v>
      </c>
      <c r="S302" t="s">
        <v>74</v>
      </c>
      <c r="T302" t="s">
        <v>74</v>
      </c>
      <c r="U302" t="s">
        <v>5952</v>
      </c>
      <c r="V302" t="s">
        <v>5953</v>
      </c>
      <c r="W302" t="s">
        <v>5954</v>
      </c>
      <c r="X302" t="s">
        <v>205</v>
      </c>
      <c r="Y302" t="s">
        <v>5955</v>
      </c>
      <c r="Z302" t="s">
        <v>5956</v>
      </c>
      <c r="AA302" t="s">
        <v>5957</v>
      </c>
      <c r="AB302" t="s">
        <v>5958</v>
      </c>
      <c r="AC302" t="s">
        <v>74</v>
      </c>
      <c r="AD302" t="s">
        <v>74</v>
      </c>
      <c r="AE302" t="s">
        <v>74</v>
      </c>
      <c r="AF302" t="s">
        <v>74</v>
      </c>
      <c r="AG302">
        <v>19</v>
      </c>
      <c r="AH302">
        <v>23</v>
      </c>
      <c r="AI302">
        <v>23</v>
      </c>
      <c r="AJ302">
        <v>0</v>
      </c>
      <c r="AK302">
        <v>9</v>
      </c>
      <c r="AL302" t="s">
        <v>118</v>
      </c>
      <c r="AM302" t="s">
        <v>119</v>
      </c>
      <c r="AN302" t="s">
        <v>120</v>
      </c>
      <c r="AO302" t="s">
        <v>187</v>
      </c>
      <c r="AP302" t="s">
        <v>188</v>
      </c>
      <c r="AQ302" t="s">
        <v>74</v>
      </c>
      <c r="AR302" t="s">
        <v>189</v>
      </c>
      <c r="AS302" t="s">
        <v>190</v>
      </c>
      <c r="AT302" t="s">
        <v>5944</v>
      </c>
      <c r="AU302">
        <v>2012</v>
      </c>
      <c r="AV302">
        <v>39</v>
      </c>
      <c r="AW302" t="s">
        <v>74</v>
      </c>
      <c r="AX302" t="s">
        <v>74</v>
      </c>
      <c r="AY302" t="s">
        <v>74</v>
      </c>
      <c r="AZ302" t="s">
        <v>74</v>
      </c>
      <c r="BA302" t="s">
        <v>74</v>
      </c>
      <c r="BB302" t="s">
        <v>74</v>
      </c>
      <c r="BC302" t="s">
        <v>74</v>
      </c>
      <c r="BD302" t="s">
        <v>5959</v>
      </c>
      <c r="BE302" t="s">
        <v>5960</v>
      </c>
      <c r="BF302" t="str">
        <f>HYPERLINK("http://dx.doi.org/10.1029/2012GL051198","http://dx.doi.org/10.1029/2012GL051198")</f>
        <v>http://dx.doi.org/10.1029/2012GL051198</v>
      </c>
      <c r="BG302" t="s">
        <v>74</v>
      </c>
      <c r="BH302" t="s">
        <v>74</v>
      </c>
      <c r="BI302">
        <v>5</v>
      </c>
      <c r="BJ302" t="s">
        <v>194</v>
      </c>
      <c r="BK302" t="s">
        <v>99</v>
      </c>
      <c r="BL302" t="s">
        <v>195</v>
      </c>
      <c r="BM302" t="s">
        <v>5961</v>
      </c>
      <c r="BN302" t="s">
        <v>74</v>
      </c>
      <c r="BO302" t="s">
        <v>822</v>
      </c>
      <c r="BP302" t="s">
        <v>74</v>
      </c>
      <c r="BQ302" t="s">
        <v>74</v>
      </c>
      <c r="BR302" t="s">
        <v>101</v>
      </c>
      <c r="BS302" t="s">
        <v>5962</v>
      </c>
      <c r="BT302" t="str">
        <f>HYPERLINK("https%3A%2F%2Fwww.webofscience.com%2Fwos%2Fwoscc%2Ffull-record%2FWOS:000302234900004","View Full Record in Web of Science")</f>
        <v>View Full Record in Web of Science</v>
      </c>
    </row>
    <row r="303" spans="1:72" x14ac:dyDescent="0.15">
      <c r="A303" t="s">
        <v>72</v>
      </c>
      <c r="B303" t="s">
        <v>5963</v>
      </c>
      <c r="C303" t="s">
        <v>74</v>
      </c>
      <c r="D303" t="s">
        <v>74</v>
      </c>
      <c r="E303" t="s">
        <v>74</v>
      </c>
      <c r="F303" t="s">
        <v>5964</v>
      </c>
      <c r="G303" t="s">
        <v>74</v>
      </c>
      <c r="H303" t="s">
        <v>74</v>
      </c>
      <c r="I303" t="s">
        <v>5965</v>
      </c>
      <c r="J303" t="s">
        <v>5966</v>
      </c>
      <c r="K303" t="s">
        <v>74</v>
      </c>
      <c r="L303" t="s">
        <v>74</v>
      </c>
      <c r="M303" t="s">
        <v>78</v>
      </c>
      <c r="N303" t="s">
        <v>79</v>
      </c>
      <c r="O303" t="s">
        <v>74</v>
      </c>
      <c r="P303" t="s">
        <v>74</v>
      </c>
      <c r="Q303" t="s">
        <v>74</v>
      </c>
      <c r="R303" t="s">
        <v>74</v>
      </c>
      <c r="S303" t="s">
        <v>74</v>
      </c>
      <c r="T303" t="s">
        <v>74</v>
      </c>
      <c r="U303" t="s">
        <v>5967</v>
      </c>
      <c r="V303" t="s">
        <v>5968</v>
      </c>
      <c r="W303" t="s">
        <v>5969</v>
      </c>
      <c r="X303" t="s">
        <v>5970</v>
      </c>
      <c r="Y303" t="s">
        <v>5971</v>
      </c>
      <c r="Z303" t="s">
        <v>74</v>
      </c>
      <c r="AA303" t="s">
        <v>5972</v>
      </c>
      <c r="AB303" t="s">
        <v>5973</v>
      </c>
      <c r="AC303" t="s">
        <v>5974</v>
      </c>
      <c r="AD303" t="s">
        <v>5975</v>
      </c>
      <c r="AE303" t="s">
        <v>5976</v>
      </c>
      <c r="AF303" t="s">
        <v>74</v>
      </c>
      <c r="AG303">
        <v>62</v>
      </c>
      <c r="AH303">
        <v>57</v>
      </c>
      <c r="AI303">
        <v>68</v>
      </c>
      <c r="AJ303">
        <v>0</v>
      </c>
      <c r="AK303">
        <v>3</v>
      </c>
      <c r="AL303" t="s">
        <v>5888</v>
      </c>
      <c r="AM303" t="s">
        <v>5889</v>
      </c>
      <c r="AN303" t="s">
        <v>5890</v>
      </c>
      <c r="AO303" t="s">
        <v>5977</v>
      </c>
      <c r="AP303" t="s">
        <v>5978</v>
      </c>
      <c r="AQ303" t="s">
        <v>74</v>
      </c>
      <c r="AR303" t="s">
        <v>5979</v>
      </c>
      <c r="AS303" t="s">
        <v>5980</v>
      </c>
      <c r="AT303" t="s">
        <v>5944</v>
      </c>
      <c r="AU303">
        <v>2012</v>
      </c>
      <c r="AV303">
        <v>85</v>
      </c>
      <c r="AW303">
        <v>6</v>
      </c>
      <c r="AX303" t="s">
        <v>74</v>
      </c>
      <c r="AY303" t="s">
        <v>74</v>
      </c>
      <c r="AZ303" t="s">
        <v>74</v>
      </c>
      <c r="BA303" t="s">
        <v>74</v>
      </c>
      <c r="BB303" t="s">
        <v>74</v>
      </c>
      <c r="BC303" t="s">
        <v>74</v>
      </c>
      <c r="BD303">
        <v>62004</v>
      </c>
      <c r="BE303" t="s">
        <v>5981</v>
      </c>
      <c r="BF303" t="str">
        <f>HYPERLINK("http://dx.doi.org/10.1103/PhysRevD.85.062004","http://dx.doi.org/10.1103/PhysRevD.85.062004")</f>
        <v>http://dx.doi.org/10.1103/PhysRevD.85.062004</v>
      </c>
      <c r="BG303" t="s">
        <v>74</v>
      </c>
      <c r="BH303" t="s">
        <v>74</v>
      </c>
      <c r="BI303">
        <v>14</v>
      </c>
      <c r="BJ303" t="s">
        <v>5982</v>
      </c>
      <c r="BK303" t="s">
        <v>99</v>
      </c>
      <c r="BL303" t="s">
        <v>5983</v>
      </c>
      <c r="BM303" t="s">
        <v>5984</v>
      </c>
      <c r="BN303" t="s">
        <v>74</v>
      </c>
      <c r="BO303" t="s">
        <v>5985</v>
      </c>
      <c r="BP303" t="s">
        <v>74</v>
      </c>
      <c r="BQ303" t="s">
        <v>74</v>
      </c>
      <c r="BR303" t="s">
        <v>101</v>
      </c>
      <c r="BS303" t="s">
        <v>5986</v>
      </c>
      <c r="BT303" t="str">
        <f>HYPERLINK("https%3A%2F%2Fwww.webofscience.com%2Fwos%2Fwoscc%2Ffull-record%2FWOS:000301973600001","View Full Record in Web of Science")</f>
        <v>View Full Record in Web of Science</v>
      </c>
    </row>
    <row r="304" spans="1:72" x14ac:dyDescent="0.15">
      <c r="A304" t="s">
        <v>72</v>
      </c>
      <c r="B304" t="s">
        <v>5987</v>
      </c>
      <c r="C304" t="s">
        <v>74</v>
      </c>
      <c r="D304" t="s">
        <v>74</v>
      </c>
      <c r="E304" t="s">
        <v>74</v>
      </c>
      <c r="F304" t="s">
        <v>5988</v>
      </c>
      <c r="G304" t="s">
        <v>74</v>
      </c>
      <c r="H304" t="s">
        <v>74</v>
      </c>
      <c r="I304" t="s">
        <v>5989</v>
      </c>
      <c r="J304" t="s">
        <v>502</v>
      </c>
      <c r="K304" t="s">
        <v>74</v>
      </c>
      <c r="L304" t="s">
        <v>74</v>
      </c>
      <c r="M304" t="s">
        <v>78</v>
      </c>
      <c r="N304" t="s">
        <v>79</v>
      </c>
      <c r="O304" t="s">
        <v>74</v>
      </c>
      <c r="P304" t="s">
        <v>74</v>
      </c>
      <c r="Q304" t="s">
        <v>74</v>
      </c>
      <c r="R304" t="s">
        <v>74</v>
      </c>
      <c r="S304" t="s">
        <v>74</v>
      </c>
      <c r="T304" t="s">
        <v>74</v>
      </c>
      <c r="U304" t="s">
        <v>5990</v>
      </c>
      <c r="V304" t="s">
        <v>5991</v>
      </c>
      <c r="W304" t="s">
        <v>5992</v>
      </c>
      <c r="X304" t="s">
        <v>5993</v>
      </c>
      <c r="Y304" t="s">
        <v>5994</v>
      </c>
      <c r="Z304" t="s">
        <v>5995</v>
      </c>
      <c r="AA304" t="s">
        <v>5996</v>
      </c>
      <c r="AB304" t="s">
        <v>5997</v>
      </c>
      <c r="AC304" t="s">
        <v>5998</v>
      </c>
      <c r="AD304" t="s">
        <v>5998</v>
      </c>
      <c r="AE304" t="s">
        <v>5999</v>
      </c>
      <c r="AF304" t="s">
        <v>74</v>
      </c>
      <c r="AG304">
        <v>129</v>
      </c>
      <c r="AH304">
        <v>23</v>
      </c>
      <c r="AI304">
        <v>24</v>
      </c>
      <c r="AJ304">
        <v>0</v>
      </c>
      <c r="AK304">
        <v>26</v>
      </c>
      <c r="AL304" t="s">
        <v>513</v>
      </c>
      <c r="AM304" t="s">
        <v>514</v>
      </c>
      <c r="AN304" t="s">
        <v>515</v>
      </c>
      <c r="AO304" t="s">
        <v>516</v>
      </c>
      <c r="AP304" t="s">
        <v>74</v>
      </c>
      <c r="AQ304" t="s">
        <v>74</v>
      </c>
      <c r="AR304" t="s">
        <v>502</v>
      </c>
      <c r="AS304" t="s">
        <v>517</v>
      </c>
      <c r="AT304" t="s">
        <v>5944</v>
      </c>
      <c r="AU304">
        <v>2012</v>
      </c>
      <c r="AV304">
        <v>7</v>
      </c>
      <c r="AW304">
        <v>3</v>
      </c>
      <c r="AX304" t="s">
        <v>74</v>
      </c>
      <c r="AY304" t="s">
        <v>74</v>
      </c>
      <c r="AZ304" t="s">
        <v>74</v>
      </c>
      <c r="BA304" t="s">
        <v>74</v>
      </c>
      <c r="BB304" t="s">
        <v>74</v>
      </c>
      <c r="BC304" t="s">
        <v>74</v>
      </c>
      <c r="BD304" t="s">
        <v>6000</v>
      </c>
      <c r="BE304" t="s">
        <v>6001</v>
      </c>
      <c r="BF304" t="str">
        <f>HYPERLINK("http://dx.doi.org/10.1371/journal.pone.0034363","http://dx.doi.org/10.1371/journal.pone.0034363")</f>
        <v>http://dx.doi.org/10.1371/journal.pone.0034363</v>
      </c>
      <c r="BG304" t="s">
        <v>74</v>
      </c>
      <c r="BH304" t="s">
        <v>74</v>
      </c>
      <c r="BI304">
        <v>10</v>
      </c>
      <c r="BJ304" t="s">
        <v>153</v>
      </c>
      <c r="BK304" t="s">
        <v>99</v>
      </c>
      <c r="BL304" t="s">
        <v>154</v>
      </c>
      <c r="BM304" t="s">
        <v>6002</v>
      </c>
      <c r="BN304">
        <v>22479613</v>
      </c>
      <c r="BO304" t="s">
        <v>3187</v>
      </c>
      <c r="BP304" t="s">
        <v>74</v>
      </c>
      <c r="BQ304" t="s">
        <v>74</v>
      </c>
      <c r="BR304" t="s">
        <v>101</v>
      </c>
      <c r="BS304" t="s">
        <v>6003</v>
      </c>
      <c r="BT304" t="str">
        <f>HYPERLINK("https%3A%2F%2Fwww.webofscience.com%2Fwos%2Fwoscc%2Ffull-record%2FWOS:000303894900085","View Full Record in Web of Science")</f>
        <v>View Full Record in Web of Science</v>
      </c>
    </row>
    <row r="305" spans="1:72" x14ac:dyDescent="0.15">
      <c r="A305" t="s">
        <v>72</v>
      </c>
      <c r="B305" t="s">
        <v>6004</v>
      </c>
      <c r="C305" t="s">
        <v>74</v>
      </c>
      <c r="D305" t="s">
        <v>74</v>
      </c>
      <c r="E305" t="s">
        <v>74</v>
      </c>
      <c r="F305" t="s">
        <v>6005</v>
      </c>
      <c r="G305" t="s">
        <v>74</v>
      </c>
      <c r="H305" t="s">
        <v>74</v>
      </c>
      <c r="I305" t="s">
        <v>6006</v>
      </c>
      <c r="J305" t="s">
        <v>239</v>
      </c>
      <c r="K305" t="s">
        <v>74</v>
      </c>
      <c r="L305" t="s">
        <v>74</v>
      </c>
      <c r="M305" t="s">
        <v>78</v>
      </c>
      <c r="N305" t="s">
        <v>79</v>
      </c>
      <c r="O305" t="s">
        <v>74</v>
      </c>
      <c r="P305" t="s">
        <v>74</v>
      </c>
      <c r="Q305" t="s">
        <v>74</v>
      </c>
      <c r="R305" t="s">
        <v>74</v>
      </c>
      <c r="S305" t="s">
        <v>74</v>
      </c>
      <c r="T305" t="s">
        <v>6007</v>
      </c>
      <c r="U305" t="s">
        <v>6008</v>
      </c>
      <c r="V305" t="s">
        <v>6009</v>
      </c>
      <c r="W305" t="s">
        <v>6010</v>
      </c>
      <c r="X305" t="s">
        <v>6011</v>
      </c>
      <c r="Y305" t="s">
        <v>6012</v>
      </c>
      <c r="Z305" t="s">
        <v>6013</v>
      </c>
      <c r="AA305" t="s">
        <v>6014</v>
      </c>
      <c r="AB305" t="s">
        <v>6015</v>
      </c>
      <c r="AC305" t="s">
        <v>6016</v>
      </c>
      <c r="AD305" t="s">
        <v>6017</v>
      </c>
      <c r="AE305" t="s">
        <v>6018</v>
      </c>
      <c r="AF305" t="s">
        <v>74</v>
      </c>
      <c r="AG305">
        <v>55</v>
      </c>
      <c r="AH305">
        <v>238</v>
      </c>
      <c r="AI305">
        <v>256</v>
      </c>
      <c r="AJ305">
        <v>6</v>
      </c>
      <c r="AK305">
        <v>178</v>
      </c>
      <c r="AL305" t="s">
        <v>252</v>
      </c>
      <c r="AM305" t="s">
        <v>119</v>
      </c>
      <c r="AN305" t="s">
        <v>253</v>
      </c>
      <c r="AO305" t="s">
        <v>254</v>
      </c>
      <c r="AP305" t="s">
        <v>74</v>
      </c>
      <c r="AQ305" t="s">
        <v>74</v>
      </c>
      <c r="AR305" t="s">
        <v>255</v>
      </c>
      <c r="AS305" t="s">
        <v>256</v>
      </c>
      <c r="AT305" t="s">
        <v>5944</v>
      </c>
      <c r="AU305">
        <v>2012</v>
      </c>
      <c r="AV305">
        <v>109</v>
      </c>
      <c r="AW305">
        <v>13</v>
      </c>
      <c r="AX305" t="s">
        <v>74</v>
      </c>
      <c r="AY305" t="s">
        <v>74</v>
      </c>
      <c r="AZ305" t="s">
        <v>74</v>
      </c>
      <c r="BA305" t="s">
        <v>74</v>
      </c>
      <c r="BB305">
        <v>4938</v>
      </c>
      <c r="BC305">
        <v>4943</v>
      </c>
      <c r="BD305" t="s">
        <v>74</v>
      </c>
      <c r="BE305" t="s">
        <v>6019</v>
      </c>
      <c r="BF305" t="str">
        <f>HYPERLINK("http://dx.doi.org/10.1073/pnas.1119787109","http://dx.doi.org/10.1073/pnas.1119787109")</f>
        <v>http://dx.doi.org/10.1073/pnas.1119787109</v>
      </c>
      <c r="BG305" t="s">
        <v>74</v>
      </c>
      <c r="BH305" t="s">
        <v>74</v>
      </c>
      <c r="BI305">
        <v>6</v>
      </c>
      <c r="BJ305" t="s">
        <v>153</v>
      </c>
      <c r="BK305" t="s">
        <v>99</v>
      </c>
      <c r="BL305" t="s">
        <v>154</v>
      </c>
      <c r="BM305" t="s">
        <v>6020</v>
      </c>
      <c r="BN305">
        <v>22393003</v>
      </c>
      <c r="BO305" t="s">
        <v>854</v>
      </c>
      <c r="BP305" t="s">
        <v>74</v>
      </c>
      <c r="BQ305" t="s">
        <v>74</v>
      </c>
      <c r="BR305" t="s">
        <v>101</v>
      </c>
      <c r="BS305" t="s">
        <v>6021</v>
      </c>
      <c r="BT305" t="str">
        <f>HYPERLINK("https%3A%2F%2Fwww.webofscience.com%2Fwos%2Fwoscc%2Ffull-record%2FWOS:000302164200049","View Full Record in Web of Science")</f>
        <v>View Full Record in Web of Science</v>
      </c>
    </row>
    <row r="306" spans="1:72" x14ac:dyDescent="0.15">
      <c r="A306" t="s">
        <v>72</v>
      </c>
      <c r="B306" t="s">
        <v>6022</v>
      </c>
      <c r="C306" t="s">
        <v>74</v>
      </c>
      <c r="D306" t="s">
        <v>74</v>
      </c>
      <c r="E306" t="s">
        <v>74</v>
      </c>
      <c r="F306" t="s">
        <v>6023</v>
      </c>
      <c r="G306" t="s">
        <v>74</v>
      </c>
      <c r="H306" t="s">
        <v>74</v>
      </c>
      <c r="I306" t="s">
        <v>6024</v>
      </c>
      <c r="J306" t="s">
        <v>6025</v>
      </c>
      <c r="K306" t="s">
        <v>74</v>
      </c>
      <c r="L306" t="s">
        <v>74</v>
      </c>
      <c r="M306" t="s">
        <v>78</v>
      </c>
      <c r="N306" t="s">
        <v>79</v>
      </c>
      <c r="O306" t="s">
        <v>74</v>
      </c>
      <c r="P306" t="s">
        <v>74</v>
      </c>
      <c r="Q306" t="s">
        <v>74</v>
      </c>
      <c r="R306" t="s">
        <v>74</v>
      </c>
      <c r="S306" t="s">
        <v>74</v>
      </c>
      <c r="T306" t="s">
        <v>6026</v>
      </c>
      <c r="U306" t="s">
        <v>6027</v>
      </c>
      <c r="V306" t="s">
        <v>6028</v>
      </c>
      <c r="W306" t="s">
        <v>6029</v>
      </c>
      <c r="X306" t="s">
        <v>6030</v>
      </c>
      <c r="Y306" t="s">
        <v>6031</v>
      </c>
      <c r="Z306" t="s">
        <v>6032</v>
      </c>
      <c r="AA306" t="s">
        <v>6033</v>
      </c>
      <c r="AB306" t="s">
        <v>6034</v>
      </c>
      <c r="AC306" t="s">
        <v>6035</v>
      </c>
      <c r="AD306" t="s">
        <v>6036</v>
      </c>
      <c r="AE306" t="s">
        <v>6037</v>
      </c>
      <c r="AF306" t="s">
        <v>74</v>
      </c>
      <c r="AG306">
        <v>28</v>
      </c>
      <c r="AH306">
        <v>9</v>
      </c>
      <c r="AI306">
        <v>10</v>
      </c>
      <c r="AJ306">
        <v>0</v>
      </c>
      <c r="AK306">
        <v>6</v>
      </c>
      <c r="AL306" t="s">
        <v>3556</v>
      </c>
      <c r="AM306" t="s">
        <v>3557</v>
      </c>
      <c r="AN306" t="s">
        <v>3558</v>
      </c>
      <c r="AO306" t="s">
        <v>6038</v>
      </c>
      <c r="AP306" t="s">
        <v>74</v>
      </c>
      <c r="AQ306" t="s">
        <v>74</v>
      </c>
      <c r="AR306" t="s">
        <v>6039</v>
      </c>
      <c r="AS306" t="s">
        <v>6040</v>
      </c>
      <c r="AT306" t="s">
        <v>6041</v>
      </c>
      <c r="AU306">
        <v>2012</v>
      </c>
      <c r="AV306">
        <v>102</v>
      </c>
      <c r="AW306">
        <v>6</v>
      </c>
      <c r="AX306" t="s">
        <v>74</v>
      </c>
      <c r="AY306" t="s">
        <v>74</v>
      </c>
      <c r="AZ306" t="s">
        <v>74</v>
      </c>
      <c r="BA306" t="s">
        <v>74</v>
      </c>
      <c r="BB306">
        <v>899</v>
      </c>
      <c r="BC306">
        <v>903</v>
      </c>
      <c r="BD306" t="s">
        <v>74</v>
      </c>
      <c r="BE306" t="s">
        <v>74</v>
      </c>
      <c r="BF306" t="s">
        <v>74</v>
      </c>
      <c r="BG306" t="s">
        <v>74</v>
      </c>
      <c r="BH306" t="s">
        <v>74</v>
      </c>
      <c r="BI306">
        <v>5</v>
      </c>
      <c r="BJ306" t="s">
        <v>153</v>
      </c>
      <c r="BK306" t="s">
        <v>99</v>
      </c>
      <c r="BL306" t="s">
        <v>154</v>
      </c>
      <c r="BM306" t="s">
        <v>6042</v>
      </c>
      <c r="BN306" t="s">
        <v>74</v>
      </c>
      <c r="BO306" t="s">
        <v>74</v>
      </c>
      <c r="BP306" t="s">
        <v>74</v>
      </c>
      <c r="BQ306" t="s">
        <v>74</v>
      </c>
      <c r="BR306" t="s">
        <v>101</v>
      </c>
      <c r="BS306" t="s">
        <v>6043</v>
      </c>
      <c r="BT306" t="str">
        <f>HYPERLINK("https%3A%2F%2Fwww.webofscience.com%2Fwos%2Fwoscc%2Ffull-record%2FWOS:000302386000021","View Full Record in Web of Science")</f>
        <v>View Full Record in Web of Science</v>
      </c>
    </row>
    <row r="307" spans="1:72" x14ac:dyDescent="0.15">
      <c r="A307" t="s">
        <v>72</v>
      </c>
      <c r="B307" t="s">
        <v>6044</v>
      </c>
      <c r="C307" t="s">
        <v>74</v>
      </c>
      <c r="D307" t="s">
        <v>74</v>
      </c>
      <c r="E307" t="s">
        <v>74</v>
      </c>
      <c r="F307" t="s">
        <v>6045</v>
      </c>
      <c r="G307" t="s">
        <v>74</v>
      </c>
      <c r="H307" t="s">
        <v>74</v>
      </c>
      <c r="I307" t="s">
        <v>6046</v>
      </c>
      <c r="J307" t="s">
        <v>176</v>
      </c>
      <c r="K307" t="s">
        <v>74</v>
      </c>
      <c r="L307" t="s">
        <v>74</v>
      </c>
      <c r="M307" t="s">
        <v>78</v>
      </c>
      <c r="N307" t="s">
        <v>79</v>
      </c>
      <c r="O307" t="s">
        <v>74</v>
      </c>
      <c r="P307" t="s">
        <v>74</v>
      </c>
      <c r="Q307" t="s">
        <v>74</v>
      </c>
      <c r="R307" t="s">
        <v>74</v>
      </c>
      <c r="S307" t="s">
        <v>74</v>
      </c>
      <c r="T307" t="s">
        <v>74</v>
      </c>
      <c r="U307" t="s">
        <v>6047</v>
      </c>
      <c r="V307" t="s">
        <v>6048</v>
      </c>
      <c r="W307" t="s">
        <v>6049</v>
      </c>
      <c r="X307" t="s">
        <v>6050</v>
      </c>
      <c r="Y307" t="s">
        <v>6051</v>
      </c>
      <c r="Z307" t="s">
        <v>6052</v>
      </c>
      <c r="AA307" t="s">
        <v>6053</v>
      </c>
      <c r="AB307" t="s">
        <v>6054</v>
      </c>
      <c r="AC307" t="s">
        <v>6055</v>
      </c>
      <c r="AD307" t="s">
        <v>6056</v>
      </c>
      <c r="AE307" t="s">
        <v>6057</v>
      </c>
      <c r="AF307" t="s">
        <v>74</v>
      </c>
      <c r="AG307">
        <v>44</v>
      </c>
      <c r="AH307">
        <v>4</v>
      </c>
      <c r="AI307">
        <v>4</v>
      </c>
      <c r="AJ307">
        <v>0</v>
      </c>
      <c r="AK307">
        <v>22</v>
      </c>
      <c r="AL307" t="s">
        <v>118</v>
      </c>
      <c r="AM307" t="s">
        <v>119</v>
      </c>
      <c r="AN307" t="s">
        <v>120</v>
      </c>
      <c r="AO307" t="s">
        <v>187</v>
      </c>
      <c r="AP307" t="s">
        <v>188</v>
      </c>
      <c r="AQ307" t="s">
        <v>74</v>
      </c>
      <c r="AR307" t="s">
        <v>189</v>
      </c>
      <c r="AS307" t="s">
        <v>190</v>
      </c>
      <c r="AT307" t="s">
        <v>6058</v>
      </c>
      <c r="AU307">
        <v>2012</v>
      </c>
      <c r="AV307">
        <v>39</v>
      </c>
      <c r="AW307" t="s">
        <v>74</v>
      </c>
      <c r="AX307" t="s">
        <v>74</v>
      </c>
      <c r="AY307" t="s">
        <v>74</v>
      </c>
      <c r="AZ307" t="s">
        <v>74</v>
      </c>
      <c r="BA307" t="s">
        <v>74</v>
      </c>
      <c r="BB307" t="s">
        <v>74</v>
      </c>
      <c r="BC307" t="s">
        <v>74</v>
      </c>
      <c r="BD307" t="s">
        <v>6059</v>
      </c>
      <c r="BE307" t="s">
        <v>6060</v>
      </c>
      <c r="BF307" t="str">
        <f>HYPERLINK("http://dx.doi.org/10.1029/2011GL050826","http://dx.doi.org/10.1029/2011GL050826")</f>
        <v>http://dx.doi.org/10.1029/2011GL050826</v>
      </c>
      <c r="BG307" t="s">
        <v>74</v>
      </c>
      <c r="BH307" t="s">
        <v>74</v>
      </c>
      <c r="BI307">
        <v>6</v>
      </c>
      <c r="BJ307" t="s">
        <v>194</v>
      </c>
      <c r="BK307" t="s">
        <v>99</v>
      </c>
      <c r="BL307" t="s">
        <v>195</v>
      </c>
      <c r="BM307" t="s">
        <v>6061</v>
      </c>
      <c r="BN307" t="s">
        <v>74</v>
      </c>
      <c r="BO307" t="s">
        <v>217</v>
      </c>
      <c r="BP307" t="s">
        <v>74</v>
      </c>
      <c r="BQ307" t="s">
        <v>74</v>
      </c>
      <c r="BR307" t="s">
        <v>101</v>
      </c>
      <c r="BS307" t="s">
        <v>6062</v>
      </c>
      <c r="BT307" t="str">
        <f>HYPERLINK("https%3A%2F%2Fwww.webofscience.com%2Fwos%2Fwoscc%2Ffull-record%2FWOS:000301937000002","View Full Record in Web of Science")</f>
        <v>View Full Record in Web of Science</v>
      </c>
    </row>
    <row r="308" spans="1:72" x14ac:dyDescent="0.15">
      <c r="A308" t="s">
        <v>72</v>
      </c>
      <c r="B308" t="s">
        <v>6063</v>
      </c>
      <c r="C308" t="s">
        <v>74</v>
      </c>
      <c r="D308" t="s">
        <v>74</v>
      </c>
      <c r="E308" t="s">
        <v>74</v>
      </c>
      <c r="F308" t="s">
        <v>6064</v>
      </c>
      <c r="G308" t="s">
        <v>74</v>
      </c>
      <c r="H308" t="s">
        <v>74</v>
      </c>
      <c r="I308" t="s">
        <v>6065</v>
      </c>
      <c r="J308" t="s">
        <v>3149</v>
      </c>
      <c r="K308" t="s">
        <v>74</v>
      </c>
      <c r="L308" t="s">
        <v>74</v>
      </c>
      <c r="M308" t="s">
        <v>78</v>
      </c>
      <c r="N308" t="s">
        <v>79</v>
      </c>
      <c r="O308" t="s">
        <v>74</v>
      </c>
      <c r="P308" t="s">
        <v>74</v>
      </c>
      <c r="Q308" t="s">
        <v>74</v>
      </c>
      <c r="R308" t="s">
        <v>74</v>
      </c>
      <c r="S308" t="s">
        <v>74</v>
      </c>
      <c r="T308" t="s">
        <v>74</v>
      </c>
      <c r="U308" t="s">
        <v>6066</v>
      </c>
      <c r="V308" t="s">
        <v>6067</v>
      </c>
      <c r="W308" t="s">
        <v>6068</v>
      </c>
      <c r="X308" t="s">
        <v>6069</v>
      </c>
      <c r="Y308" t="s">
        <v>6070</v>
      </c>
      <c r="Z308" t="s">
        <v>6071</v>
      </c>
      <c r="AA308" t="s">
        <v>6072</v>
      </c>
      <c r="AB308" t="s">
        <v>6073</v>
      </c>
      <c r="AC308" t="s">
        <v>6074</v>
      </c>
      <c r="AD308" t="s">
        <v>6075</v>
      </c>
      <c r="AE308" t="s">
        <v>6076</v>
      </c>
      <c r="AF308" t="s">
        <v>74</v>
      </c>
      <c r="AG308">
        <v>76</v>
      </c>
      <c r="AH308">
        <v>65</v>
      </c>
      <c r="AI308">
        <v>73</v>
      </c>
      <c r="AJ308">
        <v>1</v>
      </c>
      <c r="AK308">
        <v>25</v>
      </c>
      <c r="AL308" t="s">
        <v>118</v>
      </c>
      <c r="AM308" t="s">
        <v>119</v>
      </c>
      <c r="AN308" t="s">
        <v>120</v>
      </c>
      <c r="AO308" t="s">
        <v>3160</v>
      </c>
      <c r="AP308" t="s">
        <v>3161</v>
      </c>
      <c r="AQ308" t="s">
        <v>74</v>
      </c>
      <c r="AR308" t="s">
        <v>3162</v>
      </c>
      <c r="AS308" t="s">
        <v>3163</v>
      </c>
      <c r="AT308" t="s">
        <v>6058</v>
      </c>
      <c r="AU308">
        <v>2012</v>
      </c>
      <c r="AV308">
        <v>117</v>
      </c>
      <c r="AW308" t="s">
        <v>74</v>
      </c>
      <c r="AX308" t="s">
        <v>74</v>
      </c>
      <c r="AY308" t="s">
        <v>74</v>
      </c>
      <c r="AZ308" t="s">
        <v>74</v>
      </c>
      <c r="BA308" t="s">
        <v>74</v>
      </c>
      <c r="BB308" t="s">
        <v>74</v>
      </c>
      <c r="BC308" t="s">
        <v>74</v>
      </c>
      <c r="BD308" t="s">
        <v>6077</v>
      </c>
      <c r="BE308" t="s">
        <v>6078</v>
      </c>
      <c r="BF308" t="str">
        <f>HYPERLINK("http://dx.doi.org/10.1029/2011JF002066","http://dx.doi.org/10.1029/2011JF002066")</f>
        <v>http://dx.doi.org/10.1029/2011JF002066</v>
      </c>
      <c r="BG308" t="s">
        <v>74</v>
      </c>
      <c r="BH308" t="s">
        <v>74</v>
      </c>
      <c r="BI308">
        <v>15</v>
      </c>
      <c r="BJ308" t="s">
        <v>194</v>
      </c>
      <c r="BK308" t="s">
        <v>99</v>
      </c>
      <c r="BL308" t="s">
        <v>195</v>
      </c>
      <c r="BM308" t="s">
        <v>6079</v>
      </c>
      <c r="BN308" t="s">
        <v>74</v>
      </c>
      <c r="BO308" t="s">
        <v>217</v>
      </c>
      <c r="BP308" t="s">
        <v>74</v>
      </c>
      <c r="BQ308" t="s">
        <v>74</v>
      </c>
      <c r="BR308" t="s">
        <v>101</v>
      </c>
      <c r="BS308" t="s">
        <v>6080</v>
      </c>
      <c r="BT308" t="str">
        <f>HYPERLINK("https%3A%2F%2Fwww.webofscience.com%2Fwos%2Fwoscc%2Ffull-record%2FWOS:000301944300001","View Full Record in Web of Science")</f>
        <v>View Full Record in Web of Science</v>
      </c>
    </row>
    <row r="309" spans="1:72" x14ac:dyDescent="0.15">
      <c r="A309" t="s">
        <v>72</v>
      </c>
      <c r="B309" t="s">
        <v>6081</v>
      </c>
      <c r="C309" t="s">
        <v>74</v>
      </c>
      <c r="D309" t="s">
        <v>74</v>
      </c>
      <c r="E309" t="s">
        <v>74</v>
      </c>
      <c r="F309" t="s">
        <v>6082</v>
      </c>
      <c r="G309" t="s">
        <v>74</v>
      </c>
      <c r="H309" t="s">
        <v>74</v>
      </c>
      <c r="I309" t="s">
        <v>6083</v>
      </c>
      <c r="J309" t="s">
        <v>77</v>
      </c>
      <c r="K309" t="s">
        <v>74</v>
      </c>
      <c r="L309" t="s">
        <v>74</v>
      </c>
      <c r="M309" t="s">
        <v>78</v>
      </c>
      <c r="N309" t="s">
        <v>79</v>
      </c>
      <c r="O309" t="s">
        <v>74</v>
      </c>
      <c r="P309" t="s">
        <v>74</v>
      </c>
      <c r="Q309" t="s">
        <v>74</v>
      </c>
      <c r="R309" t="s">
        <v>74</v>
      </c>
      <c r="S309" t="s">
        <v>74</v>
      </c>
      <c r="T309" t="s">
        <v>6084</v>
      </c>
      <c r="U309" t="s">
        <v>74</v>
      </c>
      <c r="V309" t="s">
        <v>6085</v>
      </c>
      <c r="W309" t="s">
        <v>6086</v>
      </c>
      <c r="X309" t="s">
        <v>165</v>
      </c>
      <c r="Y309" t="s">
        <v>6087</v>
      </c>
      <c r="Z309" t="s">
        <v>6088</v>
      </c>
      <c r="AA309" t="s">
        <v>74</v>
      </c>
      <c r="AB309" t="s">
        <v>74</v>
      </c>
      <c r="AC309" t="s">
        <v>168</v>
      </c>
      <c r="AD309" t="s">
        <v>169</v>
      </c>
      <c r="AE309" t="s">
        <v>6089</v>
      </c>
      <c r="AF309" t="s">
        <v>74</v>
      </c>
      <c r="AG309">
        <v>45</v>
      </c>
      <c r="AH309">
        <v>6</v>
      </c>
      <c r="AI309">
        <v>8</v>
      </c>
      <c r="AJ309">
        <v>0</v>
      </c>
      <c r="AK309">
        <v>0</v>
      </c>
      <c r="AL309" t="s">
        <v>91</v>
      </c>
      <c r="AM309" t="s">
        <v>92</v>
      </c>
      <c r="AN309" t="s">
        <v>93</v>
      </c>
      <c r="AO309" t="s">
        <v>94</v>
      </c>
      <c r="AP309" t="s">
        <v>95</v>
      </c>
      <c r="AQ309" t="s">
        <v>74</v>
      </c>
      <c r="AR309" t="s">
        <v>77</v>
      </c>
      <c r="AS309" t="s">
        <v>96</v>
      </c>
      <c r="AT309" t="s">
        <v>6058</v>
      </c>
      <c r="AU309">
        <v>2012</v>
      </c>
      <c r="AV309" t="s">
        <v>74</v>
      </c>
      <c r="AW309">
        <v>3246</v>
      </c>
      <c r="AX309" t="s">
        <v>74</v>
      </c>
      <c r="AY309" t="s">
        <v>74</v>
      </c>
      <c r="AZ309" t="s">
        <v>74</v>
      </c>
      <c r="BA309" t="s">
        <v>74</v>
      </c>
      <c r="BB309">
        <v>1</v>
      </c>
      <c r="BC309">
        <v>69</v>
      </c>
      <c r="BD309" t="s">
        <v>74</v>
      </c>
      <c r="BE309" t="s">
        <v>74</v>
      </c>
      <c r="BF309" t="s">
        <v>74</v>
      </c>
      <c r="BG309" t="s">
        <v>74</v>
      </c>
      <c r="BH309" t="s">
        <v>74</v>
      </c>
      <c r="BI309">
        <v>69</v>
      </c>
      <c r="BJ309" t="s">
        <v>98</v>
      </c>
      <c r="BK309" t="s">
        <v>99</v>
      </c>
      <c r="BL309" t="s">
        <v>98</v>
      </c>
      <c r="BM309" t="s">
        <v>6090</v>
      </c>
      <c r="BN309" t="s">
        <v>74</v>
      </c>
      <c r="BO309" t="s">
        <v>74</v>
      </c>
      <c r="BP309" t="s">
        <v>74</v>
      </c>
      <c r="BQ309" t="s">
        <v>74</v>
      </c>
      <c r="BR309" t="s">
        <v>101</v>
      </c>
      <c r="BS309" t="s">
        <v>6091</v>
      </c>
      <c r="BT309" t="str">
        <f>HYPERLINK("https%3A%2F%2Fwww.webofscience.com%2Fwos%2Fwoscc%2Ffull-record%2FWOS:000303818200001","View Full Record in Web of Science")</f>
        <v>View Full Record in Web of Science</v>
      </c>
    </row>
    <row r="310" spans="1:72" x14ac:dyDescent="0.15">
      <c r="A310" t="s">
        <v>72</v>
      </c>
      <c r="B310" t="s">
        <v>6092</v>
      </c>
      <c r="C310" t="s">
        <v>74</v>
      </c>
      <c r="D310" t="s">
        <v>74</v>
      </c>
      <c r="E310" t="s">
        <v>74</v>
      </c>
      <c r="F310" t="s">
        <v>6093</v>
      </c>
      <c r="G310" t="s">
        <v>74</v>
      </c>
      <c r="H310" t="s">
        <v>74</v>
      </c>
      <c r="I310" t="s">
        <v>6094</v>
      </c>
      <c r="J310" t="s">
        <v>135</v>
      </c>
      <c r="K310" t="s">
        <v>74</v>
      </c>
      <c r="L310" t="s">
        <v>74</v>
      </c>
      <c r="M310" t="s">
        <v>78</v>
      </c>
      <c r="N310" t="s">
        <v>79</v>
      </c>
      <c r="O310" t="s">
        <v>74</v>
      </c>
      <c r="P310" t="s">
        <v>74</v>
      </c>
      <c r="Q310" t="s">
        <v>74</v>
      </c>
      <c r="R310" t="s">
        <v>74</v>
      </c>
      <c r="S310" t="s">
        <v>74</v>
      </c>
      <c r="T310" t="s">
        <v>74</v>
      </c>
      <c r="U310" t="s">
        <v>6095</v>
      </c>
      <c r="V310" t="s">
        <v>6096</v>
      </c>
      <c r="W310" t="s">
        <v>6097</v>
      </c>
      <c r="X310" t="s">
        <v>6098</v>
      </c>
      <c r="Y310" t="s">
        <v>6099</v>
      </c>
      <c r="Z310" t="s">
        <v>6100</v>
      </c>
      <c r="AA310" t="s">
        <v>6101</v>
      </c>
      <c r="AB310" t="s">
        <v>74</v>
      </c>
      <c r="AC310" t="s">
        <v>6102</v>
      </c>
      <c r="AD310" t="s">
        <v>6103</v>
      </c>
      <c r="AE310" t="s">
        <v>6104</v>
      </c>
      <c r="AF310" t="s">
        <v>74</v>
      </c>
      <c r="AG310">
        <v>28</v>
      </c>
      <c r="AH310">
        <v>168</v>
      </c>
      <c r="AI310">
        <v>190</v>
      </c>
      <c r="AJ310">
        <v>2</v>
      </c>
      <c r="AK310">
        <v>97</v>
      </c>
      <c r="AL310" t="s">
        <v>2732</v>
      </c>
      <c r="AM310" t="s">
        <v>2733</v>
      </c>
      <c r="AN310" t="s">
        <v>2734</v>
      </c>
      <c r="AO310" t="s">
        <v>149</v>
      </c>
      <c r="AP310" t="s">
        <v>150</v>
      </c>
      <c r="AQ310" t="s">
        <v>74</v>
      </c>
      <c r="AR310" t="s">
        <v>135</v>
      </c>
      <c r="AS310" t="s">
        <v>151</v>
      </c>
      <c r="AT310" t="s">
        <v>6105</v>
      </c>
      <c r="AU310">
        <v>2012</v>
      </c>
      <c r="AV310">
        <v>483</v>
      </c>
      <c r="AW310">
        <v>7390</v>
      </c>
      <c r="AX310" t="s">
        <v>74</v>
      </c>
      <c r="AY310" t="s">
        <v>74</v>
      </c>
      <c r="AZ310" t="s">
        <v>74</v>
      </c>
      <c r="BA310" t="s">
        <v>74</v>
      </c>
      <c r="BB310">
        <v>453</v>
      </c>
      <c r="BC310">
        <v>456</v>
      </c>
      <c r="BD310" t="s">
        <v>74</v>
      </c>
      <c r="BE310" t="s">
        <v>6106</v>
      </c>
      <c r="BF310" t="str">
        <f>HYPERLINK("http://dx.doi.org/10.1038/nature10891","http://dx.doi.org/10.1038/nature10891")</f>
        <v>http://dx.doi.org/10.1038/nature10891</v>
      </c>
      <c r="BG310" t="s">
        <v>74</v>
      </c>
      <c r="BH310" t="s">
        <v>74</v>
      </c>
      <c r="BI310">
        <v>4</v>
      </c>
      <c r="BJ310" t="s">
        <v>153</v>
      </c>
      <c r="BK310" t="s">
        <v>99</v>
      </c>
      <c r="BL310" t="s">
        <v>154</v>
      </c>
      <c r="BM310" t="s">
        <v>6107</v>
      </c>
      <c r="BN310">
        <v>22419155</v>
      </c>
      <c r="BO310" t="s">
        <v>328</v>
      </c>
      <c r="BP310" t="s">
        <v>74</v>
      </c>
      <c r="BQ310" t="s">
        <v>74</v>
      </c>
      <c r="BR310" t="s">
        <v>101</v>
      </c>
      <c r="BS310" t="s">
        <v>6108</v>
      </c>
      <c r="BT310" t="str">
        <f>HYPERLINK("https%3A%2F%2Fwww.webofscience.com%2Fwos%2Fwoscc%2Ffull-record%2FWOS:000301771200040","View Full Record in Web of Science")</f>
        <v>View Full Record in Web of Science</v>
      </c>
    </row>
    <row r="311" spans="1:72" x14ac:dyDescent="0.15">
      <c r="A311" t="s">
        <v>72</v>
      </c>
      <c r="B311" t="s">
        <v>6109</v>
      </c>
      <c r="C311" t="s">
        <v>74</v>
      </c>
      <c r="D311" t="s">
        <v>74</v>
      </c>
      <c r="E311" t="s">
        <v>74</v>
      </c>
      <c r="F311" t="s">
        <v>6110</v>
      </c>
      <c r="G311" t="s">
        <v>74</v>
      </c>
      <c r="H311" t="s">
        <v>74</v>
      </c>
      <c r="I311" t="s">
        <v>6111</v>
      </c>
      <c r="J311" t="s">
        <v>6112</v>
      </c>
      <c r="K311" t="s">
        <v>74</v>
      </c>
      <c r="L311" t="s">
        <v>74</v>
      </c>
      <c r="M311" t="s">
        <v>78</v>
      </c>
      <c r="N311" t="s">
        <v>79</v>
      </c>
      <c r="O311" t="s">
        <v>74</v>
      </c>
      <c r="P311" t="s">
        <v>74</v>
      </c>
      <c r="Q311" t="s">
        <v>74</v>
      </c>
      <c r="R311" t="s">
        <v>74</v>
      </c>
      <c r="S311" t="s">
        <v>74</v>
      </c>
      <c r="T311" t="s">
        <v>74</v>
      </c>
      <c r="U311" t="s">
        <v>6113</v>
      </c>
      <c r="V311" t="s">
        <v>6114</v>
      </c>
      <c r="W311" t="s">
        <v>6115</v>
      </c>
      <c r="X311" t="s">
        <v>3176</v>
      </c>
      <c r="Y311" t="s">
        <v>6116</v>
      </c>
      <c r="Z311" t="s">
        <v>6117</v>
      </c>
      <c r="AA311" t="s">
        <v>6118</v>
      </c>
      <c r="AB311" t="s">
        <v>6119</v>
      </c>
      <c r="AC311" t="s">
        <v>6120</v>
      </c>
      <c r="AD311" t="s">
        <v>3181</v>
      </c>
      <c r="AE311" t="s">
        <v>6121</v>
      </c>
      <c r="AF311" t="s">
        <v>74</v>
      </c>
      <c r="AG311">
        <v>28</v>
      </c>
      <c r="AH311">
        <v>23</v>
      </c>
      <c r="AI311">
        <v>23</v>
      </c>
      <c r="AJ311">
        <v>0</v>
      </c>
      <c r="AK311">
        <v>13</v>
      </c>
      <c r="AL311" t="s">
        <v>5888</v>
      </c>
      <c r="AM311" t="s">
        <v>5889</v>
      </c>
      <c r="AN311" t="s">
        <v>5890</v>
      </c>
      <c r="AO311" t="s">
        <v>6122</v>
      </c>
      <c r="AP311" t="s">
        <v>6123</v>
      </c>
      <c r="AQ311" t="s">
        <v>74</v>
      </c>
      <c r="AR311" t="s">
        <v>6124</v>
      </c>
      <c r="AS311" t="s">
        <v>6125</v>
      </c>
      <c r="AT311" t="s">
        <v>6105</v>
      </c>
      <c r="AU311">
        <v>2012</v>
      </c>
      <c r="AV311">
        <v>85</v>
      </c>
      <c r="AW311">
        <v>3</v>
      </c>
      <c r="AX311">
        <v>1</v>
      </c>
      <c r="AY311" t="s">
        <v>74</v>
      </c>
      <c r="AZ311" t="s">
        <v>74</v>
      </c>
      <c r="BA311" t="s">
        <v>74</v>
      </c>
      <c r="BB311" t="s">
        <v>74</v>
      </c>
      <c r="BC311" t="s">
        <v>74</v>
      </c>
      <c r="BD311">
        <v>31134</v>
      </c>
      <c r="BE311" t="s">
        <v>6126</v>
      </c>
      <c r="BF311" t="str">
        <f>HYPERLINK("http://dx.doi.org/10.1103/PhysRevE.85.031134","http://dx.doi.org/10.1103/PhysRevE.85.031134")</f>
        <v>http://dx.doi.org/10.1103/PhysRevE.85.031134</v>
      </c>
      <c r="BG311" t="s">
        <v>74</v>
      </c>
      <c r="BH311" t="s">
        <v>74</v>
      </c>
      <c r="BI311">
        <v>8</v>
      </c>
      <c r="BJ311" t="s">
        <v>6127</v>
      </c>
      <c r="BK311" t="s">
        <v>99</v>
      </c>
      <c r="BL311" t="s">
        <v>3678</v>
      </c>
      <c r="BM311" t="s">
        <v>6128</v>
      </c>
      <c r="BN311">
        <v>22587065</v>
      </c>
      <c r="BO311" t="s">
        <v>74</v>
      </c>
      <c r="BP311" t="s">
        <v>74</v>
      </c>
      <c r="BQ311" t="s">
        <v>74</v>
      </c>
      <c r="BR311" t="s">
        <v>101</v>
      </c>
      <c r="BS311" t="s">
        <v>6129</v>
      </c>
      <c r="BT311" t="str">
        <f>HYPERLINK("https%3A%2F%2Fwww.webofscience.com%2Fwos%2Fwoscc%2Ffull-record%2FWOS:000301849600001","View Full Record in Web of Science")</f>
        <v>View Full Record in Web of Science</v>
      </c>
    </row>
    <row r="312" spans="1:72" x14ac:dyDescent="0.15">
      <c r="A312" t="s">
        <v>72</v>
      </c>
      <c r="B312" t="s">
        <v>6130</v>
      </c>
      <c r="C312" t="s">
        <v>74</v>
      </c>
      <c r="D312" t="s">
        <v>74</v>
      </c>
      <c r="E312" t="s">
        <v>74</v>
      </c>
      <c r="F312" t="s">
        <v>6131</v>
      </c>
      <c r="G312" t="s">
        <v>74</v>
      </c>
      <c r="H312" t="s">
        <v>74</v>
      </c>
      <c r="I312" t="s">
        <v>6132</v>
      </c>
      <c r="J312" t="s">
        <v>1382</v>
      </c>
      <c r="K312" t="s">
        <v>74</v>
      </c>
      <c r="L312" t="s">
        <v>74</v>
      </c>
      <c r="M312" t="s">
        <v>78</v>
      </c>
      <c r="N312" t="s">
        <v>79</v>
      </c>
      <c r="O312" t="s">
        <v>74</v>
      </c>
      <c r="P312" t="s">
        <v>74</v>
      </c>
      <c r="Q312" t="s">
        <v>74</v>
      </c>
      <c r="R312" t="s">
        <v>74</v>
      </c>
      <c r="S312" t="s">
        <v>74</v>
      </c>
      <c r="T312" t="s">
        <v>74</v>
      </c>
      <c r="U312" t="s">
        <v>6133</v>
      </c>
      <c r="V312" t="s">
        <v>6134</v>
      </c>
      <c r="W312" t="s">
        <v>6135</v>
      </c>
      <c r="X312" t="s">
        <v>6136</v>
      </c>
      <c r="Y312" t="s">
        <v>6137</v>
      </c>
      <c r="Z312" t="s">
        <v>6138</v>
      </c>
      <c r="AA312" t="s">
        <v>6139</v>
      </c>
      <c r="AB312" t="s">
        <v>6140</v>
      </c>
      <c r="AC312" t="s">
        <v>6141</v>
      </c>
      <c r="AD312" t="s">
        <v>6142</v>
      </c>
      <c r="AE312" t="s">
        <v>6143</v>
      </c>
      <c r="AF312" t="s">
        <v>74</v>
      </c>
      <c r="AG312">
        <v>41</v>
      </c>
      <c r="AH312">
        <v>43</v>
      </c>
      <c r="AI312">
        <v>43</v>
      </c>
      <c r="AJ312">
        <v>5</v>
      </c>
      <c r="AK312">
        <v>45</v>
      </c>
      <c r="AL312" t="s">
        <v>1394</v>
      </c>
      <c r="AM312" t="s">
        <v>119</v>
      </c>
      <c r="AN312" t="s">
        <v>1395</v>
      </c>
      <c r="AO312" t="s">
        <v>1396</v>
      </c>
      <c r="AP312" t="s">
        <v>1397</v>
      </c>
      <c r="AQ312" t="s">
        <v>74</v>
      </c>
      <c r="AR312" t="s">
        <v>1398</v>
      </c>
      <c r="AS312" t="s">
        <v>1399</v>
      </c>
      <c r="AT312" t="s">
        <v>6144</v>
      </c>
      <c r="AU312">
        <v>2012</v>
      </c>
      <c r="AV312">
        <v>46</v>
      </c>
      <c r="AW312">
        <v>6</v>
      </c>
      <c r="AX312" t="s">
        <v>74</v>
      </c>
      <c r="AY312" t="s">
        <v>74</v>
      </c>
      <c r="AZ312" t="s">
        <v>74</v>
      </c>
      <c r="BA312" t="s">
        <v>74</v>
      </c>
      <c r="BB312">
        <v>3135</v>
      </c>
      <c r="BC312">
        <v>3140</v>
      </c>
      <c r="BD312" t="s">
        <v>74</v>
      </c>
      <c r="BE312" t="s">
        <v>6145</v>
      </c>
      <c r="BF312" t="str">
        <f>HYPERLINK("http://dx.doi.org/10.1021/es204375p","http://dx.doi.org/10.1021/es204375p")</f>
        <v>http://dx.doi.org/10.1021/es204375p</v>
      </c>
      <c r="BG312" t="s">
        <v>74</v>
      </c>
      <c r="BH312" t="s">
        <v>74</v>
      </c>
      <c r="BI312">
        <v>6</v>
      </c>
      <c r="BJ312" t="s">
        <v>1401</v>
      </c>
      <c r="BK312" t="s">
        <v>99</v>
      </c>
      <c r="BL312" t="s">
        <v>1402</v>
      </c>
      <c r="BM312" t="s">
        <v>6146</v>
      </c>
      <c r="BN312">
        <v>22369049</v>
      </c>
      <c r="BO312" t="s">
        <v>6147</v>
      </c>
      <c r="BP312" t="s">
        <v>74</v>
      </c>
      <c r="BQ312" t="s">
        <v>74</v>
      </c>
      <c r="BR312" t="s">
        <v>101</v>
      </c>
      <c r="BS312" t="s">
        <v>6148</v>
      </c>
      <c r="BT312" t="str">
        <f>HYPERLINK("https%3A%2F%2Fwww.webofscience.com%2Fwos%2Fwoscc%2Ffull-record%2FWOS:000301630200014","View Full Record in Web of Science")</f>
        <v>View Full Record in Web of Science</v>
      </c>
    </row>
    <row r="313" spans="1:72" x14ac:dyDescent="0.15">
      <c r="A313" t="s">
        <v>72</v>
      </c>
      <c r="B313" t="s">
        <v>6149</v>
      </c>
      <c r="C313" t="s">
        <v>74</v>
      </c>
      <c r="D313" t="s">
        <v>74</v>
      </c>
      <c r="E313" t="s">
        <v>74</v>
      </c>
      <c r="F313" t="s">
        <v>6150</v>
      </c>
      <c r="G313" t="s">
        <v>74</v>
      </c>
      <c r="H313" t="s">
        <v>74</v>
      </c>
      <c r="I313" t="s">
        <v>6151</v>
      </c>
      <c r="J313" t="s">
        <v>1382</v>
      </c>
      <c r="K313" t="s">
        <v>74</v>
      </c>
      <c r="L313" t="s">
        <v>74</v>
      </c>
      <c r="M313" t="s">
        <v>78</v>
      </c>
      <c r="N313" t="s">
        <v>79</v>
      </c>
      <c r="O313" t="s">
        <v>74</v>
      </c>
      <c r="P313" t="s">
        <v>74</v>
      </c>
      <c r="Q313" t="s">
        <v>74</v>
      </c>
      <c r="R313" t="s">
        <v>74</v>
      </c>
      <c r="S313" t="s">
        <v>74</v>
      </c>
      <c r="T313" t="s">
        <v>74</v>
      </c>
      <c r="U313" t="s">
        <v>6152</v>
      </c>
      <c r="V313" t="s">
        <v>6153</v>
      </c>
      <c r="W313" t="s">
        <v>6154</v>
      </c>
      <c r="X313" t="s">
        <v>6155</v>
      </c>
      <c r="Y313" t="s">
        <v>6156</v>
      </c>
      <c r="Z313" t="s">
        <v>6157</v>
      </c>
      <c r="AA313" t="s">
        <v>6158</v>
      </c>
      <c r="AB313" t="s">
        <v>74</v>
      </c>
      <c r="AC313" t="s">
        <v>6159</v>
      </c>
      <c r="AD313" t="s">
        <v>6159</v>
      </c>
      <c r="AE313" t="s">
        <v>6160</v>
      </c>
      <c r="AF313" t="s">
        <v>74</v>
      </c>
      <c r="AG313">
        <v>48</v>
      </c>
      <c r="AH313">
        <v>79</v>
      </c>
      <c r="AI313">
        <v>87</v>
      </c>
      <c r="AJ313">
        <v>8</v>
      </c>
      <c r="AK313">
        <v>167</v>
      </c>
      <c r="AL313" t="s">
        <v>1394</v>
      </c>
      <c r="AM313" t="s">
        <v>119</v>
      </c>
      <c r="AN313" t="s">
        <v>1395</v>
      </c>
      <c r="AO313" t="s">
        <v>1396</v>
      </c>
      <c r="AP313" t="s">
        <v>1397</v>
      </c>
      <c r="AQ313" t="s">
        <v>74</v>
      </c>
      <c r="AR313" t="s">
        <v>1398</v>
      </c>
      <c r="AS313" t="s">
        <v>1399</v>
      </c>
      <c r="AT313" t="s">
        <v>6144</v>
      </c>
      <c r="AU313">
        <v>2012</v>
      </c>
      <c r="AV313">
        <v>46</v>
      </c>
      <c r="AW313">
        <v>6</v>
      </c>
      <c r="AX313" t="s">
        <v>74</v>
      </c>
      <c r="AY313" t="s">
        <v>74</v>
      </c>
      <c r="AZ313" t="s">
        <v>74</v>
      </c>
      <c r="BA313" t="s">
        <v>74</v>
      </c>
      <c r="BB313">
        <v>3141</v>
      </c>
      <c r="BC313">
        <v>3148</v>
      </c>
      <c r="BD313" t="s">
        <v>74</v>
      </c>
      <c r="BE313" t="s">
        <v>6161</v>
      </c>
      <c r="BF313" t="str">
        <f>HYPERLINK("http://dx.doi.org/10.1021/es300138q","http://dx.doi.org/10.1021/es300138q")</f>
        <v>http://dx.doi.org/10.1021/es300138q</v>
      </c>
      <c r="BG313" t="s">
        <v>74</v>
      </c>
      <c r="BH313" t="s">
        <v>74</v>
      </c>
      <c r="BI313">
        <v>8</v>
      </c>
      <c r="BJ313" t="s">
        <v>1401</v>
      </c>
      <c r="BK313" t="s">
        <v>99</v>
      </c>
      <c r="BL313" t="s">
        <v>1402</v>
      </c>
      <c r="BM313" t="s">
        <v>6146</v>
      </c>
      <c r="BN313">
        <v>22376139</v>
      </c>
      <c r="BO313" t="s">
        <v>74</v>
      </c>
      <c r="BP313" t="s">
        <v>74</v>
      </c>
      <c r="BQ313" t="s">
        <v>74</v>
      </c>
      <c r="BR313" t="s">
        <v>101</v>
      </c>
      <c r="BS313" t="s">
        <v>6162</v>
      </c>
      <c r="BT313" t="str">
        <f>HYPERLINK("https%3A%2F%2Fwww.webofscience.com%2Fwos%2Fwoscc%2Ffull-record%2FWOS:000301630200015","View Full Record in Web of Science")</f>
        <v>View Full Record in Web of Science</v>
      </c>
    </row>
    <row r="314" spans="1:72" x14ac:dyDescent="0.15">
      <c r="A314" t="s">
        <v>72</v>
      </c>
      <c r="B314" t="s">
        <v>6163</v>
      </c>
      <c r="C314" t="s">
        <v>74</v>
      </c>
      <c r="D314" t="s">
        <v>74</v>
      </c>
      <c r="E314" t="s">
        <v>74</v>
      </c>
      <c r="F314" t="s">
        <v>6164</v>
      </c>
      <c r="G314" t="s">
        <v>74</v>
      </c>
      <c r="H314" t="s">
        <v>74</v>
      </c>
      <c r="I314" t="s">
        <v>6165</v>
      </c>
      <c r="J314" t="s">
        <v>1382</v>
      </c>
      <c r="K314" t="s">
        <v>74</v>
      </c>
      <c r="L314" t="s">
        <v>74</v>
      </c>
      <c r="M314" t="s">
        <v>78</v>
      </c>
      <c r="N314" t="s">
        <v>79</v>
      </c>
      <c r="O314" t="s">
        <v>74</v>
      </c>
      <c r="P314" t="s">
        <v>74</v>
      </c>
      <c r="Q314" t="s">
        <v>74</v>
      </c>
      <c r="R314" t="s">
        <v>74</v>
      </c>
      <c r="S314" t="s">
        <v>74</v>
      </c>
      <c r="T314" t="s">
        <v>74</v>
      </c>
      <c r="U314" t="s">
        <v>6166</v>
      </c>
      <c r="V314" t="s">
        <v>6167</v>
      </c>
      <c r="W314" t="s">
        <v>6168</v>
      </c>
      <c r="X314" t="s">
        <v>6169</v>
      </c>
      <c r="Y314" t="s">
        <v>6170</v>
      </c>
      <c r="Z314" t="s">
        <v>6157</v>
      </c>
      <c r="AA314" t="s">
        <v>6158</v>
      </c>
      <c r="AB314" t="s">
        <v>74</v>
      </c>
      <c r="AC314" t="s">
        <v>6171</v>
      </c>
      <c r="AD314" t="s">
        <v>6171</v>
      </c>
      <c r="AE314" t="s">
        <v>6172</v>
      </c>
      <c r="AF314" t="s">
        <v>74</v>
      </c>
      <c r="AG314">
        <v>49</v>
      </c>
      <c r="AH314">
        <v>217</v>
      </c>
      <c r="AI314">
        <v>251</v>
      </c>
      <c r="AJ314">
        <v>25</v>
      </c>
      <c r="AK314">
        <v>301</v>
      </c>
      <c r="AL314" t="s">
        <v>1394</v>
      </c>
      <c r="AM314" t="s">
        <v>119</v>
      </c>
      <c r="AN314" t="s">
        <v>1395</v>
      </c>
      <c r="AO314" t="s">
        <v>1396</v>
      </c>
      <c r="AP314" t="s">
        <v>74</v>
      </c>
      <c r="AQ314" t="s">
        <v>74</v>
      </c>
      <c r="AR314" t="s">
        <v>1398</v>
      </c>
      <c r="AS314" t="s">
        <v>1399</v>
      </c>
      <c r="AT314" t="s">
        <v>6144</v>
      </c>
      <c r="AU314">
        <v>2012</v>
      </c>
      <c r="AV314">
        <v>46</v>
      </c>
      <c r="AW314">
        <v>6</v>
      </c>
      <c r="AX314" t="s">
        <v>74</v>
      </c>
      <c r="AY314" t="s">
        <v>74</v>
      </c>
      <c r="AZ314" t="s">
        <v>74</v>
      </c>
      <c r="BA314" t="s">
        <v>74</v>
      </c>
      <c r="BB314">
        <v>3127</v>
      </c>
      <c r="BC314">
        <v>3134</v>
      </c>
      <c r="BD314" t="s">
        <v>74</v>
      </c>
      <c r="BE314" t="s">
        <v>6173</v>
      </c>
      <c r="BF314" t="str">
        <f>HYPERLINK("http://dx.doi.org/10.1021/es204272v","http://dx.doi.org/10.1021/es204272v")</f>
        <v>http://dx.doi.org/10.1021/es204272v</v>
      </c>
      <c r="BG314" t="s">
        <v>74</v>
      </c>
      <c r="BH314" t="s">
        <v>74</v>
      </c>
      <c r="BI314">
        <v>8</v>
      </c>
      <c r="BJ314" t="s">
        <v>1401</v>
      </c>
      <c r="BK314" t="s">
        <v>99</v>
      </c>
      <c r="BL314" t="s">
        <v>1402</v>
      </c>
      <c r="BM314" t="s">
        <v>6146</v>
      </c>
      <c r="BN314">
        <v>22332897</v>
      </c>
      <c r="BO314" t="s">
        <v>74</v>
      </c>
      <c r="BP314" t="s">
        <v>74</v>
      </c>
      <c r="BQ314" t="s">
        <v>74</v>
      </c>
      <c r="BR314" t="s">
        <v>101</v>
      </c>
      <c r="BS314" t="s">
        <v>6174</v>
      </c>
      <c r="BT314" t="str">
        <f>HYPERLINK("https%3A%2F%2Fwww.webofscience.com%2Fwos%2Fwoscc%2Ffull-record%2FWOS:000301630200013","View Full Record in Web of Science")</f>
        <v>View Full Record in Web of Science</v>
      </c>
    </row>
    <row r="315" spans="1:72" x14ac:dyDescent="0.15">
      <c r="A315" t="s">
        <v>72</v>
      </c>
      <c r="B315" t="s">
        <v>6175</v>
      </c>
      <c r="C315" t="s">
        <v>74</v>
      </c>
      <c r="D315" t="s">
        <v>74</v>
      </c>
      <c r="E315" t="s">
        <v>74</v>
      </c>
      <c r="F315" t="s">
        <v>6176</v>
      </c>
      <c r="G315" t="s">
        <v>74</v>
      </c>
      <c r="H315" t="s">
        <v>74</v>
      </c>
      <c r="I315" t="s">
        <v>6177</v>
      </c>
      <c r="J315" t="s">
        <v>176</v>
      </c>
      <c r="K315" t="s">
        <v>74</v>
      </c>
      <c r="L315" t="s">
        <v>74</v>
      </c>
      <c r="M315" t="s">
        <v>78</v>
      </c>
      <c r="N315" t="s">
        <v>79</v>
      </c>
      <c r="O315" t="s">
        <v>74</v>
      </c>
      <c r="P315" t="s">
        <v>74</v>
      </c>
      <c r="Q315" t="s">
        <v>74</v>
      </c>
      <c r="R315" t="s">
        <v>74</v>
      </c>
      <c r="S315" t="s">
        <v>74</v>
      </c>
      <c r="T315" t="s">
        <v>74</v>
      </c>
      <c r="U315" t="s">
        <v>6178</v>
      </c>
      <c r="V315" t="s">
        <v>6179</v>
      </c>
      <c r="W315" t="s">
        <v>6180</v>
      </c>
      <c r="X315" t="s">
        <v>6181</v>
      </c>
      <c r="Y315" t="s">
        <v>6182</v>
      </c>
      <c r="Z315" t="s">
        <v>6183</v>
      </c>
      <c r="AA315" t="s">
        <v>74</v>
      </c>
      <c r="AB315" t="s">
        <v>6184</v>
      </c>
      <c r="AC315" t="s">
        <v>6185</v>
      </c>
      <c r="AD315" t="s">
        <v>6186</v>
      </c>
      <c r="AE315" t="s">
        <v>6187</v>
      </c>
      <c r="AF315" t="s">
        <v>74</v>
      </c>
      <c r="AG315">
        <v>38</v>
      </c>
      <c r="AH315">
        <v>425</v>
      </c>
      <c r="AI315">
        <v>495</v>
      </c>
      <c r="AJ315">
        <v>6</v>
      </c>
      <c r="AK315">
        <v>140</v>
      </c>
      <c r="AL315" t="s">
        <v>118</v>
      </c>
      <c r="AM315" t="s">
        <v>119</v>
      </c>
      <c r="AN315" t="s">
        <v>120</v>
      </c>
      <c r="AO315" t="s">
        <v>187</v>
      </c>
      <c r="AP315" t="s">
        <v>188</v>
      </c>
      <c r="AQ315" t="s">
        <v>74</v>
      </c>
      <c r="AR315" t="s">
        <v>189</v>
      </c>
      <c r="AS315" t="s">
        <v>190</v>
      </c>
      <c r="AT315" t="s">
        <v>6188</v>
      </c>
      <c r="AU315">
        <v>2012</v>
      </c>
      <c r="AV315">
        <v>39</v>
      </c>
      <c r="AW315" t="s">
        <v>74</v>
      </c>
      <c r="AX315" t="s">
        <v>74</v>
      </c>
      <c r="AY315" t="s">
        <v>74</v>
      </c>
      <c r="AZ315" t="s">
        <v>74</v>
      </c>
      <c r="BA315" t="s">
        <v>74</v>
      </c>
      <c r="BB315" t="s">
        <v>74</v>
      </c>
      <c r="BC315" t="s">
        <v>74</v>
      </c>
      <c r="BD315" t="s">
        <v>6189</v>
      </c>
      <c r="BE315" t="s">
        <v>6190</v>
      </c>
      <c r="BF315" t="str">
        <f>HYPERLINK("http://dx.doi.org/10.1029/2012GL050874","http://dx.doi.org/10.1029/2012GL050874")</f>
        <v>http://dx.doi.org/10.1029/2012GL050874</v>
      </c>
      <c r="BG315" t="s">
        <v>74</v>
      </c>
      <c r="BH315" t="s">
        <v>74</v>
      </c>
      <c r="BI315">
        <v>8</v>
      </c>
      <c r="BJ315" t="s">
        <v>194</v>
      </c>
      <c r="BK315" t="s">
        <v>99</v>
      </c>
      <c r="BL315" t="s">
        <v>195</v>
      </c>
      <c r="BM315" t="s">
        <v>6191</v>
      </c>
      <c r="BN315" t="s">
        <v>74</v>
      </c>
      <c r="BO315" t="s">
        <v>217</v>
      </c>
      <c r="BP315" t="s">
        <v>74</v>
      </c>
      <c r="BQ315" t="s">
        <v>74</v>
      </c>
      <c r="BR315" t="s">
        <v>101</v>
      </c>
      <c r="BS315" t="s">
        <v>6192</v>
      </c>
      <c r="BT315" t="str">
        <f>HYPERLINK("https%3A%2F%2Fwww.webofscience.com%2Fwos%2Fwoscc%2Ffull-record%2FWOS:000301668100001","View Full Record in Web of Science")</f>
        <v>View Full Record in Web of Science</v>
      </c>
    </row>
    <row r="316" spans="1:72" x14ac:dyDescent="0.15">
      <c r="A316" t="s">
        <v>72</v>
      </c>
      <c r="B316" t="s">
        <v>6193</v>
      </c>
      <c r="C316" t="s">
        <v>74</v>
      </c>
      <c r="D316" t="s">
        <v>74</v>
      </c>
      <c r="E316" t="s">
        <v>74</v>
      </c>
      <c r="F316" t="s">
        <v>6194</v>
      </c>
      <c r="G316" t="s">
        <v>74</v>
      </c>
      <c r="H316" t="s">
        <v>74</v>
      </c>
      <c r="I316" t="s">
        <v>6195</v>
      </c>
      <c r="J316" t="s">
        <v>6196</v>
      </c>
      <c r="K316" t="s">
        <v>74</v>
      </c>
      <c r="L316" t="s">
        <v>74</v>
      </c>
      <c r="M316" t="s">
        <v>78</v>
      </c>
      <c r="N316" t="s">
        <v>79</v>
      </c>
      <c r="O316" t="s">
        <v>74</v>
      </c>
      <c r="P316" t="s">
        <v>74</v>
      </c>
      <c r="Q316" t="s">
        <v>74</v>
      </c>
      <c r="R316" t="s">
        <v>74</v>
      </c>
      <c r="S316" t="s">
        <v>74</v>
      </c>
      <c r="T316" t="s">
        <v>6197</v>
      </c>
      <c r="U316" t="s">
        <v>6198</v>
      </c>
      <c r="V316" t="s">
        <v>6199</v>
      </c>
      <c r="W316" t="s">
        <v>6200</v>
      </c>
      <c r="X316" t="s">
        <v>6201</v>
      </c>
      <c r="Y316" t="s">
        <v>6202</v>
      </c>
      <c r="Z316" t="s">
        <v>6203</v>
      </c>
      <c r="AA316" t="s">
        <v>6204</v>
      </c>
      <c r="AB316" t="s">
        <v>6205</v>
      </c>
      <c r="AC316" t="s">
        <v>6206</v>
      </c>
      <c r="AD316" t="s">
        <v>6207</v>
      </c>
      <c r="AE316" t="s">
        <v>6208</v>
      </c>
      <c r="AF316" t="s">
        <v>74</v>
      </c>
      <c r="AG316">
        <v>76</v>
      </c>
      <c r="AH316">
        <v>15</v>
      </c>
      <c r="AI316">
        <v>17</v>
      </c>
      <c r="AJ316">
        <v>0</v>
      </c>
      <c r="AK316">
        <v>18</v>
      </c>
      <c r="AL316" t="s">
        <v>935</v>
      </c>
      <c r="AM316" t="s">
        <v>369</v>
      </c>
      <c r="AN316" t="s">
        <v>936</v>
      </c>
      <c r="AO316" t="s">
        <v>6209</v>
      </c>
      <c r="AP316" t="s">
        <v>6210</v>
      </c>
      <c r="AQ316" t="s">
        <v>74</v>
      </c>
      <c r="AR316" t="s">
        <v>6211</v>
      </c>
      <c r="AS316" t="s">
        <v>6212</v>
      </c>
      <c r="AT316" t="s">
        <v>6213</v>
      </c>
      <c r="AU316">
        <v>2012</v>
      </c>
      <c r="AV316">
        <v>303</v>
      </c>
      <c r="AW316" t="s">
        <v>74</v>
      </c>
      <c r="AX316" t="s">
        <v>74</v>
      </c>
      <c r="AY316" t="s">
        <v>74</v>
      </c>
      <c r="AZ316" t="s">
        <v>74</v>
      </c>
      <c r="BA316" t="s">
        <v>74</v>
      </c>
      <c r="BB316">
        <v>63</v>
      </c>
      <c r="BC316">
        <v>74</v>
      </c>
      <c r="BD316" t="s">
        <v>74</v>
      </c>
      <c r="BE316" t="s">
        <v>6214</v>
      </c>
      <c r="BF316" t="str">
        <f>HYPERLINK("http://dx.doi.org/10.1016/j.margeo.2012.01.007","http://dx.doi.org/10.1016/j.margeo.2012.01.007")</f>
        <v>http://dx.doi.org/10.1016/j.margeo.2012.01.007</v>
      </c>
      <c r="BG316" t="s">
        <v>74</v>
      </c>
      <c r="BH316" t="s">
        <v>74</v>
      </c>
      <c r="BI316">
        <v>12</v>
      </c>
      <c r="BJ316" t="s">
        <v>6215</v>
      </c>
      <c r="BK316" t="s">
        <v>99</v>
      </c>
      <c r="BL316" t="s">
        <v>6216</v>
      </c>
      <c r="BM316" t="s">
        <v>6217</v>
      </c>
      <c r="BN316" t="s">
        <v>74</v>
      </c>
      <c r="BO316" t="s">
        <v>74</v>
      </c>
      <c r="BP316" t="s">
        <v>74</v>
      </c>
      <c r="BQ316" t="s">
        <v>74</v>
      </c>
      <c r="BR316" t="s">
        <v>101</v>
      </c>
      <c r="BS316" t="s">
        <v>6218</v>
      </c>
      <c r="BT316" t="str">
        <f>HYPERLINK("https%3A%2F%2Fwww.webofscience.com%2Fwos%2Fwoscc%2Ffull-record%2FWOS:000304687400005","View Full Record in Web of Science")</f>
        <v>View Full Record in Web of Science</v>
      </c>
    </row>
    <row r="317" spans="1:72" x14ac:dyDescent="0.15">
      <c r="A317" t="s">
        <v>72</v>
      </c>
      <c r="B317" t="s">
        <v>6219</v>
      </c>
      <c r="C317" t="s">
        <v>74</v>
      </c>
      <c r="D317" t="s">
        <v>74</v>
      </c>
      <c r="E317" t="s">
        <v>74</v>
      </c>
      <c r="F317" t="s">
        <v>6220</v>
      </c>
      <c r="G317" t="s">
        <v>74</v>
      </c>
      <c r="H317" t="s">
        <v>74</v>
      </c>
      <c r="I317" t="s">
        <v>6221</v>
      </c>
      <c r="J317" t="s">
        <v>6196</v>
      </c>
      <c r="K317" t="s">
        <v>74</v>
      </c>
      <c r="L317" t="s">
        <v>74</v>
      </c>
      <c r="M317" t="s">
        <v>78</v>
      </c>
      <c r="N317" t="s">
        <v>79</v>
      </c>
      <c r="O317" t="s">
        <v>74</v>
      </c>
      <c r="P317" t="s">
        <v>74</v>
      </c>
      <c r="Q317" t="s">
        <v>74</v>
      </c>
      <c r="R317" t="s">
        <v>74</v>
      </c>
      <c r="S317" t="s">
        <v>74</v>
      </c>
      <c r="T317" t="s">
        <v>6222</v>
      </c>
      <c r="U317" t="s">
        <v>6223</v>
      </c>
      <c r="V317" t="s">
        <v>6224</v>
      </c>
      <c r="W317" t="s">
        <v>6225</v>
      </c>
      <c r="X317" t="s">
        <v>6226</v>
      </c>
      <c r="Y317" t="s">
        <v>6227</v>
      </c>
      <c r="Z317" t="s">
        <v>6228</v>
      </c>
      <c r="AA317" t="s">
        <v>74</v>
      </c>
      <c r="AB317" t="s">
        <v>6229</v>
      </c>
      <c r="AC317" t="s">
        <v>6230</v>
      </c>
      <c r="AD317" t="s">
        <v>6231</v>
      </c>
      <c r="AE317" t="s">
        <v>6232</v>
      </c>
      <c r="AF317" t="s">
        <v>74</v>
      </c>
      <c r="AG317">
        <v>75</v>
      </c>
      <c r="AH317">
        <v>23</v>
      </c>
      <c r="AI317">
        <v>29</v>
      </c>
      <c r="AJ317">
        <v>10</v>
      </c>
      <c r="AK317">
        <v>28</v>
      </c>
      <c r="AL317" t="s">
        <v>935</v>
      </c>
      <c r="AM317" t="s">
        <v>369</v>
      </c>
      <c r="AN317" t="s">
        <v>936</v>
      </c>
      <c r="AO317" t="s">
        <v>6209</v>
      </c>
      <c r="AP317" t="s">
        <v>6210</v>
      </c>
      <c r="AQ317" t="s">
        <v>74</v>
      </c>
      <c r="AR317" t="s">
        <v>6211</v>
      </c>
      <c r="AS317" t="s">
        <v>6212</v>
      </c>
      <c r="AT317" t="s">
        <v>6213</v>
      </c>
      <c r="AU317">
        <v>2012</v>
      </c>
      <c r="AV317">
        <v>303</v>
      </c>
      <c r="AW317" t="s">
        <v>74</v>
      </c>
      <c r="AX317" t="s">
        <v>74</v>
      </c>
      <c r="AY317" t="s">
        <v>74</v>
      </c>
      <c r="AZ317" t="s">
        <v>74</v>
      </c>
      <c r="BA317" t="s">
        <v>74</v>
      </c>
      <c r="BB317">
        <v>75</v>
      </c>
      <c r="BC317">
        <v>86</v>
      </c>
      <c r="BD317" t="s">
        <v>74</v>
      </c>
      <c r="BE317" t="s">
        <v>6233</v>
      </c>
      <c r="BF317" t="str">
        <f>HYPERLINK("http://dx.doi.org/10.1016/j.margeo.2012.02.003","http://dx.doi.org/10.1016/j.margeo.2012.02.003")</f>
        <v>http://dx.doi.org/10.1016/j.margeo.2012.02.003</v>
      </c>
      <c r="BG317" t="s">
        <v>74</v>
      </c>
      <c r="BH317" t="s">
        <v>74</v>
      </c>
      <c r="BI317">
        <v>12</v>
      </c>
      <c r="BJ317" t="s">
        <v>6215</v>
      </c>
      <c r="BK317" t="s">
        <v>99</v>
      </c>
      <c r="BL317" t="s">
        <v>6216</v>
      </c>
      <c r="BM317" t="s">
        <v>6217</v>
      </c>
      <c r="BN317" t="s">
        <v>74</v>
      </c>
      <c r="BO317" t="s">
        <v>74</v>
      </c>
      <c r="BP317" t="s">
        <v>74</v>
      </c>
      <c r="BQ317" t="s">
        <v>74</v>
      </c>
      <c r="BR317" t="s">
        <v>101</v>
      </c>
      <c r="BS317" t="s">
        <v>6234</v>
      </c>
      <c r="BT317" t="str">
        <f>HYPERLINK("https%3A%2F%2Fwww.webofscience.com%2Fwos%2Fwoscc%2Ffull-record%2FWOS:000304687400006","View Full Record in Web of Science")</f>
        <v>View Full Record in Web of Science</v>
      </c>
    </row>
    <row r="318" spans="1:72" x14ac:dyDescent="0.15">
      <c r="A318" t="s">
        <v>72</v>
      </c>
      <c r="B318" t="s">
        <v>6235</v>
      </c>
      <c r="C318" t="s">
        <v>74</v>
      </c>
      <c r="D318" t="s">
        <v>74</v>
      </c>
      <c r="E318" t="s">
        <v>74</v>
      </c>
      <c r="F318" t="s">
        <v>6236</v>
      </c>
      <c r="G318" t="s">
        <v>74</v>
      </c>
      <c r="H318" t="s">
        <v>74</v>
      </c>
      <c r="I318" t="s">
        <v>6237</v>
      </c>
      <c r="J318" t="s">
        <v>6196</v>
      </c>
      <c r="K318" t="s">
        <v>74</v>
      </c>
      <c r="L318" t="s">
        <v>74</v>
      </c>
      <c r="M318" t="s">
        <v>78</v>
      </c>
      <c r="N318" t="s">
        <v>79</v>
      </c>
      <c r="O318" t="s">
        <v>74</v>
      </c>
      <c r="P318" t="s">
        <v>74</v>
      </c>
      <c r="Q318" t="s">
        <v>74</v>
      </c>
      <c r="R318" t="s">
        <v>74</v>
      </c>
      <c r="S318" t="s">
        <v>74</v>
      </c>
      <c r="T318" t="s">
        <v>6238</v>
      </c>
      <c r="U318" t="s">
        <v>6239</v>
      </c>
      <c r="V318" t="s">
        <v>6240</v>
      </c>
      <c r="W318" t="s">
        <v>6241</v>
      </c>
      <c r="X318" t="s">
        <v>6242</v>
      </c>
      <c r="Y318" t="s">
        <v>6243</v>
      </c>
      <c r="Z318" t="s">
        <v>6244</v>
      </c>
      <c r="AA318" t="s">
        <v>6245</v>
      </c>
      <c r="AB318" t="s">
        <v>6246</v>
      </c>
      <c r="AC318" t="s">
        <v>6247</v>
      </c>
      <c r="AD318" t="s">
        <v>6248</v>
      </c>
      <c r="AE318" t="s">
        <v>6249</v>
      </c>
      <c r="AF318" t="s">
        <v>74</v>
      </c>
      <c r="AG318">
        <v>66</v>
      </c>
      <c r="AH318">
        <v>12</v>
      </c>
      <c r="AI318">
        <v>12</v>
      </c>
      <c r="AJ318">
        <v>1</v>
      </c>
      <c r="AK318">
        <v>22</v>
      </c>
      <c r="AL318" t="s">
        <v>935</v>
      </c>
      <c r="AM318" t="s">
        <v>369</v>
      </c>
      <c r="AN318" t="s">
        <v>936</v>
      </c>
      <c r="AO318" t="s">
        <v>6209</v>
      </c>
      <c r="AP318" t="s">
        <v>6210</v>
      </c>
      <c r="AQ318" t="s">
        <v>74</v>
      </c>
      <c r="AR318" t="s">
        <v>6211</v>
      </c>
      <c r="AS318" t="s">
        <v>6212</v>
      </c>
      <c r="AT318" t="s">
        <v>6213</v>
      </c>
      <c r="AU318">
        <v>2012</v>
      </c>
      <c r="AV318">
        <v>303</v>
      </c>
      <c r="AW318" t="s">
        <v>74</v>
      </c>
      <c r="AX318" t="s">
        <v>74</v>
      </c>
      <c r="AY318" t="s">
        <v>74</v>
      </c>
      <c r="AZ318" t="s">
        <v>74</v>
      </c>
      <c r="BA318" t="s">
        <v>74</v>
      </c>
      <c r="BB318">
        <v>183</v>
      </c>
      <c r="BC318">
        <v>192</v>
      </c>
      <c r="BD318" t="s">
        <v>74</v>
      </c>
      <c r="BE318" t="s">
        <v>6250</v>
      </c>
      <c r="BF318" t="str">
        <f>HYPERLINK("http://dx.doi.org/10.1016/j.margeo.2012.01.008","http://dx.doi.org/10.1016/j.margeo.2012.01.008")</f>
        <v>http://dx.doi.org/10.1016/j.margeo.2012.01.008</v>
      </c>
      <c r="BG318" t="s">
        <v>74</v>
      </c>
      <c r="BH318" t="s">
        <v>74</v>
      </c>
      <c r="BI318">
        <v>10</v>
      </c>
      <c r="BJ318" t="s">
        <v>6215</v>
      </c>
      <c r="BK318" t="s">
        <v>99</v>
      </c>
      <c r="BL318" t="s">
        <v>6216</v>
      </c>
      <c r="BM318" t="s">
        <v>6217</v>
      </c>
      <c r="BN318" t="s">
        <v>74</v>
      </c>
      <c r="BO318" t="s">
        <v>74</v>
      </c>
      <c r="BP318" t="s">
        <v>74</v>
      </c>
      <c r="BQ318" t="s">
        <v>74</v>
      </c>
      <c r="BR318" t="s">
        <v>101</v>
      </c>
      <c r="BS318" t="s">
        <v>6251</v>
      </c>
      <c r="BT318" t="str">
        <f>HYPERLINK("https%3A%2F%2Fwww.webofscience.com%2Fwos%2Fwoscc%2Ffull-record%2FWOS:000304687400013","View Full Record in Web of Science")</f>
        <v>View Full Record in Web of Science</v>
      </c>
    </row>
    <row r="319" spans="1:72" x14ac:dyDescent="0.15">
      <c r="A319" t="s">
        <v>72</v>
      </c>
      <c r="B319" t="s">
        <v>6252</v>
      </c>
      <c r="C319" t="s">
        <v>74</v>
      </c>
      <c r="D319" t="s">
        <v>74</v>
      </c>
      <c r="E319" t="s">
        <v>74</v>
      </c>
      <c r="F319" t="s">
        <v>6253</v>
      </c>
      <c r="G319" t="s">
        <v>74</v>
      </c>
      <c r="H319" t="s">
        <v>74</v>
      </c>
      <c r="I319" t="s">
        <v>6254</v>
      </c>
      <c r="J319" t="s">
        <v>3041</v>
      </c>
      <c r="K319" t="s">
        <v>74</v>
      </c>
      <c r="L319" t="s">
        <v>74</v>
      </c>
      <c r="M319" t="s">
        <v>78</v>
      </c>
      <c r="N319" t="s">
        <v>79</v>
      </c>
      <c r="O319" t="s">
        <v>74</v>
      </c>
      <c r="P319" t="s">
        <v>74</v>
      </c>
      <c r="Q319" t="s">
        <v>74</v>
      </c>
      <c r="R319" t="s">
        <v>74</v>
      </c>
      <c r="S319" t="s">
        <v>74</v>
      </c>
      <c r="T319" t="s">
        <v>6255</v>
      </c>
      <c r="U319" t="s">
        <v>6256</v>
      </c>
      <c r="V319" t="s">
        <v>6257</v>
      </c>
      <c r="W319" t="s">
        <v>6258</v>
      </c>
      <c r="X319" t="s">
        <v>6259</v>
      </c>
      <c r="Y319" t="s">
        <v>6260</v>
      </c>
      <c r="Z319" t="s">
        <v>6261</v>
      </c>
      <c r="AA319" t="s">
        <v>74</v>
      </c>
      <c r="AB319" t="s">
        <v>74</v>
      </c>
      <c r="AC319" t="s">
        <v>74</v>
      </c>
      <c r="AD319" t="s">
        <v>74</v>
      </c>
      <c r="AE319" t="s">
        <v>74</v>
      </c>
      <c r="AF319" t="s">
        <v>74</v>
      </c>
      <c r="AG319">
        <v>55</v>
      </c>
      <c r="AH319">
        <v>16</v>
      </c>
      <c r="AI319">
        <v>18</v>
      </c>
      <c r="AJ319">
        <v>0</v>
      </c>
      <c r="AK319">
        <v>18</v>
      </c>
      <c r="AL319" t="s">
        <v>935</v>
      </c>
      <c r="AM319" t="s">
        <v>369</v>
      </c>
      <c r="AN319" t="s">
        <v>936</v>
      </c>
      <c r="AO319" t="s">
        <v>3053</v>
      </c>
      <c r="AP319" t="s">
        <v>3054</v>
      </c>
      <c r="AQ319" t="s">
        <v>74</v>
      </c>
      <c r="AR319" t="s">
        <v>3055</v>
      </c>
      <c r="AS319" t="s">
        <v>3056</v>
      </c>
      <c r="AT319" t="s">
        <v>6213</v>
      </c>
      <c r="AU319">
        <v>2012</v>
      </c>
      <c r="AV319">
        <v>323</v>
      </c>
      <c r="AW319" t="s">
        <v>74</v>
      </c>
      <c r="AX319" t="s">
        <v>74</v>
      </c>
      <c r="AY319" t="s">
        <v>74</v>
      </c>
      <c r="AZ319" t="s">
        <v>74</v>
      </c>
      <c r="BA319" t="s">
        <v>74</v>
      </c>
      <c r="BB319">
        <v>100</v>
      </c>
      <c r="BC319">
        <v>109</v>
      </c>
      <c r="BD319" t="s">
        <v>74</v>
      </c>
      <c r="BE319" t="s">
        <v>6262</v>
      </c>
      <c r="BF319" t="str">
        <f>HYPERLINK("http://dx.doi.org/10.1016/j.palaeo.2012.01.035","http://dx.doi.org/10.1016/j.palaeo.2012.01.035")</f>
        <v>http://dx.doi.org/10.1016/j.palaeo.2012.01.035</v>
      </c>
      <c r="BG319" t="s">
        <v>74</v>
      </c>
      <c r="BH319" t="s">
        <v>74</v>
      </c>
      <c r="BI319">
        <v>10</v>
      </c>
      <c r="BJ319" t="s">
        <v>3058</v>
      </c>
      <c r="BK319" t="s">
        <v>99</v>
      </c>
      <c r="BL319" t="s">
        <v>3059</v>
      </c>
      <c r="BM319" t="s">
        <v>6263</v>
      </c>
      <c r="BN319" t="s">
        <v>74</v>
      </c>
      <c r="BO319" t="s">
        <v>74</v>
      </c>
      <c r="BP319" t="s">
        <v>74</v>
      </c>
      <c r="BQ319" t="s">
        <v>74</v>
      </c>
      <c r="BR319" t="s">
        <v>101</v>
      </c>
      <c r="BS319" t="s">
        <v>6264</v>
      </c>
      <c r="BT319" t="str">
        <f>HYPERLINK("https%3A%2F%2Fwww.webofscience.com%2Fwos%2Fwoscc%2Ffull-record%2FWOS:000302524000009","View Full Record in Web of Science")</f>
        <v>View Full Record in Web of Science</v>
      </c>
    </row>
    <row r="320" spans="1:72" x14ac:dyDescent="0.15">
      <c r="A320" t="s">
        <v>72</v>
      </c>
      <c r="B320" t="s">
        <v>6265</v>
      </c>
      <c r="C320" t="s">
        <v>74</v>
      </c>
      <c r="D320" t="s">
        <v>74</v>
      </c>
      <c r="E320" t="s">
        <v>74</v>
      </c>
      <c r="F320" t="s">
        <v>6266</v>
      </c>
      <c r="G320" t="s">
        <v>74</v>
      </c>
      <c r="H320" t="s">
        <v>74</v>
      </c>
      <c r="I320" t="s">
        <v>6267</v>
      </c>
      <c r="J320" t="s">
        <v>1240</v>
      </c>
      <c r="K320" t="s">
        <v>74</v>
      </c>
      <c r="L320" t="s">
        <v>74</v>
      </c>
      <c r="M320" t="s">
        <v>78</v>
      </c>
      <c r="N320" t="s">
        <v>79</v>
      </c>
      <c r="O320" t="s">
        <v>74</v>
      </c>
      <c r="P320" t="s">
        <v>74</v>
      </c>
      <c r="Q320" t="s">
        <v>74</v>
      </c>
      <c r="R320" t="s">
        <v>74</v>
      </c>
      <c r="S320" t="s">
        <v>74</v>
      </c>
      <c r="T320" t="s">
        <v>6268</v>
      </c>
      <c r="U320" t="s">
        <v>6269</v>
      </c>
      <c r="V320" t="s">
        <v>6270</v>
      </c>
      <c r="W320" t="s">
        <v>6271</v>
      </c>
      <c r="X320" t="s">
        <v>6272</v>
      </c>
      <c r="Y320" t="s">
        <v>6273</v>
      </c>
      <c r="Z320" t="s">
        <v>6274</v>
      </c>
      <c r="AA320" t="s">
        <v>6275</v>
      </c>
      <c r="AB320" t="s">
        <v>6276</v>
      </c>
      <c r="AC320" t="s">
        <v>6277</v>
      </c>
      <c r="AD320" t="s">
        <v>6278</v>
      </c>
      <c r="AE320" t="s">
        <v>6279</v>
      </c>
      <c r="AF320" t="s">
        <v>74</v>
      </c>
      <c r="AG320">
        <v>63</v>
      </c>
      <c r="AH320">
        <v>55</v>
      </c>
      <c r="AI320">
        <v>62</v>
      </c>
      <c r="AJ320">
        <v>5</v>
      </c>
      <c r="AK320">
        <v>88</v>
      </c>
      <c r="AL320" t="s">
        <v>368</v>
      </c>
      <c r="AM320" t="s">
        <v>369</v>
      </c>
      <c r="AN320" t="s">
        <v>370</v>
      </c>
      <c r="AO320" t="s">
        <v>1253</v>
      </c>
      <c r="AP320" t="s">
        <v>1254</v>
      </c>
      <c r="AQ320" t="s">
        <v>74</v>
      </c>
      <c r="AR320" t="s">
        <v>1255</v>
      </c>
      <c r="AS320" t="s">
        <v>1256</v>
      </c>
      <c r="AT320" t="s">
        <v>6213</v>
      </c>
      <c r="AU320">
        <v>2012</v>
      </c>
      <c r="AV320">
        <v>420</v>
      </c>
      <c r="AW320" t="s">
        <v>74</v>
      </c>
      <c r="AX320" t="s">
        <v>74</v>
      </c>
      <c r="AY320" t="s">
        <v>74</v>
      </c>
      <c r="AZ320" t="s">
        <v>74</v>
      </c>
      <c r="BA320" t="s">
        <v>74</v>
      </c>
      <c r="BB320">
        <v>229</v>
      </c>
      <c r="BC320">
        <v>237</v>
      </c>
      <c r="BD320" t="s">
        <v>74</v>
      </c>
      <c r="BE320" t="s">
        <v>6280</v>
      </c>
      <c r="BF320" t="str">
        <f>HYPERLINK("http://dx.doi.org/10.1016/j.scitotenv.2012.01.033","http://dx.doi.org/10.1016/j.scitotenv.2012.01.033")</f>
        <v>http://dx.doi.org/10.1016/j.scitotenv.2012.01.033</v>
      </c>
      <c r="BG320" t="s">
        <v>74</v>
      </c>
      <c r="BH320" t="s">
        <v>74</v>
      </c>
      <c r="BI320">
        <v>9</v>
      </c>
      <c r="BJ320" t="s">
        <v>1258</v>
      </c>
      <c r="BK320" t="s">
        <v>99</v>
      </c>
      <c r="BL320" t="s">
        <v>1259</v>
      </c>
      <c r="BM320" t="s">
        <v>6281</v>
      </c>
      <c r="BN320">
        <v>22321900</v>
      </c>
      <c r="BO320" t="s">
        <v>74</v>
      </c>
      <c r="BP320" t="s">
        <v>74</v>
      </c>
      <c r="BQ320" t="s">
        <v>74</v>
      </c>
      <c r="BR320" t="s">
        <v>101</v>
      </c>
      <c r="BS320" t="s">
        <v>6282</v>
      </c>
      <c r="BT320" t="str">
        <f>HYPERLINK("https%3A%2F%2Fwww.webofscience.com%2Fwos%2Fwoscc%2Ffull-record%2FWOS:000301991200024","View Full Record in Web of Science")</f>
        <v>View Full Record in Web of Science</v>
      </c>
    </row>
    <row r="321" spans="1:72" x14ac:dyDescent="0.15">
      <c r="A321" t="s">
        <v>72</v>
      </c>
      <c r="B321" t="s">
        <v>6283</v>
      </c>
      <c r="C321" t="s">
        <v>74</v>
      </c>
      <c r="D321" t="s">
        <v>74</v>
      </c>
      <c r="E321" t="s">
        <v>74</v>
      </c>
      <c r="F321" t="s">
        <v>6284</v>
      </c>
      <c r="G321" t="s">
        <v>74</v>
      </c>
      <c r="H321" t="s">
        <v>74</v>
      </c>
      <c r="I321" t="s">
        <v>6285</v>
      </c>
      <c r="J321" t="s">
        <v>420</v>
      </c>
      <c r="K321" t="s">
        <v>74</v>
      </c>
      <c r="L321" t="s">
        <v>74</v>
      </c>
      <c r="M321" t="s">
        <v>78</v>
      </c>
      <c r="N321" t="s">
        <v>79</v>
      </c>
      <c r="O321" t="s">
        <v>74</v>
      </c>
      <c r="P321" t="s">
        <v>74</v>
      </c>
      <c r="Q321" t="s">
        <v>74</v>
      </c>
      <c r="R321" t="s">
        <v>74</v>
      </c>
      <c r="S321" t="s">
        <v>74</v>
      </c>
      <c r="T321" t="s">
        <v>74</v>
      </c>
      <c r="U321" t="s">
        <v>6286</v>
      </c>
      <c r="V321" t="s">
        <v>6287</v>
      </c>
      <c r="W321" t="s">
        <v>6288</v>
      </c>
      <c r="X321" t="s">
        <v>6289</v>
      </c>
      <c r="Y321" t="s">
        <v>6290</v>
      </c>
      <c r="Z321" t="s">
        <v>6291</v>
      </c>
      <c r="AA321" t="s">
        <v>6292</v>
      </c>
      <c r="AB321" t="s">
        <v>6293</v>
      </c>
      <c r="AC321" t="s">
        <v>74</v>
      </c>
      <c r="AD321" t="s">
        <v>74</v>
      </c>
      <c r="AE321" t="s">
        <v>74</v>
      </c>
      <c r="AF321" t="s">
        <v>74</v>
      </c>
      <c r="AG321">
        <v>29</v>
      </c>
      <c r="AH321">
        <v>10</v>
      </c>
      <c r="AI321">
        <v>11</v>
      </c>
      <c r="AJ321">
        <v>0</v>
      </c>
      <c r="AK321">
        <v>10</v>
      </c>
      <c r="AL321" t="s">
        <v>118</v>
      </c>
      <c r="AM321" t="s">
        <v>119</v>
      </c>
      <c r="AN321" t="s">
        <v>120</v>
      </c>
      <c r="AO321" t="s">
        <v>432</v>
      </c>
      <c r="AP321" t="s">
        <v>433</v>
      </c>
      <c r="AQ321" t="s">
        <v>74</v>
      </c>
      <c r="AR321" t="s">
        <v>434</v>
      </c>
      <c r="AS321" t="s">
        <v>435</v>
      </c>
      <c r="AT321" t="s">
        <v>6213</v>
      </c>
      <c r="AU321">
        <v>2012</v>
      </c>
      <c r="AV321">
        <v>117</v>
      </c>
      <c r="AW321" t="s">
        <v>74</v>
      </c>
      <c r="AX321" t="s">
        <v>74</v>
      </c>
      <c r="AY321" t="s">
        <v>74</v>
      </c>
      <c r="AZ321" t="s">
        <v>74</v>
      </c>
      <c r="BA321" t="s">
        <v>74</v>
      </c>
      <c r="BB321" t="s">
        <v>74</v>
      </c>
      <c r="BC321" t="s">
        <v>74</v>
      </c>
      <c r="BD321" t="s">
        <v>6294</v>
      </c>
      <c r="BE321" t="s">
        <v>6295</v>
      </c>
      <c r="BF321" t="str">
        <f>HYPERLINK("http://dx.doi.org/10.1029/2011JA016923","http://dx.doi.org/10.1029/2011JA016923")</f>
        <v>http://dx.doi.org/10.1029/2011JA016923</v>
      </c>
      <c r="BG321" t="s">
        <v>74</v>
      </c>
      <c r="BH321" t="s">
        <v>74</v>
      </c>
      <c r="BI321">
        <v>15</v>
      </c>
      <c r="BJ321" t="s">
        <v>438</v>
      </c>
      <c r="BK321" t="s">
        <v>99</v>
      </c>
      <c r="BL321" t="s">
        <v>438</v>
      </c>
      <c r="BM321" t="s">
        <v>6296</v>
      </c>
      <c r="BN321" t="s">
        <v>74</v>
      </c>
      <c r="BO321" t="s">
        <v>74</v>
      </c>
      <c r="BP321" t="s">
        <v>74</v>
      </c>
      <c r="BQ321" t="s">
        <v>74</v>
      </c>
      <c r="BR321" t="s">
        <v>101</v>
      </c>
      <c r="BS321" t="s">
        <v>6297</v>
      </c>
      <c r="BT321" t="str">
        <f>HYPERLINK("https%3A%2F%2Fwww.webofscience.com%2Fwos%2Fwoscc%2Ffull-record%2FWOS:000301666000001","View Full Record in Web of Science")</f>
        <v>View Full Record in Web of Science</v>
      </c>
    </row>
    <row r="322" spans="1:72" x14ac:dyDescent="0.15">
      <c r="A322" t="s">
        <v>72</v>
      </c>
      <c r="B322" t="s">
        <v>6298</v>
      </c>
      <c r="C322" t="s">
        <v>74</v>
      </c>
      <c r="D322" t="s">
        <v>74</v>
      </c>
      <c r="E322" t="s">
        <v>74</v>
      </c>
      <c r="F322" t="s">
        <v>6299</v>
      </c>
      <c r="G322" t="s">
        <v>74</v>
      </c>
      <c r="H322" t="s">
        <v>74</v>
      </c>
      <c r="I322" t="s">
        <v>6300</v>
      </c>
      <c r="J322" t="s">
        <v>3065</v>
      </c>
      <c r="K322" t="s">
        <v>74</v>
      </c>
      <c r="L322" t="s">
        <v>74</v>
      </c>
      <c r="M322" t="s">
        <v>78</v>
      </c>
      <c r="N322" t="s">
        <v>1073</v>
      </c>
      <c r="O322" t="s">
        <v>74</v>
      </c>
      <c r="P322" t="s">
        <v>74</v>
      </c>
      <c r="Q322" t="s">
        <v>74</v>
      </c>
      <c r="R322" t="s">
        <v>74</v>
      </c>
      <c r="S322" t="s">
        <v>74</v>
      </c>
      <c r="T322" t="s">
        <v>6301</v>
      </c>
      <c r="U322" t="s">
        <v>6302</v>
      </c>
      <c r="V322" t="s">
        <v>6303</v>
      </c>
      <c r="W322" t="s">
        <v>6304</v>
      </c>
      <c r="X322" t="s">
        <v>6305</v>
      </c>
      <c r="Y322" t="s">
        <v>6306</v>
      </c>
      <c r="Z322" t="s">
        <v>6307</v>
      </c>
      <c r="AA322" t="s">
        <v>6308</v>
      </c>
      <c r="AB322" t="s">
        <v>6309</v>
      </c>
      <c r="AC322" t="s">
        <v>6310</v>
      </c>
      <c r="AD322" t="s">
        <v>6311</v>
      </c>
      <c r="AE322" t="s">
        <v>6312</v>
      </c>
      <c r="AF322" t="s">
        <v>74</v>
      </c>
      <c r="AG322">
        <v>218</v>
      </c>
      <c r="AH322">
        <v>55</v>
      </c>
      <c r="AI322">
        <v>55</v>
      </c>
      <c r="AJ322">
        <v>3</v>
      </c>
      <c r="AK322">
        <v>61</v>
      </c>
      <c r="AL322" t="s">
        <v>935</v>
      </c>
      <c r="AM322" t="s">
        <v>369</v>
      </c>
      <c r="AN322" t="s">
        <v>936</v>
      </c>
      <c r="AO322" t="s">
        <v>3078</v>
      </c>
      <c r="AP322" t="s">
        <v>3079</v>
      </c>
      <c r="AQ322" t="s">
        <v>74</v>
      </c>
      <c r="AR322" t="s">
        <v>3080</v>
      </c>
      <c r="AS322" t="s">
        <v>3081</v>
      </c>
      <c r="AT322" t="s">
        <v>6213</v>
      </c>
      <c r="AU322">
        <v>2012</v>
      </c>
      <c r="AV322">
        <v>247</v>
      </c>
      <c r="AW322" t="s">
        <v>74</v>
      </c>
      <c r="AX322" t="s">
        <v>74</v>
      </c>
      <c r="AY322" t="s">
        <v>74</v>
      </c>
      <c r="AZ322" t="s">
        <v>74</v>
      </c>
      <c r="BA322" t="s">
        <v>74</v>
      </c>
      <c r="BB322">
        <v>21</v>
      </c>
      <c r="BC322">
        <v>38</v>
      </c>
      <c r="BD322" t="s">
        <v>74</v>
      </c>
      <c r="BE322" t="s">
        <v>6313</v>
      </c>
      <c r="BF322" t="str">
        <f>HYPERLINK("http://dx.doi.org/10.1016/j.sedgeo.2011.12.001","http://dx.doi.org/10.1016/j.sedgeo.2011.12.001")</f>
        <v>http://dx.doi.org/10.1016/j.sedgeo.2011.12.001</v>
      </c>
      <c r="BG322" t="s">
        <v>74</v>
      </c>
      <c r="BH322" t="s">
        <v>74</v>
      </c>
      <c r="BI322">
        <v>18</v>
      </c>
      <c r="BJ322" t="s">
        <v>195</v>
      </c>
      <c r="BK322" t="s">
        <v>99</v>
      </c>
      <c r="BL322" t="s">
        <v>195</v>
      </c>
      <c r="BM322" t="s">
        <v>6314</v>
      </c>
      <c r="BN322" t="s">
        <v>74</v>
      </c>
      <c r="BO322" t="s">
        <v>74</v>
      </c>
      <c r="BP322" t="s">
        <v>74</v>
      </c>
      <c r="BQ322" t="s">
        <v>74</v>
      </c>
      <c r="BR322" t="s">
        <v>101</v>
      </c>
      <c r="BS322" t="s">
        <v>6315</v>
      </c>
      <c r="BT322" t="str">
        <f>HYPERLINK("https%3A%2F%2Fwww.webofscience.com%2Fwos%2Fwoscc%2Ffull-record%2FWOS:000301634800002","View Full Record in Web of Science")</f>
        <v>View Full Record in Web of Science</v>
      </c>
    </row>
    <row r="323" spans="1:72" x14ac:dyDescent="0.15">
      <c r="A323" t="s">
        <v>72</v>
      </c>
      <c r="B323" t="s">
        <v>6316</v>
      </c>
      <c r="C323" t="s">
        <v>74</v>
      </c>
      <c r="D323" t="s">
        <v>74</v>
      </c>
      <c r="E323" t="s">
        <v>74</v>
      </c>
      <c r="F323" t="s">
        <v>6317</v>
      </c>
      <c r="G323" t="s">
        <v>74</v>
      </c>
      <c r="H323" t="s">
        <v>74</v>
      </c>
      <c r="I323" t="s">
        <v>6318</v>
      </c>
      <c r="J323" t="s">
        <v>6319</v>
      </c>
      <c r="K323" t="s">
        <v>74</v>
      </c>
      <c r="L323" t="s">
        <v>74</v>
      </c>
      <c r="M323" t="s">
        <v>78</v>
      </c>
      <c r="N323" t="s">
        <v>79</v>
      </c>
      <c r="O323" t="s">
        <v>74</v>
      </c>
      <c r="P323" t="s">
        <v>74</v>
      </c>
      <c r="Q323" t="s">
        <v>74</v>
      </c>
      <c r="R323" t="s">
        <v>74</v>
      </c>
      <c r="S323" t="s">
        <v>74</v>
      </c>
      <c r="T323" t="s">
        <v>74</v>
      </c>
      <c r="U323" t="s">
        <v>6320</v>
      </c>
      <c r="V323" t="s">
        <v>6321</v>
      </c>
      <c r="W323" t="s">
        <v>6322</v>
      </c>
      <c r="X323" t="s">
        <v>6323</v>
      </c>
      <c r="Y323" t="s">
        <v>6324</v>
      </c>
      <c r="Z323" t="s">
        <v>6325</v>
      </c>
      <c r="AA323" t="s">
        <v>6326</v>
      </c>
      <c r="AB323" t="s">
        <v>6327</v>
      </c>
      <c r="AC323" t="s">
        <v>6328</v>
      </c>
      <c r="AD323" t="s">
        <v>6329</v>
      </c>
      <c r="AE323" t="s">
        <v>6330</v>
      </c>
      <c r="AF323" t="s">
        <v>74</v>
      </c>
      <c r="AG323">
        <v>49</v>
      </c>
      <c r="AH323">
        <v>80</v>
      </c>
      <c r="AI323">
        <v>86</v>
      </c>
      <c r="AJ323">
        <v>2</v>
      </c>
      <c r="AK323">
        <v>67</v>
      </c>
      <c r="AL323" t="s">
        <v>277</v>
      </c>
      <c r="AM323" t="s">
        <v>278</v>
      </c>
      <c r="AN323" t="s">
        <v>279</v>
      </c>
      <c r="AO323" t="s">
        <v>6331</v>
      </c>
      <c r="AP323" t="s">
        <v>6332</v>
      </c>
      <c r="AQ323" t="s">
        <v>74</v>
      </c>
      <c r="AR323" t="s">
        <v>6333</v>
      </c>
      <c r="AS323" t="s">
        <v>6334</v>
      </c>
      <c r="AT323" t="s">
        <v>6213</v>
      </c>
      <c r="AU323">
        <v>2012</v>
      </c>
      <c r="AV323">
        <v>81</v>
      </c>
      <c r="AW323" t="s">
        <v>74</v>
      </c>
      <c r="AX323" t="s">
        <v>74</v>
      </c>
      <c r="AY323" t="s">
        <v>74</v>
      </c>
      <c r="AZ323" t="s">
        <v>74</v>
      </c>
      <c r="BA323" t="s">
        <v>74</v>
      </c>
      <c r="BB323">
        <v>82</v>
      </c>
      <c r="BC323">
        <v>93</v>
      </c>
      <c r="BD323" t="s">
        <v>74</v>
      </c>
      <c r="BE323" t="s">
        <v>6335</v>
      </c>
      <c r="BF323" t="str">
        <f>HYPERLINK("http://dx.doi.org/10.1016/j.gca.2011.12.004","http://dx.doi.org/10.1016/j.gca.2011.12.004")</f>
        <v>http://dx.doi.org/10.1016/j.gca.2011.12.004</v>
      </c>
      <c r="BG323" t="s">
        <v>74</v>
      </c>
      <c r="BH323" t="s">
        <v>74</v>
      </c>
      <c r="BI323">
        <v>12</v>
      </c>
      <c r="BJ323" t="s">
        <v>1134</v>
      </c>
      <c r="BK323" t="s">
        <v>99</v>
      </c>
      <c r="BL323" t="s">
        <v>1134</v>
      </c>
      <c r="BM323" t="s">
        <v>6336</v>
      </c>
      <c r="BN323" t="s">
        <v>74</v>
      </c>
      <c r="BO323" t="s">
        <v>74</v>
      </c>
      <c r="BP323" t="s">
        <v>74</v>
      </c>
      <c r="BQ323" t="s">
        <v>74</v>
      </c>
      <c r="BR323" t="s">
        <v>101</v>
      </c>
      <c r="BS323" t="s">
        <v>6337</v>
      </c>
      <c r="BT323" t="str">
        <f>HYPERLINK("https%3A%2F%2Fwww.webofscience.com%2Fwos%2Fwoscc%2Ffull-record%2FWOS:000300450000007","View Full Record in Web of Science")</f>
        <v>View Full Record in Web of Science</v>
      </c>
    </row>
    <row r="324" spans="1:72" x14ac:dyDescent="0.15">
      <c r="A324" t="s">
        <v>72</v>
      </c>
      <c r="B324" t="s">
        <v>6338</v>
      </c>
      <c r="C324" t="s">
        <v>74</v>
      </c>
      <c r="D324" t="s">
        <v>74</v>
      </c>
      <c r="E324" t="s">
        <v>74</v>
      </c>
      <c r="F324" t="s">
        <v>6339</v>
      </c>
      <c r="G324" t="s">
        <v>74</v>
      </c>
      <c r="H324" t="s">
        <v>74</v>
      </c>
      <c r="I324" t="s">
        <v>6340</v>
      </c>
      <c r="J324" t="s">
        <v>2998</v>
      </c>
      <c r="K324" t="s">
        <v>74</v>
      </c>
      <c r="L324" t="s">
        <v>74</v>
      </c>
      <c r="M324" t="s">
        <v>78</v>
      </c>
      <c r="N324" t="s">
        <v>79</v>
      </c>
      <c r="O324" t="s">
        <v>74</v>
      </c>
      <c r="P324" t="s">
        <v>74</v>
      </c>
      <c r="Q324" t="s">
        <v>74</v>
      </c>
      <c r="R324" t="s">
        <v>74</v>
      </c>
      <c r="S324" t="s">
        <v>74</v>
      </c>
      <c r="T324" t="s">
        <v>6341</v>
      </c>
      <c r="U324" t="s">
        <v>6342</v>
      </c>
      <c r="V324" t="s">
        <v>6343</v>
      </c>
      <c r="W324" t="s">
        <v>6344</v>
      </c>
      <c r="X324" t="s">
        <v>74</v>
      </c>
      <c r="Y324" t="s">
        <v>6345</v>
      </c>
      <c r="Z324" t="s">
        <v>6346</v>
      </c>
      <c r="AA324" t="s">
        <v>6347</v>
      </c>
      <c r="AB324" t="s">
        <v>6348</v>
      </c>
      <c r="AC324" t="s">
        <v>6349</v>
      </c>
      <c r="AD324" t="s">
        <v>6350</v>
      </c>
      <c r="AE324" t="s">
        <v>6351</v>
      </c>
      <c r="AF324" t="s">
        <v>74</v>
      </c>
      <c r="AG324">
        <v>39</v>
      </c>
      <c r="AH324">
        <v>248</v>
      </c>
      <c r="AI324">
        <v>279</v>
      </c>
      <c r="AJ324">
        <v>4</v>
      </c>
      <c r="AK324">
        <v>117</v>
      </c>
      <c r="AL324" t="s">
        <v>1548</v>
      </c>
      <c r="AM324" t="s">
        <v>656</v>
      </c>
      <c r="AN324" t="s">
        <v>1549</v>
      </c>
      <c r="AO324" t="s">
        <v>3008</v>
      </c>
      <c r="AP324" t="s">
        <v>3009</v>
      </c>
      <c r="AQ324" t="s">
        <v>74</v>
      </c>
      <c r="AR324" t="s">
        <v>3010</v>
      </c>
      <c r="AS324" t="s">
        <v>3011</v>
      </c>
      <c r="AT324" t="s">
        <v>6213</v>
      </c>
      <c r="AU324">
        <v>2012</v>
      </c>
      <c r="AV324">
        <v>118</v>
      </c>
      <c r="AW324" t="s">
        <v>74</v>
      </c>
      <c r="AX324" t="s">
        <v>74</v>
      </c>
      <c r="AY324" t="s">
        <v>74</v>
      </c>
      <c r="AZ324" t="s">
        <v>74</v>
      </c>
      <c r="BA324" t="s">
        <v>74</v>
      </c>
      <c r="BB324">
        <v>339</v>
      </c>
      <c r="BC324">
        <v>355</v>
      </c>
      <c r="BD324" t="s">
        <v>74</v>
      </c>
      <c r="BE324" t="s">
        <v>6352</v>
      </c>
      <c r="BF324" t="str">
        <f>HYPERLINK("http://dx.doi.org/10.1016/j.rse.2011.11.024","http://dx.doi.org/10.1016/j.rse.2011.11.024")</f>
        <v>http://dx.doi.org/10.1016/j.rse.2011.11.024</v>
      </c>
      <c r="BG324" t="s">
        <v>74</v>
      </c>
      <c r="BH324" t="s">
        <v>74</v>
      </c>
      <c r="BI324">
        <v>17</v>
      </c>
      <c r="BJ324" t="s">
        <v>3013</v>
      </c>
      <c r="BK324" t="s">
        <v>99</v>
      </c>
      <c r="BL324" t="s">
        <v>3014</v>
      </c>
      <c r="BM324" t="s">
        <v>6353</v>
      </c>
      <c r="BN324" t="s">
        <v>74</v>
      </c>
      <c r="BO324" t="s">
        <v>74</v>
      </c>
      <c r="BP324" t="s">
        <v>74</v>
      </c>
      <c r="BQ324" t="s">
        <v>74</v>
      </c>
      <c r="BR324" t="s">
        <v>101</v>
      </c>
      <c r="BS324" t="s">
        <v>6354</v>
      </c>
      <c r="BT324" t="str">
        <f>HYPERLINK("https%3A%2F%2Fwww.webofscience.com%2Fwos%2Fwoscc%2Ffull-record%2FWOS:000300517700029","View Full Record in Web of Science")</f>
        <v>View Full Record in Web of Science</v>
      </c>
    </row>
    <row r="325" spans="1:72" x14ac:dyDescent="0.15">
      <c r="A325" t="s">
        <v>72</v>
      </c>
      <c r="B325" t="s">
        <v>6355</v>
      </c>
      <c r="C325" t="s">
        <v>74</v>
      </c>
      <c r="D325" t="s">
        <v>74</v>
      </c>
      <c r="E325" t="s">
        <v>74</v>
      </c>
      <c r="F325" t="s">
        <v>6356</v>
      </c>
      <c r="G325" t="s">
        <v>74</v>
      </c>
      <c r="H325" t="s">
        <v>74</v>
      </c>
      <c r="I325" t="s">
        <v>6357</v>
      </c>
      <c r="J325" t="s">
        <v>6319</v>
      </c>
      <c r="K325" t="s">
        <v>74</v>
      </c>
      <c r="L325" t="s">
        <v>74</v>
      </c>
      <c r="M325" t="s">
        <v>78</v>
      </c>
      <c r="N325" t="s">
        <v>79</v>
      </c>
      <c r="O325" t="s">
        <v>74</v>
      </c>
      <c r="P325" t="s">
        <v>74</v>
      </c>
      <c r="Q325" t="s">
        <v>74</v>
      </c>
      <c r="R325" t="s">
        <v>74</v>
      </c>
      <c r="S325" t="s">
        <v>74</v>
      </c>
      <c r="T325" t="s">
        <v>74</v>
      </c>
      <c r="U325" t="s">
        <v>6358</v>
      </c>
      <c r="V325" t="s">
        <v>6359</v>
      </c>
      <c r="W325" t="s">
        <v>6360</v>
      </c>
      <c r="X325" t="s">
        <v>6361</v>
      </c>
      <c r="Y325" t="s">
        <v>6362</v>
      </c>
      <c r="Z325" t="s">
        <v>6363</v>
      </c>
      <c r="AA325" t="s">
        <v>6364</v>
      </c>
      <c r="AB325" t="s">
        <v>6365</v>
      </c>
      <c r="AC325" t="s">
        <v>6366</v>
      </c>
      <c r="AD325" t="s">
        <v>6367</v>
      </c>
      <c r="AE325" t="s">
        <v>6368</v>
      </c>
      <c r="AF325" t="s">
        <v>74</v>
      </c>
      <c r="AG325">
        <v>48</v>
      </c>
      <c r="AH325">
        <v>74</v>
      </c>
      <c r="AI325">
        <v>76</v>
      </c>
      <c r="AJ325">
        <v>1</v>
      </c>
      <c r="AK325">
        <v>53</v>
      </c>
      <c r="AL325" t="s">
        <v>277</v>
      </c>
      <c r="AM325" t="s">
        <v>278</v>
      </c>
      <c r="AN325" t="s">
        <v>279</v>
      </c>
      <c r="AO325" t="s">
        <v>6331</v>
      </c>
      <c r="AP325" t="s">
        <v>6332</v>
      </c>
      <c r="AQ325" t="s">
        <v>74</v>
      </c>
      <c r="AR325" t="s">
        <v>6333</v>
      </c>
      <c r="AS325" t="s">
        <v>6334</v>
      </c>
      <c r="AT325" t="s">
        <v>6213</v>
      </c>
      <c r="AU325">
        <v>2012</v>
      </c>
      <c r="AV325">
        <v>81</v>
      </c>
      <c r="AW325" t="s">
        <v>74</v>
      </c>
      <c r="AX325" t="s">
        <v>74</v>
      </c>
      <c r="AY325" t="s">
        <v>74</v>
      </c>
      <c r="AZ325" t="s">
        <v>74</v>
      </c>
      <c r="BA325" t="s">
        <v>74</v>
      </c>
      <c r="BB325">
        <v>1</v>
      </c>
      <c r="BC325">
        <v>12</v>
      </c>
      <c r="BD325" t="s">
        <v>74</v>
      </c>
      <c r="BE325" t="s">
        <v>6369</v>
      </c>
      <c r="BF325" t="str">
        <f>HYPERLINK("http://dx.doi.org/10.1016/j.gca.2011.12.010","http://dx.doi.org/10.1016/j.gca.2011.12.010")</f>
        <v>http://dx.doi.org/10.1016/j.gca.2011.12.010</v>
      </c>
      <c r="BG325" t="s">
        <v>74</v>
      </c>
      <c r="BH325" t="s">
        <v>74</v>
      </c>
      <c r="BI325">
        <v>12</v>
      </c>
      <c r="BJ325" t="s">
        <v>1134</v>
      </c>
      <c r="BK325" t="s">
        <v>99</v>
      </c>
      <c r="BL325" t="s">
        <v>1134</v>
      </c>
      <c r="BM325" t="s">
        <v>6336</v>
      </c>
      <c r="BN325" t="s">
        <v>74</v>
      </c>
      <c r="BO325" t="s">
        <v>156</v>
      </c>
      <c r="BP325" t="s">
        <v>74</v>
      </c>
      <c r="BQ325" t="s">
        <v>74</v>
      </c>
      <c r="BR325" t="s">
        <v>101</v>
      </c>
      <c r="BS325" t="s">
        <v>6370</v>
      </c>
      <c r="BT325" t="str">
        <f>HYPERLINK("https%3A%2F%2Fwww.webofscience.com%2Fwos%2Fwoscc%2Ffull-record%2FWOS:000300450000001","View Full Record in Web of Science")</f>
        <v>View Full Record in Web of Science</v>
      </c>
    </row>
    <row r="326" spans="1:72" x14ac:dyDescent="0.15">
      <c r="A326" t="s">
        <v>72</v>
      </c>
      <c r="B326" t="s">
        <v>6371</v>
      </c>
      <c r="C326" t="s">
        <v>74</v>
      </c>
      <c r="D326" t="s">
        <v>74</v>
      </c>
      <c r="E326" t="s">
        <v>74</v>
      </c>
      <c r="F326" t="s">
        <v>6372</v>
      </c>
      <c r="G326" t="s">
        <v>74</v>
      </c>
      <c r="H326" t="s">
        <v>74</v>
      </c>
      <c r="I326" t="s">
        <v>6373</v>
      </c>
      <c r="J326" t="s">
        <v>1151</v>
      </c>
      <c r="K326" t="s">
        <v>74</v>
      </c>
      <c r="L326" t="s">
        <v>74</v>
      </c>
      <c r="M326" t="s">
        <v>78</v>
      </c>
      <c r="N326" t="s">
        <v>79</v>
      </c>
      <c r="O326" t="s">
        <v>74</v>
      </c>
      <c r="P326" t="s">
        <v>74</v>
      </c>
      <c r="Q326" t="s">
        <v>74</v>
      </c>
      <c r="R326" t="s">
        <v>74</v>
      </c>
      <c r="S326" t="s">
        <v>74</v>
      </c>
      <c r="T326" t="s">
        <v>74</v>
      </c>
      <c r="U326" t="s">
        <v>6374</v>
      </c>
      <c r="V326" t="s">
        <v>6375</v>
      </c>
      <c r="W326" t="s">
        <v>6376</v>
      </c>
      <c r="X326" t="s">
        <v>6377</v>
      </c>
      <c r="Y326" t="s">
        <v>6378</v>
      </c>
      <c r="Z326" t="s">
        <v>6379</v>
      </c>
      <c r="AA326" t="s">
        <v>74</v>
      </c>
      <c r="AB326" t="s">
        <v>6380</v>
      </c>
      <c r="AC326" t="s">
        <v>6381</v>
      </c>
      <c r="AD326" t="s">
        <v>6382</v>
      </c>
      <c r="AE326" t="s">
        <v>6383</v>
      </c>
      <c r="AF326" t="s">
        <v>74</v>
      </c>
      <c r="AG326">
        <v>98</v>
      </c>
      <c r="AH326">
        <v>103</v>
      </c>
      <c r="AI326">
        <v>112</v>
      </c>
      <c r="AJ326">
        <v>0</v>
      </c>
      <c r="AK326">
        <v>26</v>
      </c>
      <c r="AL326" t="s">
        <v>997</v>
      </c>
      <c r="AM326" t="s">
        <v>998</v>
      </c>
      <c r="AN326" t="s">
        <v>1359</v>
      </c>
      <c r="AO326" t="s">
        <v>1163</v>
      </c>
      <c r="AP326" t="s">
        <v>1164</v>
      </c>
      <c r="AQ326" t="s">
        <v>74</v>
      </c>
      <c r="AR326" t="s">
        <v>1165</v>
      </c>
      <c r="AS326" t="s">
        <v>1166</v>
      </c>
      <c r="AT326" t="s">
        <v>6213</v>
      </c>
      <c r="AU326">
        <v>2012</v>
      </c>
      <c r="AV326">
        <v>25</v>
      </c>
      <c r="AW326">
        <v>6</v>
      </c>
      <c r="AX326" t="s">
        <v>74</v>
      </c>
      <c r="AY326" t="s">
        <v>74</v>
      </c>
      <c r="AZ326" t="s">
        <v>74</v>
      </c>
      <c r="BA326" t="s">
        <v>74</v>
      </c>
      <c r="BB326">
        <v>1945</v>
      </c>
      <c r="BC326">
        <v>1962</v>
      </c>
      <c r="BD326" t="s">
        <v>74</v>
      </c>
      <c r="BE326" t="s">
        <v>6384</v>
      </c>
      <c r="BF326" t="str">
        <f>HYPERLINK("http://dx.doi.org/10.1175/JCLI-D-11-00100.1","http://dx.doi.org/10.1175/JCLI-D-11-00100.1")</f>
        <v>http://dx.doi.org/10.1175/JCLI-D-11-00100.1</v>
      </c>
      <c r="BG326" t="s">
        <v>74</v>
      </c>
      <c r="BH326" t="s">
        <v>74</v>
      </c>
      <c r="BI326">
        <v>18</v>
      </c>
      <c r="BJ326" t="s">
        <v>128</v>
      </c>
      <c r="BK326" t="s">
        <v>99</v>
      </c>
      <c r="BL326" t="s">
        <v>128</v>
      </c>
      <c r="BM326" t="s">
        <v>6385</v>
      </c>
      <c r="BN326" t="s">
        <v>74</v>
      </c>
      <c r="BO326" t="s">
        <v>1094</v>
      </c>
      <c r="BP326" t="s">
        <v>74</v>
      </c>
      <c r="BQ326" t="s">
        <v>74</v>
      </c>
      <c r="BR326" t="s">
        <v>101</v>
      </c>
      <c r="BS326" t="s">
        <v>6386</v>
      </c>
      <c r="BT326" t="str">
        <f>HYPERLINK("https%3A%2F%2Fwww.webofscience.com%2Fwos%2Fwoscc%2Ffull-record%2FWOS:000301620300011","View Full Record in Web of Science")</f>
        <v>View Full Record in Web of Science</v>
      </c>
    </row>
    <row r="327" spans="1:72" x14ac:dyDescent="0.15">
      <c r="A327" t="s">
        <v>72</v>
      </c>
      <c r="B327" t="s">
        <v>6387</v>
      </c>
      <c r="C327" t="s">
        <v>74</v>
      </c>
      <c r="D327" t="s">
        <v>74</v>
      </c>
      <c r="E327" t="s">
        <v>74</v>
      </c>
      <c r="F327" t="s">
        <v>6388</v>
      </c>
      <c r="G327" t="s">
        <v>74</v>
      </c>
      <c r="H327" t="s">
        <v>74</v>
      </c>
      <c r="I327" t="s">
        <v>6389</v>
      </c>
      <c r="J327" t="s">
        <v>333</v>
      </c>
      <c r="K327" t="s">
        <v>74</v>
      </c>
      <c r="L327" t="s">
        <v>74</v>
      </c>
      <c r="M327" t="s">
        <v>78</v>
      </c>
      <c r="N327" t="s">
        <v>79</v>
      </c>
      <c r="O327" t="s">
        <v>74</v>
      </c>
      <c r="P327" t="s">
        <v>74</v>
      </c>
      <c r="Q327" t="s">
        <v>74</v>
      </c>
      <c r="R327" t="s">
        <v>74</v>
      </c>
      <c r="S327" t="s">
        <v>74</v>
      </c>
      <c r="T327" t="s">
        <v>74</v>
      </c>
      <c r="U327" t="s">
        <v>6390</v>
      </c>
      <c r="V327" t="s">
        <v>6391</v>
      </c>
      <c r="W327" t="s">
        <v>6392</v>
      </c>
      <c r="X327" t="s">
        <v>6393</v>
      </c>
      <c r="Y327" t="s">
        <v>6394</v>
      </c>
      <c r="Z327" t="s">
        <v>6395</v>
      </c>
      <c r="AA327" t="s">
        <v>6396</v>
      </c>
      <c r="AB327" t="s">
        <v>6397</v>
      </c>
      <c r="AC327" t="s">
        <v>6398</v>
      </c>
      <c r="AD327" t="s">
        <v>6399</v>
      </c>
      <c r="AE327" t="s">
        <v>6400</v>
      </c>
      <c r="AF327" t="s">
        <v>74</v>
      </c>
      <c r="AG327">
        <v>128</v>
      </c>
      <c r="AH327">
        <v>68</v>
      </c>
      <c r="AI327">
        <v>75</v>
      </c>
      <c r="AJ327">
        <v>1</v>
      </c>
      <c r="AK327">
        <v>40</v>
      </c>
      <c r="AL327" t="s">
        <v>118</v>
      </c>
      <c r="AM327" t="s">
        <v>119</v>
      </c>
      <c r="AN327" t="s">
        <v>120</v>
      </c>
      <c r="AO327" t="s">
        <v>344</v>
      </c>
      <c r="AP327" t="s">
        <v>345</v>
      </c>
      <c r="AQ327" t="s">
        <v>74</v>
      </c>
      <c r="AR327" t="s">
        <v>346</v>
      </c>
      <c r="AS327" t="s">
        <v>347</v>
      </c>
      <c r="AT327" t="s">
        <v>6213</v>
      </c>
      <c r="AU327">
        <v>2012</v>
      </c>
      <c r="AV327">
        <v>117</v>
      </c>
      <c r="AW327" t="s">
        <v>74</v>
      </c>
      <c r="AX327" t="s">
        <v>74</v>
      </c>
      <c r="AY327" t="s">
        <v>74</v>
      </c>
      <c r="AZ327" t="s">
        <v>74</v>
      </c>
      <c r="BA327" t="s">
        <v>74</v>
      </c>
      <c r="BB327" t="s">
        <v>74</v>
      </c>
      <c r="BC327" t="s">
        <v>74</v>
      </c>
      <c r="BD327" t="s">
        <v>6401</v>
      </c>
      <c r="BE327" t="s">
        <v>6402</v>
      </c>
      <c r="BF327" t="str">
        <f>HYPERLINK("http://dx.doi.org/10.1029/2011JC007257","http://dx.doi.org/10.1029/2011JC007257")</f>
        <v>http://dx.doi.org/10.1029/2011JC007257</v>
      </c>
      <c r="BG327" t="s">
        <v>74</v>
      </c>
      <c r="BH327" t="s">
        <v>74</v>
      </c>
      <c r="BI327">
        <v>21</v>
      </c>
      <c r="BJ327" t="s">
        <v>350</v>
      </c>
      <c r="BK327" t="s">
        <v>99</v>
      </c>
      <c r="BL327" t="s">
        <v>350</v>
      </c>
      <c r="BM327" t="s">
        <v>6403</v>
      </c>
      <c r="BN327" t="s">
        <v>74</v>
      </c>
      <c r="BO327" t="s">
        <v>308</v>
      </c>
      <c r="BP327" t="s">
        <v>74</v>
      </c>
      <c r="BQ327" t="s">
        <v>74</v>
      </c>
      <c r="BR327" t="s">
        <v>101</v>
      </c>
      <c r="BS327" t="s">
        <v>6404</v>
      </c>
      <c r="BT327" t="str">
        <f>HYPERLINK("https%3A%2F%2Fwww.webofscience.com%2Fwos%2Fwoscc%2Ffull-record%2FWOS:000301670800001","View Full Record in Web of Science")</f>
        <v>View Full Record in Web of Science</v>
      </c>
    </row>
    <row r="328" spans="1:72" x14ac:dyDescent="0.15">
      <c r="A328" t="s">
        <v>72</v>
      </c>
      <c r="B328" t="s">
        <v>6298</v>
      </c>
      <c r="C328" t="s">
        <v>74</v>
      </c>
      <c r="D328" t="s">
        <v>74</v>
      </c>
      <c r="E328" t="s">
        <v>74</v>
      </c>
      <c r="F328" t="s">
        <v>6299</v>
      </c>
      <c r="G328" t="s">
        <v>74</v>
      </c>
      <c r="H328" t="s">
        <v>74</v>
      </c>
      <c r="I328" t="s">
        <v>6405</v>
      </c>
      <c r="J328" t="s">
        <v>3065</v>
      </c>
      <c r="K328" t="s">
        <v>74</v>
      </c>
      <c r="L328" t="s">
        <v>74</v>
      </c>
      <c r="M328" t="s">
        <v>78</v>
      </c>
      <c r="N328" t="s">
        <v>1073</v>
      </c>
      <c r="O328" t="s">
        <v>74</v>
      </c>
      <c r="P328" t="s">
        <v>74</v>
      </c>
      <c r="Q328" t="s">
        <v>74</v>
      </c>
      <c r="R328" t="s">
        <v>74</v>
      </c>
      <c r="S328" t="s">
        <v>74</v>
      </c>
      <c r="T328" t="s">
        <v>6406</v>
      </c>
      <c r="U328" t="s">
        <v>6407</v>
      </c>
      <c r="V328" t="s">
        <v>6408</v>
      </c>
      <c r="W328" t="s">
        <v>6304</v>
      </c>
      <c r="X328" t="s">
        <v>6305</v>
      </c>
      <c r="Y328" t="s">
        <v>6306</v>
      </c>
      <c r="Z328" t="s">
        <v>6409</v>
      </c>
      <c r="AA328" t="s">
        <v>6308</v>
      </c>
      <c r="AB328" t="s">
        <v>6309</v>
      </c>
      <c r="AC328" t="s">
        <v>6310</v>
      </c>
      <c r="AD328" t="s">
        <v>6311</v>
      </c>
      <c r="AE328" t="s">
        <v>6410</v>
      </c>
      <c r="AF328" t="s">
        <v>74</v>
      </c>
      <c r="AG328">
        <v>233</v>
      </c>
      <c r="AH328">
        <v>43</v>
      </c>
      <c r="AI328">
        <v>46</v>
      </c>
      <c r="AJ328">
        <v>3</v>
      </c>
      <c r="AK328">
        <v>51</v>
      </c>
      <c r="AL328" t="s">
        <v>368</v>
      </c>
      <c r="AM328" t="s">
        <v>369</v>
      </c>
      <c r="AN328" t="s">
        <v>370</v>
      </c>
      <c r="AO328" t="s">
        <v>3078</v>
      </c>
      <c r="AP328" t="s">
        <v>3079</v>
      </c>
      <c r="AQ328" t="s">
        <v>74</v>
      </c>
      <c r="AR328" t="s">
        <v>3080</v>
      </c>
      <c r="AS328" t="s">
        <v>3081</v>
      </c>
      <c r="AT328" t="s">
        <v>6213</v>
      </c>
      <c r="AU328">
        <v>2012</v>
      </c>
      <c r="AV328">
        <v>247</v>
      </c>
      <c r="AW328" t="s">
        <v>74</v>
      </c>
      <c r="AX328" t="s">
        <v>74</v>
      </c>
      <c r="AY328" t="s">
        <v>74</v>
      </c>
      <c r="AZ328" t="s">
        <v>74</v>
      </c>
      <c r="BA328" t="s">
        <v>74</v>
      </c>
      <c r="BB328">
        <v>1</v>
      </c>
      <c r="BC328">
        <v>20</v>
      </c>
      <c r="BD328" t="s">
        <v>74</v>
      </c>
      <c r="BE328" t="s">
        <v>6411</v>
      </c>
      <c r="BF328" t="str">
        <f>HYPERLINK("http://dx.doi.org/10.1016/j.sedgeo.2011.12.014","http://dx.doi.org/10.1016/j.sedgeo.2011.12.014")</f>
        <v>http://dx.doi.org/10.1016/j.sedgeo.2011.12.014</v>
      </c>
      <c r="BG328" t="s">
        <v>74</v>
      </c>
      <c r="BH328" t="s">
        <v>74</v>
      </c>
      <c r="BI328">
        <v>20</v>
      </c>
      <c r="BJ328" t="s">
        <v>195</v>
      </c>
      <c r="BK328" t="s">
        <v>99</v>
      </c>
      <c r="BL328" t="s">
        <v>195</v>
      </c>
      <c r="BM328" t="s">
        <v>6314</v>
      </c>
      <c r="BN328" t="s">
        <v>74</v>
      </c>
      <c r="BO328" t="s">
        <v>74</v>
      </c>
      <c r="BP328" t="s">
        <v>74</v>
      </c>
      <c r="BQ328" t="s">
        <v>74</v>
      </c>
      <c r="BR328" t="s">
        <v>101</v>
      </c>
      <c r="BS328" t="s">
        <v>6412</v>
      </c>
      <c r="BT328" t="str">
        <f>HYPERLINK("https%3A%2F%2Fwww.webofscience.com%2Fwos%2Fwoscc%2Ffull-record%2FWOS:000301634800001","View Full Record in Web of Science")</f>
        <v>View Full Record in Web of Science</v>
      </c>
    </row>
    <row r="329" spans="1:72" x14ac:dyDescent="0.15">
      <c r="A329" t="s">
        <v>72</v>
      </c>
      <c r="B329" t="s">
        <v>6413</v>
      </c>
      <c r="C329" t="s">
        <v>74</v>
      </c>
      <c r="D329" t="s">
        <v>74</v>
      </c>
      <c r="E329" t="s">
        <v>74</v>
      </c>
      <c r="F329" t="s">
        <v>6414</v>
      </c>
      <c r="G329" t="s">
        <v>74</v>
      </c>
      <c r="H329" t="s">
        <v>74</v>
      </c>
      <c r="I329" t="s">
        <v>6415</v>
      </c>
      <c r="J329" t="s">
        <v>6416</v>
      </c>
      <c r="K329" t="s">
        <v>74</v>
      </c>
      <c r="L329" t="s">
        <v>74</v>
      </c>
      <c r="M329" t="s">
        <v>78</v>
      </c>
      <c r="N329" t="s">
        <v>79</v>
      </c>
      <c r="O329" t="s">
        <v>74</v>
      </c>
      <c r="P329" t="s">
        <v>74</v>
      </c>
      <c r="Q329" t="s">
        <v>74</v>
      </c>
      <c r="R329" t="s">
        <v>74</v>
      </c>
      <c r="S329" t="s">
        <v>74</v>
      </c>
      <c r="T329" t="s">
        <v>74</v>
      </c>
      <c r="U329" t="s">
        <v>6417</v>
      </c>
      <c r="V329" t="s">
        <v>6418</v>
      </c>
      <c r="W329" t="s">
        <v>6419</v>
      </c>
      <c r="X329" t="s">
        <v>6420</v>
      </c>
      <c r="Y329" t="s">
        <v>6421</v>
      </c>
      <c r="Z329" t="s">
        <v>6422</v>
      </c>
      <c r="AA329" t="s">
        <v>6423</v>
      </c>
      <c r="AB329" t="s">
        <v>6424</v>
      </c>
      <c r="AC329" t="s">
        <v>6425</v>
      </c>
      <c r="AD329" t="s">
        <v>6426</v>
      </c>
      <c r="AE329" t="s">
        <v>6427</v>
      </c>
      <c r="AF329" t="s">
        <v>74</v>
      </c>
      <c r="AG329">
        <v>33</v>
      </c>
      <c r="AH329">
        <v>10</v>
      </c>
      <c r="AI329">
        <v>11</v>
      </c>
      <c r="AJ329">
        <v>0</v>
      </c>
      <c r="AK329">
        <v>15</v>
      </c>
      <c r="AL329" t="s">
        <v>627</v>
      </c>
      <c r="AM329" t="s">
        <v>628</v>
      </c>
      <c r="AN329" t="s">
        <v>629</v>
      </c>
      <c r="AO329" t="s">
        <v>6428</v>
      </c>
      <c r="AP329" t="s">
        <v>6429</v>
      </c>
      <c r="AQ329" t="s">
        <v>74</v>
      </c>
      <c r="AR329" t="s">
        <v>6430</v>
      </c>
      <c r="AS329" t="s">
        <v>6431</v>
      </c>
      <c r="AT329" t="s">
        <v>6213</v>
      </c>
      <c r="AU329">
        <v>2012</v>
      </c>
      <c r="AV329">
        <v>26</v>
      </c>
      <c r="AW329">
        <v>5</v>
      </c>
      <c r="AX329" t="s">
        <v>74</v>
      </c>
      <c r="AY329" t="s">
        <v>74</v>
      </c>
      <c r="AZ329" t="s">
        <v>74</v>
      </c>
      <c r="BA329" t="s">
        <v>74</v>
      </c>
      <c r="BB329">
        <v>487</v>
      </c>
      <c r="BC329">
        <v>493</v>
      </c>
      <c r="BD329" t="s">
        <v>74</v>
      </c>
      <c r="BE329" t="s">
        <v>6432</v>
      </c>
      <c r="BF329" t="str">
        <f>HYPERLINK("http://dx.doi.org/10.1002/rcm.5340","http://dx.doi.org/10.1002/rcm.5340")</f>
        <v>http://dx.doi.org/10.1002/rcm.5340</v>
      </c>
      <c r="BG329" t="s">
        <v>74</v>
      </c>
      <c r="BH329" t="s">
        <v>74</v>
      </c>
      <c r="BI329">
        <v>7</v>
      </c>
      <c r="BJ329" t="s">
        <v>6433</v>
      </c>
      <c r="BK329" t="s">
        <v>99</v>
      </c>
      <c r="BL329" t="s">
        <v>6434</v>
      </c>
      <c r="BM329" t="s">
        <v>6435</v>
      </c>
      <c r="BN329">
        <v>22302487</v>
      </c>
      <c r="BO329" t="s">
        <v>74</v>
      </c>
      <c r="BP329" t="s">
        <v>74</v>
      </c>
      <c r="BQ329" t="s">
        <v>74</v>
      </c>
      <c r="BR329" t="s">
        <v>101</v>
      </c>
      <c r="BS329" t="s">
        <v>6436</v>
      </c>
      <c r="BT329" t="str">
        <f>HYPERLINK("https%3A%2F%2Fwww.webofscience.com%2Fwos%2Fwoscc%2Ffull-record%2FWOS:000299782800001","View Full Record in Web of Science")</f>
        <v>View Full Record in Web of Science</v>
      </c>
    </row>
    <row r="330" spans="1:72" x14ac:dyDescent="0.15">
      <c r="A330" t="s">
        <v>72</v>
      </c>
      <c r="B330" t="s">
        <v>6437</v>
      </c>
      <c r="C330" t="s">
        <v>74</v>
      </c>
      <c r="D330" t="s">
        <v>74</v>
      </c>
      <c r="E330" t="s">
        <v>74</v>
      </c>
      <c r="F330" t="s">
        <v>6438</v>
      </c>
      <c r="G330" t="s">
        <v>74</v>
      </c>
      <c r="H330" t="s">
        <v>74</v>
      </c>
      <c r="I330" t="s">
        <v>6439</v>
      </c>
      <c r="J330" t="s">
        <v>502</v>
      </c>
      <c r="K330" t="s">
        <v>74</v>
      </c>
      <c r="L330" t="s">
        <v>74</v>
      </c>
      <c r="M330" t="s">
        <v>78</v>
      </c>
      <c r="N330" t="s">
        <v>79</v>
      </c>
      <c r="O330" t="s">
        <v>74</v>
      </c>
      <c r="P330" t="s">
        <v>74</v>
      </c>
      <c r="Q330" t="s">
        <v>74</v>
      </c>
      <c r="R330" t="s">
        <v>74</v>
      </c>
      <c r="S330" t="s">
        <v>74</v>
      </c>
      <c r="T330" t="s">
        <v>74</v>
      </c>
      <c r="U330" t="s">
        <v>6440</v>
      </c>
      <c r="V330" t="s">
        <v>6441</v>
      </c>
      <c r="W330" t="s">
        <v>6442</v>
      </c>
      <c r="X330" t="s">
        <v>6443</v>
      </c>
      <c r="Y330" t="s">
        <v>6444</v>
      </c>
      <c r="Z330" t="s">
        <v>6445</v>
      </c>
      <c r="AA330" t="s">
        <v>6446</v>
      </c>
      <c r="AB330" t="s">
        <v>6447</v>
      </c>
      <c r="AC330" t="s">
        <v>6448</v>
      </c>
      <c r="AD330" t="s">
        <v>6449</v>
      </c>
      <c r="AE330" t="s">
        <v>6450</v>
      </c>
      <c r="AF330" t="s">
        <v>74</v>
      </c>
      <c r="AG330">
        <v>56</v>
      </c>
      <c r="AH330">
        <v>80</v>
      </c>
      <c r="AI330">
        <v>89</v>
      </c>
      <c r="AJ330">
        <v>0</v>
      </c>
      <c r="AK330">
        <v>57</v>
      </c>
      <c r="AL330" t="s">
        <v>513</v>
      </c>
      <c r="AM330" t="s">
        <v>514</v>
      </c>
      <c r="AN330" t="s">
        <v>515</v>
      </c>
      <c r="AO330" t="s">
        <v>516</v>
      </c>
      <c r="AP330" t="s">
        <v>74</v>
      </c>
      <c r="AQ330" t="s">
        <v>74</v>
      </c>
      <c r="AR330" t="s">
        <v>502</v>
      </c>
      <c r="AS330" t="s">
        <v>517</v>
      </c>
      <c r="AT330" t="s">
        <v>6451</v>
      </c>
      <c r="AU330">
        <v>2012</v>
      </c>
      <c r="AV330">
        <v>7</v>
      </c>
      <c r="AW330">
        <v>3</v>
      </c>
      <c r="AX330" t="s">
        <v>74</v>
      </c>
      <c r="AY330" t="s">
        <v>74</v>
      </c>
      <c r="AZ330" t="s">
        <v>74</v>
      </c>
      <c r="BA330" t="s">
        <v>74</v>
      </c>
      <c r="BB330" t="s">
        <v>74</v>
      </c>
      <c r="BC330" t="s">
        <v>74</v>
      </c>
      <c r="BD330" t="s">
        <v>6452</v>
      </c>
      <c r="BE330" t="s">
        <v>6453</v>
      </c>
      <c r="BF330" t="str">
        <f>HYPERLINK("http://dx.doi.org/10.1371/journal.pone.0032916","http://dx.doi.org/10.1371/journal.pone.0032916")</f>
        <v>http://dx.doi.org/10.1371/journal.pone.0032916</v>
      </c>
      <c r="BG330" t="s">
        <v>74</v>
      </c>
      <c r="BH330" t="s">
        <v>74</v>
      </c>
      <c r="BI330">
        <v>10</v>
      </c>
      <c r="BJ330" t="s">
        <v>153</v>
      </c>
      <c r="BK330" t="s">
        <v>99</v>
      </c>
      <c r="BL330" t="s">
        <v>154</v>
      </c>
      <c r="BM330" t="s">
        <v>6454</v>
      </c>
      <c r="BN330">
        <v>22431988</v>
      </c>
      <c r="BO330" t="s">
        <v>521</v>
      </c>
      <c r="BP330" t="s">
        <v>74</v>
      </c>
      <c r="BQ330" t="s">
        <v>74</v>
      </c>
      <c r="BR330" t="s">
        <v>101</v>
      </c>
      <c r="BS330" t="s">
        <v>6455</v>
      </c>
      <c r="BT330" t="str">
        <f>HYPERLINK("https%3A%2F%2Fwww.webofscience.com%2Fwos%2Fwoscc%2Ffull-record%2FWOS:000303198600031","View Full Record in Web of Science")</f>
        <v>View Full Record in Web of Science</v>
      </c>
    </row>
    <row r="331" spans="1:72" x14ac:dyDescent="0.15">
      <c r="A331" t="s">
        <v>72</v>
      </c>
      <c r="B331" t="s">
        <v>6456</v>
      </c>
      <c r="C331" t="s">
        <v>74</v>
      </c>
      <c r="D331" t="s">
        <v>74</v>
      </c>
      <c r="E331" t="s">
        <v>74</v>
      </c>
      <c r="F331" t="s">
        <v>6457</v>
      </c>
      <c r="G331" t="s">
        <v>74</v>
      </c>
      <c r="H331" t="s">
        <v>74</v>
      </c>
      <c r="I331" t="s">
        <v>6458</v>
      </c>
      <c r="J331" t="s">
        <v>502</v>
      </c>
      <c r="K331" t="s">
        <v>74</v>
      </c>
      <c r="L331" t="s">
        <v>74</v>
      </c>
      <c r="M331" t="s">
        <v>78</v>
      </c>
      <c r="N331" t="s">
        <v>79</v>
      </c>
      <c r="O331" t="s">
        <v>74</v>
      </c>
      <c r="P331" t="s">
        <v>74</v>
      </c>
      <c r="Q331" t="s">
        <v>74</v>
      </c>
      <c r="R331" t="s">
        <v>74</v>
      </c>
      <c r="S331" t="s">
        <v>74</v>
      </c>
      <c r="T331" t="s">
        <v>74</v>
      </c>
      <c r="U331" t="s">
        <v>6459</v>
      </c>
      <c r="V331" t="s">
        <v>6460</v>
      </c>
      <c r="W331" t="s">
        <v>6461</v>
      </c>
      <c r="X331" t="s">
        <v>6462</v>
      </c>
      <c r="Y331" t="s">
        <v>6463</v>
      </c>
      <c r="Z331" t="s">
        <v>6464</v>
      </c>
      <c r="AA331" t="s">
        <v>6465</v>
      </c>
      <c r="AB331" t="s">
        <v>6466</v>
      </c>
      <c r="AC331" t="s">
        <v>6467</v>
      </c>
      <c r="AD331" t="s">
        <v>6468</v>
      </c>
      <c r="AE331" t="s">
        <v>6469</v>
      </c>
      <c r="AF331" t="s">
        <v>74</v>
      </c>
      <c r="AG331">
        <v>48</v>
      </c>
      <c r="AH331">
        <v>15</v>
      </c>
      <c r="AI331">
        <v>16</v>
      </c>
      <c r="AJ331">
        <v>1</v>
      </c>
      <c r="AK331">
        <v>20</v>
      </c>
      <c r="AL331" t="s">
        <v>513</v>
      </c>
      <c r="AM331" t="s">
        <v>514</v>
      </c>
      <c r="AN331" t="s">
        <v>515</v>
      </c>
      <c r="AO331" t="s">
        <v>516</v>
      </c>
      <c r="AP331" t="s">
        <v>74</v>
      </c>
      <c r="AQ331" t="s">
        <v>74</v>
      </c>
      <c r="AR331" t="s">
        <v>502</v>
      </c>
      <c r="AS331" t="s">
        <v>517</v>
      </c>
      <c r="AT331" t="s">
        <v>6470</v>
      </c>
      <c r="AU331">
        <v>2012</v>
      </c>
      <c r="AV331">
        <v>7</v>
      </c>
      <c r="AW331">
        <v>3</v>
      </c>
      <c r="AX331" t="s">
        <v>74</v>
      </c>
      <c r="AY331" t="s">
        <v>74</v>
      </c>
      <c r="AZ331" t="s">
        <v>74</v>
      </c>
      <c r="BA331" t="s">
        <v>74</v>
      </c>
      <c r="BB331" t="s">
        <v>74</v>
      </c>
      <c r="BC331" t="s">
        <v>74</v>
      </c>
      <c r="BD331" t="s">
        <v>6471</v>
      </c>
      <c r="BE331" t="s">
        <v>6472</v>
      </c>
      <c r="BF331" t="str">
        <f>HYPERLINK("http://dx.doi.org/10.1371/journal.pone.0033487","http://dx.doi.org/10.1371/journal.pone.0033487")</f>
        <v>http://dx.doi.org/10.1371/journal.pone.0033487</v>
      </c>
      <c r="BG331" t="s">
        <v>74</v>
      </c>
      <c r="BH331" t="s">
        <v>74</v>
      </c>
      <c r="BI331">
        <v>8</v>
      </c>
      <c r="BJ331" t="s">
        <v>153</v>
      </c>
      <c r="BK331" t="s">
        <v>99</v>
      </c>
      <c r="BL331" t="s">
        <v>154</v>
      </c>
      <c r="BM331" t="s">
        <v>6473</v>
      </c>
      <c r="BN331">
        <v>22428061</v>
      </c>
      <c r="BO331" t="s">
        <v>6474</v>
      </c>
      <c r="BP331" t="s">
        <v>74</v>
      </c>
      <c r="BQ331" t="s">
        <v>74</v>
      </c>
      <c r="BR331" t="s">
        <v>101</v>
      </c>
      <c r="BS331" t="s">
        <v>6475</v>
      </c>
      <c r="BT331" t="str">
        <f>HYPERLINK("https%3A%2F%2Fwww.webofscience.com%2Fwos%2Fwoscc%2Ffull-record%2FWOS:000303129700067","View Full Record in Web of Science")</f>
        <v>View Full Record in Web of Science</v>
      </c>
    </row>
    <row r="332" spans="1:72" x14ac:dyDescent="0.15">
      <c r="A332" t="s">
        <v>72</v>
      </c>
      <c r="B332" t="s">
        <v>6476</v>
      </c>
      <c r="C332" t="s">
        <v>74</v>
      </c>
      <c r="D332" t="s">
        <v>74</v>
      </c>
      <c r="E332" t="s">
        <v>74</v>
      </c>
      <c r="F332" t="s">
        <v>6477</v>
      </c>
      <c r="G332" t="s">
        <v>74</v>
      </c>
      <c r="H332" t="s">
        <v>74</v>
      </c>
      <c r="I332" t="s">
        <v>6478</v>
      </c>
      <c r="J332" t="s">
        <v>420</v>
      </c>
      <c r="K332" t="s">
        <v>74</v>
      </c>
      <c r="L332" t="s">
        <v>74</v>
      </c>
      <c r="M332" t="s">
        <v>78</v>
      </c>
      <c r="N332" t="s">
        <v>79</v>
      </c>
      <c r="O332" t="s">
        <v>74</v>
      </c>
      <c r="P332" t="s">
        <v>74</v>
      </c>
      <c r="Q332" t="s">
        <v>74</v>
      </c>
      <c r="R332" t="s">
        <v>74</v>
      </c>
      <c r="S332" t="s">
        <v>74</v>
      </c>
      <c r="T332" t="s">
        <v>74</v>
      </c>
      <c r="U332" t="s">
        <v>6479</v>
      </c>
      <c r="V332" t="s">
        <v>6480</v>
      </c>
      <c r="W332" t="s">
        <v>6481</v>
      </c>
      <c r="X332" t="s">
        <v>6482</v>
      </c>
      <c r="Y332" t="s">
        <v>6483</v>
      </c>
      <c r="Z332" t="s">
        <v>6484</v>
      </c>
      <c r="AA332" t="s">
        <v>6485</v>
      </c>
      <c r="AB332" t="s">
        <v>6486</v>
      </c>
      <c r="AC332" t="s">
        <v>6487</v>
      </c>
      <c r="AD332" t="s">
        <v>6488</v>
      </c>
      <c r="AE332" t="s">
        <v>6489</v>
      </c>
      <c r="AF332" t="s">
        <v>74</v>
      </c>
      <c r="AG332">
        <v>64</v>
      </c>
      <c r="AH332">
        <v>20</v>
      </c>
      <c r="AI332">
        <v>21</v>
      </c>
      <c r="AJ332">
        <v>0</v>
      </c>
      <c r="AK332">
        <v>2</v>
      </c>
      <c r="AL332" t="s">
        <v>118</v>
      </c>
      <c r="AM332" t="s">
        <v>119</v>
      </c>
      <c r="AN332" t="s">
        <v>120</v>
      </c>
      <c r="AO332" t="s">
        <v>432</v>
      </c>
      <c r="AP332" t="s">
        <v>433</v>
      </c>
      <c r="AQ332" t="s">
        <v>74</v>
      </c>
      <c r="AR332" t="s">
        <v>434</v>
      </c>
      <c r="AS332" t="s">
        <v>435</v>
      </c>
      <c r="AT332" t="s">
        <v>6470</v>
      </c>
      <c r="AU332">
        <v>2012</v>
      </c>
      <c r="AV332">
        <v>117</v>
      </c>
      <c r="AW332" t="s">
        <v>74</v>
      </c>
      <c r="AX332" t="s">
        <v>74</v>
      </c>
      <c r="AY332" t="s">
        <v>74</v>
      </c>
      <c r="AZ332" t="s">
        <v>74</v>
      </c>
      <c r="BA332" t="s">
        <v>74</v>
      </c>
      <c r="BB332" t="s">
        <v>74</v>
      </c>
      <c r="BC332" t="s">
        <v>74</v>
      </c>
      <c r="BD332" t="s">
        <v>6490</v>
      </c>
      <c r="BE332" t="s">
        <v>6491</v>
      </c>
      <c r="BF332" t="str">
        <f>HYPERLINK("http://dx.doi.org/10.1029/2011JA017071","http://dx.doi.org/10.1029/2011JA017071")</f>
        <v>http://dx.doi.org/10.1029/2011JA017071</v>
      </c>
      <c r="BG332" t="s">
        <v>74</v>
      </c>
      <c r="BH332" t="s">
        <v>74</v>
      </c>
      <c r="BI332">
        <v>12</v>
      </c>
      <c r="BJ332" t="s">
        <v>438</v>
      </c>
      <c r="BK332" t="s">
        <v>99</v>
      </c>
      <c r="BL332" t="s">
        <v>438</v>
      </c>
      <c r="BM332" t="s">
        <v>6492</v>
      </c>
      <c r="BN332" t="s">
        <v>74</v>
      </c>
      <c r="BO332" t="s">
        <v>6493</v>
      </c>
      <c r="BP332" t="s">
        <v>74</v>
      </c>
      <c r="BQ332" t="s">
        <v>74</v>
      </c>
      <c r="BR332" t="s">
        <v>101</v>
      </c>
      <c r="BS332" t="s">
        <v>6494</v>
      </c>
      <c r="BT332" t="str">
        <f>HYPERLINK("https%3A%2F%2Fwww.webofscience.com%2Fwos%2Fwoscc%2Ffull-record%2FWOS:000301665000003","View Full Record in Web of Science")</f>
        <v>View Full Record in Web of Science</v>
      </c>
    </row>
    <row r="333" spans="1:72" x14ac:dyDescent="0.15">
      <c r="A333" t="s">
        <v>72</v>
      </c>
      <c r="B333" t="s">
        <v>6495</v>
      </c>
      <c r="C333" t="s">
        <v>74</v>
      </c>
      <c r="D333" t="s">
        <v>74</v>
      </c>
      <c r="E333" t="s">
        <v>74</v>
      </c>
      <c r="F333" t="s">
        <v>6496</v>
      </c>
      <c r="G333" t="s">
        <v>74</v>
      </c>
      <c r="H333" t="s">
        <v>74</v>
      </c>
      <c r="I333" t="s">
        <v>6497</v>
      </c>
      <c r="J333" t="s">
        <v>6498</v>
      </c>
      <c r="K333" t="s">
        <v>74</v>
      </c>
      <c r="L333" t="s">
        <v>74</v>
      </c>
      <c r="M333" t="s">
        <v>78</v>
      </c>
      <c r="N333" t="s">
        <v>79</v>
      </c>
      <c r="O333" t="s">
        <v>74</v>
      </c>
      <c r="P333" t="s">
        <v>74</v>
      </c>
      <c r="Q333" t="s">
        <v>74</v>
      </c>
      <c r="R333" t="s">
        <v>74</v>
      </c>
      <c r="S333" t="s">
        <v>74</v>
      </c>
      <c r="T333" t="s">
        <v>6499</v>
      </c>
      <c r="U333" t="s">
        <v>6500</v>
      </c>
      <c r="V333" t="s">
        <v>6501</v>
      </c>
      <c r="W333" t="s">
        <v>6502</v>
      </c>
      <c r="X333" t="s">
        <v>6503</v>
      </c>
      <c r="Y333" t="s">
        <v>6504</v>
      </c>
      <c r="Z333" t="s">
        <v>6117</v>
      </c>
      <c r="AA333" t="s">
        <v>6505</v>
      </c>
      <c r="AB333" t="s">
        <v>6506</v>
      </c>
      <c r="AC333" t="s">
        <v>6507</v>
      </c>
      <c r="AD333" t="s">
        <v>6508</v>
      </c>
      <c r="AE333" t="s">
        <v>6509</v>
      </c>
      <c r="AF333" t="s">
        <v>74</v>
      </c>
      <c r="AG333">
        <v>58</v>
      </c>
      <c r="AH333">
        <v>37</v>
      </c>
      <c r="AI333">
        <v>38</v>
      </c>
      <c r="AJ333">
        <v>0</v>
      </c>
      <c r="AK333">
        <v>6</v>
      </c>
      <c r="AL333" t="s">
        <v>2884</v>
      </c>
      <c r="AM333" t="s">
        <v>147</v>
      </c>
      <c r="AN333" t="s">
        <v>2885</v>
      </c>
      <c r="AO333" t="s">
        <v>6510</v>
      </c>
      <c r="AP333" t="s">
        <v>6511</v>
      </c>
      <c r="AQ333" t="s">
        <v>74</v>
      </c>
      <c r="AR333" t="s">
        <v>6512</v>
      </c>
      <c r="AS333" t="s">
        <v>6513</v>
      </c>
      <c r="AT333" t="s">
        <v>6470</v>
      </c>
      <c r="AU333">
        <v>2012</v>
      </c>
      <c r="AV333">
        <v>370</v>
      </c>
      <c r="AW333">
        <v>1962</v>
      </c>
      <c r="AX333" t="s">
        <v>74</v>
      </c>
      <c r="AY333" t="s">
        <v>74</v>
      </c>
      <c r="AZ333" t="s">
        <v>1913</v>
      </c>
      <c r="BA333" t="s">
        <v>74</v>
      </c>
      <c r="BB333">
        <v>1250</v>
      </c>
      <c r="BC333">
        <v>1267</v>
      </c>
      <c r="BD333" t="s">
        <v>74</v>
      </c>
      <c r="BE333" t="s">
        <v>6514</v>
      </c>
      <c r="BF333" t="str">
        <f>HYPERLINK("http://dx.doi.org/10.1098/rsta.2011.0349","http://dx.doi.org/10.1098/rsta.2011.0349")</f>
        <v>http://dx.doi.org/10.1098/rsta.2011.0349</v>
      </c>
      <c r="BG333" t="s">
        <v>74</v>
      </c>
      <c r="BH333" t="s">
        <v>74</v>
      </c>
      <c r="BI333">
        <v>18</v>
      </c>
      <c r="BJ333" t="s">
        <v>153</v>
      </c>
      <c r="BK333" t="s">
        <v>99</v>
      </c>
      <c r="BL333" t="s">
        <v>154</v>
      </c>
      <c r="BM333" t="s">
        <v>6515</v>
      </c>
      <c r="BN333">
        <v>22291232</v>
      </c>
      <c r="BO333" t="s">
        <v>197</v>
      </c>
      <c r="BP333" t="s">
        <v>74</v>
      </c>
      <c r="BQ333" t="s">
        <v>74</v>
      </c>
      <c r="BR333" t="s">
        <v>101</v>
      </c>
      <c r="BS333" t="s">
        <v>6516</v>
      </c>
      <c r="BT333" t="str">
        <f>HYPERLINK("https%3A%2F%2Fwww.webofscience.com%2Fwos%2Fwoscc%2Ffull-record%2FWOS:000300315900013","View Full Record in Web of Science")</f>
        <v>View Full Record in Web of Science</v>
      </c>
    </row>
    <row r="334" spans="1:72" x14ac:dyDescent="0.15">
      <c r="A334" t="s">
        <v>72</v>
      </c>
      <c r="B334" t="s">
        <v>6517</v>
      </c>
      <c r="C334" t="s">
        <v>74</v>
      </c>
      <c r="D334" t="s">
        <v>74</v>
      </c>
      <c r="E334" t="s">
        <v>74</v>
      </c>
      <c r="F334" t="s">
        <v>6518</v>
      </c>
      <c r="G334" t="s">
        <v>74</v>
      </c>
      <c r="H334" t="s">
        <v>74</v>
      </c>
      <c r="I334" t="s">
        <v>6519</v>
      </c>
      <c r="J334" t="s">
        <v>2975</v>
      </c>
      <c r="K334" t="s">
        <v>74</v>
      </c>
      <c r="L334" t="s">
        <v>74</v>
      </c>
      <c r="M334" t="s">
        <v>78</v>
      </c>
      <c r="N334" t="s">
        <v>79</v>
      </c>
      <c r="O334" t="s">
        <v>74</v>
      </c>
      <c r="P334" t="s">
        <v>74</v>
      </c>
      <c r="Q334" t="s">
        <v>74</v>
      </c>
      <c r="R334" t="s">
        <v>74</v>
      </c>
      <c r="S334" t="s">
        <v>74</v>
      </c>
      <c r="T334" t="s">
        <v>6520</v>
      </c>
      <c r="U334" t="s">
        <v>6521</v>
      </c>
      <c r="V334" t="s">
        <v>6522</v>
      </c>
      <c r="W334" t="s">
        <v>6523</v>
      </c>
      <c r="X334" t="s">
        <v>6524</v>
      </c>
      <c r="Y334" t="s">
        <v>6525</v>
      </c>
      <c r="Z334" t="s">
        <v>6526</v>
      </c>
      <c r="AA334" t="s">
        <v>6527</v>
      </c>
      <c r="AB334" t="s">
        <v>6528</v>
      </c>
      <c r="AC334" t="s">
        <v>6529</v>
      </c>
      <c r="AD334" t="s">
        <v>4792</v>
      </c>
      <c r="AE334" t="s">
        <v>6530</v>
      </c>
      <c r="AF334" t="s">
        <v>74</v>
      </c>
      <c r="AG334">
        <v>78</v>
      </c>
      <c r="AH334">
        <v>59</v>
      </c>
      <c r="AI334">
        <v>66</v>
      </c>
      <c r="AJ334">
        <v>1</v>
      </c>
      <c r="AK334">
        <v>41</v>
      </c>
      <c r="AL334" t="s">
        <v>277</v>
      </c>
      <c r="AM334" t="s">
        <v>278</v>
      </c>
      <c r="AN334" t="s">
        <v>279</v>
      </c>
      <c r="AO334" t="s">
        <v>2988</v>
      </c>
      <c r="AP334" t="s">
        <v>74</v>
      </c>
      <c r="AQ334" t="s">
        <v>74</v>
      </c>
      <c r="AR334" t="s">
        <v>2989</v>
      </c>
      <c r="AS334" t="s">
        <v>2990</v>
      </c>
      <c r="AT334" t="s">
        <v>6531</v>
      </c>
      <c r="AU334">
        <v>2012</v>
      </c>
      <c r="AV334">
        <v>36</v>
      </c>
      <c r="AW334" t="s">
        <v>74</v>
      </c>
      <c r="AX334" t="s">
        <v>74</v>
      </c>
      <c r="AY334" t="s">
        <v>74</v>
      </c>
      <c r="AZ334" t="s">
        <v>1913</v>
      </c>
      <c r="BA334" t="s">
        <v>74</v>
      </c>
      <c r="BB334">
        <v>177</v>
      </c>
      <c r="BC334">
        <v>188</v>
      </c>
      <c r="BD334" t="s">
        <v>74</v>
      </c>
      <c r="BE334" t="s">
        <v>6532</v>
      </c>
      <c r="BF334" t="str">
        <f>HYPERLINK("http://dx.doi.org/10.1016/j.quascirev.2012.01.016","http://dx.doi.org/10.1016/j.quascirev.2012.01.016")</f>
        <v>http://dx.doi.org/10.1016/j.quascirev.2012.01.016</v>
      </c>
      <c r="BG334" t="s">
        <v>74</v>
      </c>
      <c r="BH334" t="s">
        <v>74</v>
      </c>
      <c r="BI334">
        <v>12</v>
      </c>
      <c r="BJ334" t="s">
        <v>943</v>
      </c>
      <c r="BK334" t="s">
        <v>99</v>
      </c>
      <c r="BL334" t="s">
        <v>944</v>
      </c>
      <c r="BM334" t="s">
        <v>6533</v>
      </c>
      <c r="BN334" t="s">
        <v>74</v>
      </c>
      <c r="BO334" t="s">
        <v>74</v>
      </c>
      <c r="BP334" t="s">
        <v>74</v>
      </c>
      <c r="BQ334" t="s">
        <v>74</v>
      </c>
      <c r="BR334" t="s">
        <v>101</v>
      </c>
      <c r="BS334" t="s">
        <v>6534</v>
      </c>
      <c r="BT334" t="str">
        <f>HYPERLINK("https%3A%2F%2Fwww.webofscience.com%2Fwos%2Fwoscc%2Ffull-record%2FWOS:000301825900016","View Full Record in Web of Science")</f>
        <v>View Full Record in Web of Science</v>
      </c>
    </row>
    <row r="335" spans="1:72" x14ac:dyDescent="0.15">
      <c r="A335" t="s">
        <v>72</v>
      </c>
      <c r="B335" t="s">
        <v>6535</v>
      </c>
      <c r="C335" t="s">
        <v>74</v>
      </c>
      <c r="D335" t="s">
        <v>74</v>
      </c>
      <c r="E335" t="s">
        <v>74</v>
      </c>
      <c r="F335" t="s">
        <v>6536</v>
      </c>
      <c r="G335" t="s">
        <v>74</v>
      </c>
      <c r="H335" t="s">
        <v>74</v>
      </c>
      <c r="I335" t="s">
        <v>6537</v>
      </c>
      <c r="J335" t="s">
        <v>2975</v>
      </c>
      <c r="K335" t="s">
        <v>74</v>
      </c>
      <c r="L335" t="s">
        <v>74</v>
      </c>
      <c r="M335" t="s">
        <v>78</v>
      </c>
      <c r="N335" t="s">
        <v>79</v>
      </c>
      <c r="O335" t="s">
        <v>74</v>
      </c>
      <c r="P335" t="s">
        <v>74</v>
      </c>
      <c r="Q335" t="s">
        <v>74</v>
      </c>
      <c r="R335" t="s">
        <v>74</v>
      </c>
      <c r="S335" t="s">
        <v>74</v>
      </c>
      <c r="T335" t="s">
        <v>6538</v>
      </c>
      <c r="U335" t="s">
        <v>6539</v>
      </c>
      <c r="V335" t="s">
        <v>6540</v>
      </c>
      <c r="W335" t="s">
        <v>6541</v>
      </c>
      <c r="X335" t="s">
        <v>6542</v>
      </c>
      <c r="Y335" t="s">
        <v>6543</v>
      </c>
      <c r="Z335" t="s">
        <v>6544</v>
      </c>
      <c r="AA335" t="s">
        <v>6545</v>
      </c>
      <c r="AB335" t="s">
        <v>6546</v>
      </c>
      <c r="AC335" t="s">
        <v>74</v>
      </c>
      <c r="AD335" t="s">
        <v>74</v>
      </c>
      <c r="AE335" t="s">
        <v>74</v>
      </c>
      <c r="AF335" t="s">
        <v>74</v>
      </c>
      <c r="AG335">
        <v>90</v>
      </c>
      <c r="AH335">
        <v>38</v>
      </c>
      <c r="AI335">
        <v>41</v>
      </c>
      <c r="AJ335">
        <v>0</v>
      </c>
      <c r="AK335">
        <v>45</v>
      </c>
      <c r="AL335" t="s">
        <v>277</v>
      </c>
      <c r="AM335" t="s">
        <v>278</v>
      </c>
      <c r="AN335" t="s">
        <v>279</v>
      </c>
      <c r="AO335" t="s">
        <v>2988</v>
      </c>
      <c r="AP335" t="s">
        <v>74</v>
      </c>
      <c r="AQ335" t="s">
        <v>74</v>
      </c>
      <c r="AR335" t="s">
        <v>2989</v>
      </c>
      <c r="AS335" t="s">
        <v>2990</v>
      </c>
      <c r="AT335" t="s">
        <v>6531</v>
      </c>
      <c r="AU335">
        <v>2012</v>
      </c>
      <c r="AV335">
        <v>36</v>
      </c>
      <c r="AW335" t="s">
        <v>74</v>
      </c>
      <c r="AX335" t="s">
        <v>74</v>
      </c>
      <c r="AY335" t="s">
        <v>74</v>
      </c>
      <c r="AZ335" t="s">
        <v>1913</v>
      </c>
      <c r="BA335" t="s">
        <v>74</v>
      </c>
      <c r="BB335">
        <v>214</v>
      </c>
      <c r="BC335">
        <v>222</v>
      </c>
      <c r="BD335" t="s">
        <v>74</v>
      </c>
      <c r="BE335" t="s">
        <v>6547</v>
      </c>
      <c r="BF335" t="str">
        <f>HYPERLINK("http://dx.doi.org/10.1016/j.quascirev.2011.04.013","http://dx.doi.org/10.1016/j.quascirev.2011.04.013")</f>
        <v>http://dx.doi.org/10.1016/j.quascirev.2011.04.013</v>
      </c>
      <c r="BG335" t="s">
        <v>74</v>
      </c>
      <c r="BH335" t="s">
        <v>74</v>
      </c>
      <c r="BI335">
        <v>9</v>
      </c>
      <c r="BJ335" t="s">
        <v>943</v>
      </c>
      <c r="BK335" t="s">
        <v>99</v>
      </c>
      <c r="BL335" t="s">
        <v>944</v>
      </c>
      <c r="BM335" t="s">
        <v>6533</v>
      </c>
      <c r="BN335" t="s">
        <v>74</v>
      </c>
      <c r="BO335" t="s">
        <v>74</v>
      </c>
      <c r="BP335" t="s">
        <v>74</v>
      </c>
      <c r="BQ335" t="s">
        <v>74</v>
      </c>
      <c r="BR335" t="s">
        <v>101</v>
      </c>
      <c r="BS335" t="s">
        <v>6548</v>
      </c>
      <c r="BT335" t="str">
        <f>HYPERLINK("https%3A%2F%2Fwww.webofscience.com%2Fwos%2Fwoscc%2Ffull-record%2FWOS:000301825900018","View Full Record in Web of Science")</f>
        <v>View Full Record in Web of Science</v>
      </c>
    </row>
    <row r="336" spans="1:72" x14ac:dyDescent="0.15">
      <c r="A336" t="s">
        <v>72</v>
      </c>
      <c r="B336" t="s">
        <v>6549</v>
      </c>
      <c r="C336" t="s">
        <v>74</v>
      </c>
      <c r="D336" t="s">
        <v>74</v>
      </c>
      <c r="E336" t="s">
        <v>74</v>
      </c>
      <c r="F336" t="s">
        <v>6550</v>
      </c>
      <c r="G336" t="s">
        <v>74</v>
      </c>
      <c r="H336" t="s">
        <v>74</v>
      </c>
      <c r="I336" t="s">
        <v>6551</v>
      </c>
      <c r="J336" t="s">
        <v>6552</v>
      </c>
      <c r="K336" t="s">
        <v>74</v>
      </c>
      <c r="L336" t="s">
        <v>74</v>
      </c>
      <c r="M336" t="s">
        <v>78</v>
      </c>
      <c r="N336" t="s">
        <v>79</v>
      </c>
      <c r="O336" t="s">
        <v>74</v>
      </c>
      <c r="P336" t="s">
        <v>74</v>
      </c>
      <c r="Q336" t="s">
        <v>74</v>
      </c>
      <c r="R336" t="s">
        <v>74</v>
      </c>
      <c r="S336" t="s">
        <v>74</v>
      </c>
      <c r="T336" t="s">
        <v>6553</v>
      </c>
      <c r="U336" t="s">
        <v>6554</v>
      </c>
      <c r="V336" t="s">
        <v>6555</v>
      </c>
      <c r="W336" t="s">
        <v>6556</v>
      </c>
      <c r="X336" t="s">
        <v>6557</v>
      </c>
      <c r="Y336" t="s">
        <v>6558</v>
      </c>
      <c r="Z336" t="s">
        <v>6559</v>
      </c>
      <c r="AA336" t="s">
        <v>74</v>
      </c>
      <c r="AB336" t="s">
        <v>74</v>
      </c>
      <c r="AC336" t="s">
        <v>6560</v>
      </c>
      <c r="AD336" t="s">
        <v>6561</v>
      </c>
      <c r="AE336" t="s">
        <v>6562</v>
      </c>
      <c r="AF336" t="s">
        <v>74</v>
      </c>
      <c r="AG336">
        <v>46</v>
      </c>
      <c r="AH336">
        <v>24</v>
      </c>
      <c r="AI336">
        <v>28</v>
      </c>
      <c r="AJ336">
        <v>0</v>
      </c>
      <c r="AK336">
        <v>18</v>
      </c>
      <c r="AL336" t="s">
        <v>277</v>
      </c>
      <c r="AM336" t="s">
        <v>278</v>
      </c>
      <c r="AN336" t="s">
        <v>279</v>
      </c>
      <c r="AO336" t="s">
        <v>6563</v>
      </c>
      <c r="AP336" t="s">
        <v>74</v>
      </c>
      <c r="AQ336" t="s">
        <v>74</v>
      </c>
      <c r="AR336" t="s">
        <v>6564</v>
      </c>
      <c r="AS336" t="s">
        <v>6565</v>
      </c>
      <c r="AT336" t="s">
        <v>6566</v>
      </c>
      <c r="AU336">
        <v>2012</v>
      </c>
      <c r="AV336">
        <v>90</v>
      </c>
      <c r="AW336" t="s">
        <v>6567</v>
      </c>
      <c r="AX336" t="s">
        <v>74</v>
      </c>
      <c r="AY336" t="s">
        <v>74</v>
      </c>
      <c r="AZ336" t="s">
        <v>74</v>
      </c>
      <c r="BA336" t="s">
        <v>74</v>
      </c>
      <c r="BB336">
        <v>396</v>
      </c>
      <c r="BC336">
        <v>406</v>
      </c>
      <c r="BD336" t="s">
        <v>74</v>
      </c>
      <c r="BE336" t="s">
        <v>6568</v>
      </c>
      <c r="BF336" t="str">
        <f>HYPERLINK("http://dx.doi.org/10.1016/j.lfs.2011.12.017","http://dx.doi.org/10.1016/j.lfs.2011.12.017")</f>
        <v>http://dx.doi.org/10.1016/j.lfs.2011.12.017</v>
      </c>
      <c r="BG336" t="s">
        <v>74</v>
      </c>
      <c r="BH336" t="s">
        <v>74</v>
      </c>
      <c r="BI336">
        <v>11</v>
      </c>
      <c r="BJ336" t="s">
        <v>6569</v>
      </c>
      <c r="BK336" t="s">
        <v>99</v>
      </c>
      <c r="BL336" t="s">
        <v>6570</v>
      </c>
      <c r="BM336" t="s">
        <v>6571</v>
      </c>
      <c r="BN336">
        <v>22280832</v>
      </c>
      <c r="BO336" t="s">
        <v>74</v>
      </c>
      <c r="BP336" t="s">
        <v>74</v>
      </c>
      <c r="BQ336" t="s">
        <v>74</v>
      </c>
      <c r="BR336" t="s">
        <v>101</v>
      </c>
      <c r="BS336" t="s">
        <v>6572</v>
      </c>
      <c r="BT336" t="str">
        <f>HYPERLINK("https%3A%2F%2Fwww.webofscience.com%2Fwos%2Fwoscc%2Ffull-record%2FWOS:000301911200003","View Full Record in Web of Science")</f>
        <v>View Full Record in Web of Science</v>
      </c>
    </row>
    <row r="337" spans="1:72" x14ac:dyDescent="0.15">
      <c r="A337" t="s">
        <v>72</v>
      </c>
      <c r="B337" t="s">
        <v>6573</v>
      </c>
      <c r="C337" t="s">
        <v>74</v>
      </c>
      <c r="D337" t="s">
        <v>74</v>
      </c>
      <c r="E337" t="s">
        <v>74</v>
      </c>
      <c r="F337" t="s">
        <v>6574</v>
      </c>
      <c r="G337" t="s">
        <v>74</v>
      </c>
      <c r="H337" t="s">
        <v>74</v>
      </c>
      <c r="I337" t="s">
        <v>6575</v>
      </c>
      <c r="J337" t="s">
        <v>106</v>
      </c>
      <c r="K337" t="s">
        <v>74</v>
      </c>
      <c r="L337" t="s">
        <v>74</v>
      </c>
      <c r="M337" t="s">
        <v>78</v>
      </c>
      <c r="N337" t="s">
        <v>79</v>
      </c>
      <c r="O337" t="s">
        <v>74</v>
      </c>
      <c r="P337" t="s">
        <v>74</v>
      </c>
      <c r="Q337" t="s">
        <v>74</v>
      </c>
      <c r="R337" t="s">
        <v>74</v>
      </c>
      <c r="S337" t="s">
        <v>74</v>
      </c>
      <c r="T337" t="s">
        <v>74</v>
      </c>
      <c r="U337" t="s">
        <v>6576</v>
      </c>
      <c r="V337" t="s">
        <v>6577</v>
      </c>
      <c r="W337" t="s">
        <v>6578</v>
      </c>
      <c r="X337" t="s">
        <v>6579</v>
      </c>
      <c r="Y337" t="s">
        <v>6580</v>
      </c>
      <c r="Z337" t="s">
        <v>6581</v>
      </c>
      <c r="AA337" t="s">
        <v>74</v>
      </c>
      <c r="AB337" t="s">
        <v>6582</v>
      </c>
      <c r="AC337" t="s">
        <v>6583</v>
      </c>
      <c r="AD337" t="s">
        <v>6584</v>
      </c>
      <c r="AE337" t="s">
        <v>6585</v>
      </c>
      <c r="AF337" t="s">
        <v>74</v>
      </c>
      <c r="AG337">
        <v>51</v>
      </c>
      <c r="AH337">
        <v>20</v>
      </c>
      <c r="AI337">
        <v>24</v>
      </c>
      <c r="AJ337">
        <v>0</v>
      </c>
      <c r="AK337">
        <v>11</v>
      </c>
      <c r="AL337" t="s">
        <v>118</v>
      </c>
      <c r="AM337" t="s">
        <v>119</v>
      </c>
      <c r="AN337" t="s">
        <v>120</v>
      </c>
      <c r="AO337" t="s">
        <v>121</v>
      </c>
      <c r="AP337" t="s">
        <v>122</v>
      </c>
      <c r="AQ337" t="s">
        <v>74</v>
      </c>
      <c r="AR337" t="s">
        <v>123</v>
      </c>
      <c r="AS337" t="s">
        <v>124</v>
      </c>
      <c r="AT337" t="s">
        <v>6566</v>
      </c>
      <c r="AU337">
        <v>2012</v>
      </c>
      <c r="AV337">
        <v>117</v>
      </c>
      <c r="AW337" t="s">
        <v>74</v>
      </c>
      <c r="AX337" t="s">
        <v>74</v>
      </c>
      <c r="AY337" t="s">
        <v>74</v>
      </c>
      <c r="AZ337" t="s">
        <v>74</v>
      </c>
      <c r="BA337" t="s">
        <v>74</v>
      </c>
      <c r="BB337" t="s">
        <v>74</v>
      </c>
      <c r="BC337" t="s">
        <v>74</v>
      </c>
      <c r="BD337" t="s">
        <v>6586</v>
      </c>
      <c r="BE337" t="s">
        <v>6587</v>
      </c>
      <c r="BF337" t="str">
        <f>HYPERLINK("http://dx.doi.org/10.1029/2011JD016261","http://dx.doi.org/10.1029/2011JD016261")</f>
        <v>http://dx.doi.org/10.1029/2011JD016261</v>
      </c>
      <c r="BG337" t="s">
        <v>74</v>
      </c>
      <c r="BH337" t="s">
        <v>74</v>
      </c>
      <c r="BI337">
        <v>11</v>
      </c>
      <c r="BJ337" t="s">
        <v>128</v>
      </c>
      <c r="BK337" t="s">
        <v>99</v>
      </c>
      <c r="BL337" t="s">
        <v>128</v>
      </c>
      <c r="BM337" t="s">
        <v>6588</v>
      </c>
      <c r="BN337" t="s">
        <v>74</v>
      </c>
      <c r="BO337" t="s">
        <v>6589</v>
      </c>
      <c r="BP337" t="s">
        <v>74</v>
      </c>
      <c r="BQ337" t="s">
        <v>74</v>
      </c>
      <c r="BR337" t="s">
        <v>101</v>
      </c>
      <c r="BS337" t="s">
        <v>6590</v>
      </c>
      <c r="BT337" t="str">
        <f>HYPERLINK("https%3A%2F%2Fwww.webofscience.com%2Fwos%2Fwoscc%2Ffull-record%2FWOS:000301498800001","View Full Record in Web of Science")</f>
        <v>View Full Record in Web of Science</v>
      </c>
    </row>
    <row r="338" spans="1:72" x14ac:dyDescent="0.15">
      <c r="A338" t="s">
        <v>72</v>
      </c>
      <c r="B338" t="s">
        <v>6591</v>
      </c>
      <c r="C338" t="s">
        <v>74</v>
      </c>
      <c r="D338" t="s">
        <v>74</v>
      </c>
      <c r="E338" t="s">
        <v>74</v>
      </c>
      <c r="F338" t="s">
        <v>6592</v>
      </c>
      <c r="G338" t="s">
        <v>74</v>
      </c>
      <c r="H338" t="s">
        <v>74</v>
      </c>
      <c r="I338" t="s">
        <v>6593</v>
      </c>
      <c r="J338" t="s">
        <v>106</v>
      </c>
      <c r="K338" t="s">
        <v>74</v>
      </c>
      <c r="L338" t="s">
        <v>74</v>
      </c>
      <c r="M338" t="s">
        <v>78</v>
      </c>
      <c r="N338" t="s">
        <v>79</v>
      </c>
      <c r="O338" t="s">
        <v>74</v>
      </c>
      <c r="P338" t="s">
        <v>74</v>
      </c>
      <c r="Q338" t="s">
        <v>74</v>
      </c>
      <c r="R338" t="s">
        <v>74</v>
      </c>
      <c r="S338" t="s">
        <v>74</v>
      </c>
      <c r="T338" t="s">
        <v>74</v>
      </c>
      <c r="U338" t="s">
        <v>6594</v>
      </c>
      <c r="V338" t="s">
        <v>6595</v>
      </c>
      <c r="W338" t="s">
        <v>6596</v>
      </c>
      <c r="X338" t="s">
        <v>6597</v>
      </c>
      <c r="Y338" t="s">
        <v>6598</v>
      </c>
      <c r="Z338" t="s">
        <v>6599</v>
      </c>
      <c r="AA338" t="s">
        <v>6600</v>
      </c>
      <c r="AB338" t="s">
        <v>6601</v>
      </c>
      <c r="AC338" t="s">
        <v>6602</v>
      </c>
      <c r="AD338" t="s">
        <v>6603</v>
      </c>
      <c r="AE338" t="s">
        <v>6604</v>
      </c>
      <c r="AF338" t="s">
        <v>74</v>
      </c>
      <c r="AG338">
        <v>83</v>
      </c>
      <c r="AH338">
        <v>40</v>
      </c>
      <c r="AI338">
        <v>47</v>
      </c>
      <c r="AJ338">
        <v>0</v>
      </c>
      <c r="AK338">
        <v>48</v>
      </c>
      <c r="AL338" t="s">
        <v>118</v>
      </c>
      <c r="AM338" t="s">
        <v>119</v>
      </c>
      <c r="AN338" t="s">
        <v>120</v>
      </c>
      <c r="AO338" t="s">
        <v>121</v>
      </c>
      <c r="AP338" t="s">
        <v>122</v>
      </c>
      <c r="AQ338" t="s">
        <v>74</v>
      </c>
      <c r="AR338" t="s">
        <v>123</v>
      </c>
      <c r="AS338" t="s">
        <v>124</v>
      </c>
      <c r="AT338" t="s">
        <v>6605</v>
      </c>
      <c r="AU338">
        <v>2012</v>
      </c>
      <c r="AV338">
        <v>117</v>
      </c>
      <c r="AW338" t="s">
        <v>74</v>
      </c>
      <c r="AX338" t="s">
        <v>74</v>
      </c>
      <c r="AY338" t="s">
        <v>74</v>
      </c>
      <c r="AZ338" t="s">
        <v>74</v>
      </c>
      <c r="BA338" t="s">
        <v>74</v>
      </c>
      <c r="BB338" t="s">
        <v>74</v>
      </c>
      <c r="BC338" t="s">
        <v>74</v>
      </c>
      <c r="BD338" t="s">
        <v>6606</v>
      </c>
      <c r="BE338" t="s">
        <v>6607</v>
      </c>
      <c r="BF338" t="str">
        <f>HYPERLINK("http://dx.doi.org/10.1029/2011JD016639","http://dx.doi.org/10.1029/2011JD016639")</f>
        <v>http://dx.doi.org/10.1029/2011JD016639</v>
      </c>
      <c r="BG338" t="s">
        <v>74</v>
      </c>
      <c r="BH338" t="s">
        <v>74</v>
      </c>
      <c r="BI338">
        <v>21</v>
      </c>
      <c r="BJ338" t="s">
        <v>128</v>
      </c>
      <c r="BK338" t="s">
        <v>99</v>
      </c>
      <c r="BL338" t="s">
        <v>128</v>
      </c>
      <c r="BM338" t="s">
        <v>6608</v>
      </c>
      <c r="BN338" t="s">
        <v>74</v>
      </c>
      <c r="BO338" t="s">
        <v>74</v>
      </c>
      <c r="BP338" t="s">
        <v>74</v>
      </c>
      <c r="BQ338" t="s">
        <v>74</v>
      </c>
      <c r="BR338" t="s">
        <v>101</v>
      </c>
      <c r="BS338" t="s">
        <v>6609</v>
      </c>
      <c r="BT338" t="str">
        <f>HYPERLINK("https%3A%2F%2Fwww.webofscience.com%2Fwos%2Fwoscc%2Ffull-record%2FWOS:000301498500002","View Full Record in Web of Science")</f>
        <v>View Full Record in Web of Science</v>
      </c>
    </row>
    <row r="339" spans="1:72" x14ac:dyDescent="0.15">
      <c r="A339" t="s">
        <v>72</v>
      </c>
      <c r="B339" t="s">
        <v>6610</v>
      </c>
      <c r="C339" t="s">
        <v>74</v>
      </c>
      <c r="D339" t="s">
        <v>74</v>
      </c>
      <c r="E339" t="s">
        <v>74</v>
      </c>
      <c r="F339" t="s">
        <v>6611</v>
      </c>
      <c r="G339" t="s">
        <v>74</v>
      </c>
      <c r="H339" t="s">
        <v>74</v>
      </c>
      <c r="I339" t="s">
        <v>6612</v>
      </c>
      <c r="J339" t="s">
        <v>333</v>
      </c>
      <c r="K339" t="s">
        <v>74</v>
      </c>
      <c r="L339" t="s">
        <v>74</v>
      </c>
      <c r="M339" t="s">
        <v>78</v>
      </c>
      <c r="N339" t="s">
        <v>79</v>
      </c>
      <c r="O339" t="s">
        <v>74</v>
      </c>
      <c r="P339" t="s">
        <v>74</v>
      </c>
      <c r="Q339" t="s">
        <v>74</v>
      </c>
      <c r="R339" t="s">
        <v>74</v>
      </c>
      <c r="S339" t="s">
        <v>74</v>
      </c>
      <c r="T339" t="s">
        <v>74</v>
      </c>
      <c r="U339" t="s">
        <v>6613</v>
      </c>
      <c r="V339" t="s">
        <v>6614</v>
      </c>
      <c r="W339" t="s">
        <v>6615</v>
      </c>
      <c r="X339" t="s">
        <v>6616</v>
      </c>
      <c r="Y339" t="s">
        <v>6617</v>
      </c>
      <c r="Z339" t="s">
        <v>6618</v>
      </c>
      <c r="AA339" t="s">
        <v>6619</v>
      </c>
      <c r="AB339" t="s">
        <v>6620</v>
      </c>
      <c r="AC339" t="s">
        <v>6621</v>
      </c>
      <c r="AD339" t="s">
        <v>6622</v>
      </c>
      <c r="AE339" t="s">
        <v>6623</v>
      </c>
      <c r="AF339" t="s">
        <v>74</v>
      </c>
      <c r="AG339">
        <v>70</v>
      </c>
      <c r="AH339">
        <v>29</v>
      </c>
      <c r="AI339">
        <v>32</v>
      </c>
      <c r="AJ339">
        <v>1</v>
      </c>
      <c r="AK339">
        <v>33</v>
      </c>
      <c r="AL339" t="s">
        <v>118</v>
      </c>
      <c r="AM339" t="s">
        <v>119</v>
      </c>
      <c r="AN339" t="s">
        <v>120</v>
      </c>
      <c r="AO339" t="s">
        <v>344</v>
      </c>
      <c r="AP339" t="s">
        <v>345</v>
      </c>
      <c r="AQ339" t="s">
        <v>74</v>
      </c>
      <c r="AR339" t="s">
        <v>346</v>
      </c>
      <c r="AS339" t="s">
        <v>347</v>
      </c>
      <c r="AT339" t="s">
        <v>6624</v>
      </c>
      <c r="AU339">
        <v>2012</v>
      </c>
      <c r="AV339">
        <v>117</v>
      </c>
      <c r="AW339" t="s">
        <v>74</v>
      </c>
      <c r="AX339" t="s">
        <v>74</v>
      </c>
      <c r="AY339" t="s">
        <v>74</v>
      </c>
      <c r="AZ339" t="s">
        <v>74</v>
      </c>
      <c r="BA339" t="s">
        <v>74</v>
      </c>
      <c r="BB339" t="s">
        <v>74</v>
      </c>
      <c r="BC339" t="s">
        <v>74</v>
      </c>
      <c r="BD339" t="s">
        <v>6625</v>
      </c>
      <c r="BE339" t="s">
        <v>6626</v>
      </c>
      <c r="BF339" t="str">
        <f>HYPERLINK("http://dx.doi.org/10.1029/2011JC007527","http://dx.doi.org/10.1029/2011JC007527")</f>
        <v>http://dx.doi.org/10.1029/2011JC007527</v>
      </c>
      <c r="BG339" t="s">
        <v>74</v>
      </c>
      <c r="BH339" t="s">
        <v>74</v>
      </c>
      <c r="BI339">
        <v>12</v>
      </c>
      <c r="BJ339" t="s">
        <v>350</v>
      </c>
      <c r="BK339" t="s">
        <v>99</v>
      </c>
      <c r="BL339" t="s">
        <v>350</v>
      </c>
      <c r="BM339" t="s">
        <v>6627</v>
      </c>
      <c r="BN339" t="s">
        <v>74</v>
      </c>
      <c r="BO339" t="s">
        <v>74</v>
      </c>
      <c r="BP339" t="s">
        <v>74</v>
      </c>
      <c r="BQ339" t="s">
        <v>74</v>
      </c>
      <c r="BR339" t="s">
        <v>101</v>
      </c>
      <c r="BS339" t="s">
        <v>6628</v>
      </c>
      <c r="BT339" t="str">
        <f>HYPERLINK("https%3A%2F%2Fwww.webofscience.com%2Fwos%2Fwoscc%2Ffull-record%2FWOS:000301477200004","View Full Record in Web of Science")</f>
        <v>View Full Record in Web of Science</v>
      </c>
    </row>
    <row r="340" spans="1:72" x14ac:dyDescent="0.15">
      <c r="A340" t="s">
        <v>72</v>
      </c>
      <c r="B340" t="s">
        <v>6629</v>
      </c>
      <c r="C340" t="s">
        <v>74</v>
      </c>
      <c r="D340" t="s">
        <v>74</v>
      </c>
      <c r="E340" t="s">
        <v>74</v>
      </c>
      <c r="F340" t="s">
        <v>6630</v>
      </c>
      <c r="G340" t="s">
        <v>74</v>
      </c>
      <c r="H340" t="s">
        <v>74</v>
      </c>
      <c r="I340" t="s">
        <v>6631</v>
      </c>
      <c r="J340" t="s">
        <v>2817</v>
      </c>
      <c r="K340" t="s">
        <v>74</v>
      </c>
      <c r="L340" t="s">
        <v>74</v>
      </c>
      <c r="M340" t="s">
        <v>78</v>
      </c>
      <c r="N340" t="s">
        <v>79</v>
      </c>
      <c r="O340" t="s">
        <v>74</v>
      </c>
      <c r="P340" t="s">
        <v>74</v>
      </c>
      <c r="Q340" t="s">
        <v>74</v>
      </c>
      <c r="R340" t="s">
        <v>74</v>
      </c>
      <c r="S340" t="s">
        <v>74</v>
      </c>
      <c r="T340" t="s">
        <v>74</v>
      </c>
      <c r="U340" t="s">
        <v>6632</v>
      </c>
      <c r="V340" t="s">
        <v>6633</v>
      </c>
      <c r="W340" t="s">
        <v>6634</v>
      </c>
      <c r="X340" t="s">
        <v>6635</v>
      </c>
      <c r="Y340" t="s">
        <v>6636</v>
      </c>
      <c r="Z340" t="s">
        <v>6637</v>
      </c>
      <c r="AA340" t="s">
        <v>74</v>
      </c>
      <c r="AB340" t="s">
        <v>74</v>
      </c>
      <c r="AC340" t="s">
        <v>6638</v>
      </c>
      <c r="AD340" t="s">
        <v>6639</v>
      </c>
      <c r="AE340" t="s">
        <v>6640</v>
      </c>
      <c r="AF340" t="s">
        <v>74</v>
      </c>
      <c r="AG340">
        <v>42</v>
      </c>
      <c r="AH340">
        <v>6</v>
      </c>
      <c r="AI340">
        <v>6</v>
      </c>
      <c r="AJ340">
        <v>0</v>
      </c>
      <c r="AK340">
        <v>8</v>
      </c>
      <c r="AL340" t="s">
        <v>118</v>
      </c>
      <c r="AM340" t="s">
        <v>119</v>
      </c>
      <c r="AN340" t="s">
        <v>120</v>
      </c>
      <c r="AO340" t="s">
        <v>2828</v>
      </c>
      <c r="AP340" t="s">
        <v>2829</v>
      </c>
      <c r="AQ340" t="s">
        <v>74</v>
      </c>
      <c r="AR340" t="s">
        <v>2817</v>
      </c>
      <c r="AS340" t="s">
        <v>2830</v>
      </c>
      <c r="AT340" t="s">
        <v>6624</v>
      </c>
      <c r="AU340">
        <v>2012</v>
      </c>
      <c r="AV340">
        <v>27</v>
      </c>
      <c r="AW340" t="s">
        <v>74</v>
      </c>
      <c r="AX340" t="s">
        <v>74</v>
      </c>
      <c r="AY340" t="s">
        <v>74</v>
      </c>
      <c r="AZ340" t="s">
        <v>74</v>
      </c>
      <c r="BA340" t="s">
        <v>74</v>
      </c>
      <c r="BB340" t="s">
        <v>74</v>
      </c>
      <c r="BC340" t="s">
        <v>74</v>
      </c>
      <c r="BD340" t="s">
        <v>74</v>
      </c>
      <c r="BE340" t="s">
        <v>6641</v>
      </c>
      <c r="BF340" t="str">
        <f>HYPERLINK("http://dx.doi.org/10.1029/2011PA002269","http://dx.doi.org/10.1029/2011PA002269")</f>
        <v>http://dx.doi.org/10.1029/2011PA002269</v>
      </c>
      <c r="BG340" t="s">
        <v>74</v>
      </c>
      <c r="BH340" t="s">
        <v>74</v>
      </c>
      <c r="BI340">
        <v>7</v>
      </c>
      <c r="BJ340" t="s">
        <v>2834</v>
      </c>
      <c r="BK340" t="s">
        <v>99</v>
      </c>
      <c r="BL340" t="s">
        <v>2835</v>
      </c>
      <c r="BM340" t="s">
        <v>6642</v>
      </c>
      <c r="BN340" t="s">
        <v>74</v>
      </c>
      <c r="BO340" t="s">
        <v>74</v>
      </c>
      <c r="BP340" t="s">
        <v>74</v>
      </c>
      <c r="BQ340" t="s">
        <v>74</v>
      </c>
      <c r="BR340" t="s">
        <v>101</v>
      </c>
      <c r="BS340" t="s">
        <v>6643</v>
      </c>
      <c r="BT340" t="str">
        <f>HYPERLINK("https%3A%2F%2Fwww.webofscience.com%2Fwos%2Fwoscc%2Ffull-record%2FWOS:000301499700001","View Full Record in Web of Science")</f>
        <v>View Full Record in Web of Science</v>
      </c>
    </row>
    <row r="341" spans="1:72" x14ac:dyDescent="0.15">
      <c r="A341" t="s">
        <v>72</v>
      </c>
      <c r="B341" t="s">
        <v>6644</v>
      </c>
      <c r="C341" t="s">
        <v>74</v>
      </c>
      <c r="D341" t="s">
        <v>74</v>
      </c>
      <c r="E341" t="s">
        <v>74</v>
      </c>
      <c r="F341" t="s">
        <v>6645</v>
      </c>
      <c r="G341" t="s">
        <v>74</v>
      </c>
      <c r="H341" t="s">
        <v>74</v>
      </c>
      <c r="I341" t="s">
        <v>6646</v>
      </c>
      <c r="J341" t="s">
        <v>6647</v>
      </c>
      <c r="K341" t="s">
        <v>74</v>
      </c>
      <c r="L341" t="s">
        <v>74</v>
      </c>
      <c r="M341" t="s">
        <v>78</v>
      </c>
      <c r="N341" t="s">
        <v>79</v>
      </c>
      <c r="O341" t="s">
        <v>74</v>
      </c>
      <c r="P341" t="s">
        <v>74</v>
      </c>
      <c r="Q341" t="s">
        <v>74</v>
      </c>
      <c r="R341" t="s">
        <v>74</v>
      </c>
      <c r="S341" t="s">
        <v>74</v>
      </c>
      <c r="T341" t="s">
        <v>74</v>
      </c>
      <c r="U341" t="s">
        <v>6648</v>
      </c>
      <c r="V341" t="s">
        <v>6649</v>
      </c>
      <c r="W341" t="s">
        <v>6650</v>
      </c>
      <c r="X341" t="s">
        <v>6651</v>
      </c>
      <c r="Y341" t="s">
        <v>6652</v>
      </c>
      <c r="Z341" t="s">
        <v>74</v>
      </c>
      <c r="AA341" t="s">
        <v>6653</v>
      </c>
      <c r="AB341" t="s">
        <v>6654</v>
      </c>
      <c r="AC341" t="s">
        <v>6655</v>
      </c>
      <c r="AD341" t="s">
        <v>6656</v>
      </c>
      <c r="AE341" t="s">
        <v>6657</v>
      </c>
      <c r="AF341" t="s">
        <v>74</v>
      </c>
      <c r="AG341">
        <v>144</v>
      </c>
      <c r="AH341">
        <v>110</v>
      </c>
      <c r="AI341">
        <v>114</v>
      </c>
      <c r="AJ341">
        <v>1</v>
      </c>
      <c r="AK341">
        <v>57</v>
      </c>
      <c r="AL341" t="s">
        <v>118</v>
      </c>
      <c r="AM341" t="s">
        <v>119</v>
      </c>
      <c r="AN341" t="s">
        <v>120</v>
      </c>
      <c r="AO341" t="s">
        <v>6658</v>
      </c>
      <c r="AP341" t="s">
        <v>6659</v>
      </c>
      <c r="AQ341" t="s">
        <v>74</v>
      </c>
      <c r="AR341" t="s">
        <v>6660</v>
      </c>
      <c r="AS341" t="s">
        <v>6661</v>
      </c>
      <c r="AT341" t="s">
        <v>6624</v>
      </c>
      <c r="AU341">
        <v>2012</v>
      </c>
      <c r="AV341">
        <v>117</v>
      </c>
      <c r="AW341" t="s">
        <v>74</v>
      </c>
      <c r="AX341" t="s">
        <v>74</v>
      </c>
      <c r="AY341" t="s">
        <v>74</v>
      </c>
      <c r="AZ341" t="s">
        <v>74</v>
      </c>
      <c r="BA341" t="s">
        <v>74</v>
      </c>
      <c r="BB341" t="s">
        <v>74</v>
      </c>
      <c r="BC341" t="s">
        <v>74</v>
      </c>
      <c r="BD341" t="s">
        <v>6662</v>
      </c>
      <c r="BE341" t="s">
        <v>6663</v>
      </c>
      <c r="BF341" t="str">
        <f>HYPERLINK("http://dx.doi.org/10.1029/2011JG001679","http://dx.doi.org/10.1029/2011JG001679")</f>
        <v>http://dx.doi.org/10.1029/2011JG001679</v>
      </c>
      <c r="BG341" t="s">
        <v>74</v>
      </c>
      <c r="BH341" t="s">
        <v>74</v>
      </c>
      <c r="BI341">
        <v>25</v>
      </c>
      <c r="BJ341" t="s">
        <v>6664</v>
      </c>
      <c r="BK341" t="s">
        <v>99</v>
      </c>
      <c r="BL341" t="s">
        <v>6665</v>
      </c>
      <c r="BM341" t="s">
        <v>6666</v>
      </c>
      <c r="BN341" t="s">
        <v>74</v>
      </c>
      <c r="BO341" t="s">
        <v>2692</v>
      </c>
      <c r="BP341" t="s">
        <v>74</v>
      </c>
      <c r="BQ341" t="s">
        <v>74</v>
      </c>
      <c r="BR341" t="s">
        <v>101</v>
      </c>
      <c r="BS341" t="s">
        <v>6667</v>
      </c>
      <c r="BT341" t="str">
        <f>HYPERLINK("https%3A%2F%2Fwww.webofscience.com%2Fwos%2Fwoscc%2Ffull-record%2FWOS:000301498900001","View Full Record in Web of Science")</f>
        <v>View Full Record in Web of Science</v>
      </c>
    </row>
    <row r="342" spans="1:72" x14ac:dyDescent="0.15">
      <c r="A342" t="s">
        <v>72</v>
      </c>
      <c r="B342" t="s">
        <v>6668</v>
      </c>
      <c r="C342" t="s">
        <v>74</v>
      </c>
      <c r="D342" t="s">
        <v>74</v>
      </c>
      <c r="E342" t="s">
        <v>74</v>
      </c>
      <c r="F342" t="s">
        <v>6669</v>
      </c>
      <c r="G342" t="s">
        <v>74</v>
      </c>
      <c r="H342" t="s">
        <v>74</v>
      </c>
      <c r="I342" t="s">
        <v>6670</v>
      </c>
      <c r="J342" t="s">
        <v>502</v>
      </c>
      <c r="K342" t="s">
        <v>74</v>
      </c>
      <c r="L342" t="s">
        <v>74</v>
      </c>
      <c r="M342" t="s">
        <v>78</v>
      </c>
      <c r="N342" t="s">
        <v>79</v>
      </c>
      <c r="O342" t="s">
        <v>74</v>
      </c>
      <c r="P342" t="s">
        <v>74</v>
      </c>
      <c r="Q342" t="s">
        <v>74</v>
      </c>
      <c r="R342" t="s">
        <v>74</v>
      </c>
      <c r="S342" t="s">
        <v>74</v>
      </c>
      <c r="T342" t="s">
        <v>74</v>
      </c>
      <c r="U342" t="s">
        <v>6671</v>
      </c>
      <c r="V342" t="s">
        <v>6672</v>
      </c>
      <c r="W342" t="s">
        <v>6673</v>
      </c>
      <c r="X342" t="s">
        <v>6674</v>
      </c>
      <c r="Y342" t="s">
        <v>6675</v>
      </c>
      <c r="Z342" t="s">
        <v>6676</v>
      </c>
      <c r="AA342" t="s">
        <v>74</v>
      </c>
      <c r="AB342" t="s">
        <v>74</v>
      </c>
      <c r="AC342" t="s">
        <v>6677</v>
      </c>
      <c r="AD342" t="s">
        <v>6677</v>
      </c>
      <c r="AE342" t="s">
        <v>6678</v>
      </c>
      <c r="AF342" t="s">
        <v>74</v>
      </c>
      <c r="AG342">
        <v>74</v>
      </c>
      <c r="AH342">
        <v>34</v>
      </c>
      <c r="AI342">
        <v>39</v>
      </c>
      <c r="AJ342">
        <v>2</v>
      </c>
      <c r="AK342">
        <v>59</v>
      </c>
      <c r="AL342" t="s">
        <v>513</v>
      </c>
      <c r="AM342" t="s">
        <v>514</v>
      </c>
      <c r="AN342" t="s">
        <v>515</v>
      </c>
      <c r="AO342" t="s">
        <v>516</v>
      </c>
      <c r="AP342" t="s">
        <v>74</v>
      </c>
      <c r="AQ342" t="s">
        <v>74</v>
      </c>
      <c r="AR342" t="s">
        <v>502</v>
      </c>
      <c r="AS342" t="s">
        <v>517</v>
      </c>
      <c r="AT342" t="s">
        <v>6679</v>
      </c>
      <c r="AU342">
        <v>2012</v>
      </c>
      <c r="AV342">
        <v>7</v>
      </c>
      <c r="AW342">
        <v>3</v>
      </c>
      <c r="AX342" t="s">
        <v>74</v>
      </c>
      <c r="AY342" t="s">
        <v>74</v>
      </c>
      <c r="AZ342" t="s">
        <v>74</v>
      </c>
      <c r="BA342" t="s">
        <v>74</v>
      </c>
      <c r="BB342" t="s">
        <v>74</v>
      </c>
      <c r="BC342" t="s">
        <v>74</v>
      </c>
      <c r="BD342" t="s">
        <v>6680</v>
      </c>
      <c r="BE342" t="s">
        <v>6681</v>
      </c>
      <c r="BF342" t="str">
        <f>HYPERLINK("http://dx.doi.org/10.1371/journal.pone.0032579","http://dx.doi.org/10.1371/journal.pone.0032579")</f>
        <v>http://dx.doi.org/10.1371/journal.pone.0032579</v>
      </c>
      <c r="BG342" t="s">
        <v>74</v>
      </c>
      <c r="BH342" t="s">
        <v>74</v>
      </c>
      <c r="BI342">
        <v>13</v>
      </c>
      <c r="BJ342" t="s">
        <v>153</v>
      </c>
      <c r="BK342" t="s">
        <v>99</v>
      </c>
      <c r="BL342" t="s">
        <v>154</v>
      </c>
      <c r="BM342" t="s">
        <v>6682</v>
      </c>
      <c r="BN342">
        <v>22412889</v>
      </c>
      <c r="BO342" t="s">
        <v>521</v>
      </c>
      <c r="BP342" t="s">
        <v>74</v>
      </c>
      <c r="BQ342" t="s">
        <v>74</v>
      </c>
      <c r="BR342" t="s">
        <v>101</v>
      </c>
      <c r="BS342" t="s">
        <v>6683</v>
      </c>
      <c r="BT342" t="str">
        <f>HYPERLINK("https%3A%2F%2Fwww.webofscience.com%2Fwos%2Fwoscc%2Ffull-record%2FWOS:000303060800030","View Full Record in Web of Science")</f>
        <v>View Full Record in Web of Science</v>
      </c>
    </row>
    <row r="343" spans="1:72" x14ac:dyDescent="0.15">
      <c r="A343" t="s">
        <v>72</v>
      </c>
      <c r="B343" t="s">
        <v>6684</v>
      </c>
      <c r="C343" t="s">
        <v>74</v>
      </c>
      <c r="D343" t="s">
        <v>74</v>
      </c>
      <c r="E343" t="s">
        <v>74</v>
      </c>
      <c r="F343" t="s">
        <v>6685</v>
      </c>
      <c r="G343" t="s">
        <v>74</v>
      </c>
      <c r="H343" t="s">
        <v>74</v>
      </c>
      <c r="I343" t="s">
        <v>6686</v>
      </c>
      <c r="J343" t="s">
        <v>6687</v>
      </c>
      <c r="K343" t="s">
        <v>74</v>
      </c>
      <c r="L343" t="s">
        <v>74</v>
      </c>
      <c r="M343" t="s">
        <v>78</v>
      </c>
      <c r="N343" t="s">
        <v>79</v>
      </c>
      <c r="O343" t="s">
        <v>74</v>
      </c>
      <c r="P343" t="s">
        <v>74</v>
      </c>
      <c r="Q343" t="s">
        <v>74</v>
      </c>
      <c r="R343" t="s">
        <v>74</v>
      </c>
      <c r="S343" t="s">
        <v>74</v>
      </c>
      <c r="T343" t="s">
        <v>6688</v>
      </c>
      <c r="U343" t="s">
        <v>6689</v>
      </c>
      <c r="V343" t="s">
        <v>6690</v>
      </c>
      <c r="W343" t="s">
        <v>6691</v>
      </c>
      <c r="X343" t="s">
        <v>6692</v>
      </c>
      <c r="Y343" t="s">
        <v>6693</v>
      </c>
      <c r="Z343" t="s">
        <v>6694</v>
      </c>
      <c r="AA343" t="s">
        <v>6695</v>
      </c>
      <c r="AB343" t="s">
        <v>6696</v>
      </c>
      <c r="AC343" t="s">
        <v>6697</v>
      </c>
      <c r="AD343" t="s">
        <v>6698</v>
      </c>
      <c r="AE343" t="s">
        <v>6699</v>
      </c>
      <c r="AF343" t="s">
        <v>74</v>
      </c>
      <c r="AG343">
        <v>62</v>
      </c>
      <c r="AH343">
        <v>186</v>
      </c>
      <c r="AI343">
        <v>207</v>
      </c>
      <c r="AJ343">
        <v>1</v>
      </c>
      <c r="AK343">
        <v>178</v>
      </c>
      <c r="AL343" t="s">
        <v>2884</v>
      </c>
      <c r="AM343" t="s">
        <v>147</v>
      </c>
      <c r="AN343" t="s">
        <v>2885</v>
      </c>
      <c r="AO343" t="s">
        <v>6700</v>
      </c>
      <c r="AP343" t="s">
        <v>6701</v>
      </c>
      <c r="AQ343" t="s">
        <v>74</v>
      </c>
      <c r="AR343" t="s">
        <v>6702</v>
      </c>
      <c r="AS343" t="s">
        <v>6703</v>
      </c>
      <c r="AT343" t="s">
        <v>6679</v>
      </c>
      <c r="AU343">
        <v>2012</v>
      </c>
      <c r="AV343">
        <v>279</v>
      </c>
      <c r="AW343">
        <v>1730</v>
      </c>
      <c r="AX343" t="s">
        <v>74</v>
      </c>
      <c r="AY343" t="s">
        <v>74</v>
      </c>
      <c r="AZ343" t="s">
        <v>74</v>
      </c>
      <c r="BA343" t="s">
        <v>74</v>
      </c>
      <c r="BB343">
        <v>1008</v>
      </c>
      <c r="BC343">
        <v>1016</v>
      </c>
      <c r="BD343" t="s">
        <v>74</v>
      </c>
      <c r="BE343" t="s">
        <v>6704</v>
      </c>
      <c r="BF343" t="str">
        <f>HYPERLINK("http://dx.doi.org/10.1098/rspb.2011.1323","http://dx.doi.org/10.1098/rspb.2011.1323")</f>
        <v>http://dx.doi.org/10.1098/rspb.2011.1323</v>
      </c>
      <c r="BG343" t="s">
        <v>74</v>
      </c>
      <c r="BH343" t="s">
        <v>74</v>
      </c>
      <c r="BI343">
        <v>9</v>
      </c>
      <c r="BJ343" t="s">
        <v>2891</v>
      </c>
      <c r="BK343" t="s">
        <v>99</v>
      </c>
      <c r="BL343" t="s">
        <v>2892</v>
      </c>
      <c r="BM343" t="s">
        <v>6705</v>
      </c>
      <c r="BN343">
        <v>21900322</v>
      </c>
      <c r="BO343" t="s">
        <v>328</v>
      </c>
      <c r="BP343" t="s">
        <v>74</v>
      </c>
      <c r="BQ343" t="s">
        <v>74</v>
      </c>
      <c r="BR343" t="s">
        <v>101</v>
      </c>
      <c r="BS343" t="s">
        <v>6706</v>
      </c>
      <c r="BT343" t="str">
        <f>HYPERLINK("https%3A%2F%2Fwww.webofscience.com%2Fwos%2Fwoscc%2Ffull-record%2FWOS:000299910400023","View Full Record in Web of Science")</f>
        <v>View Full Record in Web of Science</v>
      </c>
    </row>
    <row r="344" spans="1:72" x14ac:dyDescent="0.15">
      <c r="A344" t="s">
        <v>72</v>
      </c>
      <c r="B344" t="s">
        <v>6707</v>
      </c>
      <c r="C344" t="s">
        <v>74</v>
      </c>
      <c r="D344" t="s">
        <v>74</v>
      </c>
      <c r="E344" t="s">
        <v>74</v>
      </c>
      <c r="F344" t="s">
        <v>6708</v>
      </c>
      <c r="G344" t="s">
        <v>74</v>
      </c>
      <c r="H344" t="s">
        <v>74</v>
      </c>
      <c r="I344" t="s">
        <v>6709</v>
      </c>
      <c r="J344" t="s">
        <v>77</v>
      </c>
      <c r="K344" t="s">
        <v>74</v>
      </c>
      <c r="L344" t="s">
        <v>74</v>
      </c>
      <c r="M344" t="s">
        <v>78</v>
      </c>
      <c r="N344" t="s">
        <v>79</v>
      </c>
      <c r="O344" t="s">
        <v>74</v>
      </c>
      <c r="P344" t="s">
        <v>74</v>
      </c>
      <c r="Q344" t="s">
        <v>74</v>
      </c>
      <c r="R344" t="s">
        <v>74</v>
      </c>
      <c r="S344" t="s">
        <v>74</v>
      </c>
      <c r="T344" t="s">
        <v>6710</v>
      </c>
      <c r="U344" t="s">
        <v>6711</v>
      </c>
      <c r="V344" t="s">
        <v>6712</v>
      </c>
      <c r="W344" t="s">
        <v>6713</v>
      </c>
      <c r="X344" t="s">
        <v>6714</v>
      </c>
      <c r="Y344" t="s">
        <v>6715</v>
      </c>
      <c r="Z344" t="s">
        <v>6716</v>
      </c>
      <c r="AA344" t="s">
        <v>6717</v>
      </c>
      <c r="AB344" t="s">
        <v>74</v>
      </c>
      <c r="AC344" t="s">
        <v>74</v>
      </c>
      <c r="AD344" t="s">
        <v>74</v>
      </c>
      <c r="AE344" t="s">
        <v>74</v>
      </c>
      <c r="AF344" t="s">
        <v>74</v>
      </c>
      <c r="AG344">
        <v>37</v>
      </c>
      <c r="AH344">
        <v>12</v>
      </c>
      <c r="AI344">
        <v>12</v>
      </c>
      <c r="AJ344">
        <v>0</v>
      </c>
      <c r="AK344">
        <v>1</v>
      </c>
      <c r="AL344" t="s">
        <v>91</v>
      </c>
      <c r="AM344" t="s">
        <v>92</v>
      </c>
      <c r="AN344" t="s">
        <v>392</v>
      </c>
      <c r="AO344" t="s">
        <v>94</v>
      </c>
      <c r="AP344" t="s">
        <v>95</v>
      </c>
      <c r="AQ344" t="s">
        <v>74</v>
      </c>
      <c r="AR344" t="s">
        <v>77</v>
      </c>
      <c r="AS344" t="s">
        <v>96</v>
      </c>
      <c r="AT344" t="s">
        <v>6679</v>
      </c>
      <c r="AU344">
        <v>2012</v>
      </c>
      <c r="AV344" t="s">
        <v>74</v>
      </c>
      <c r="AW344">
        <v>3224</v>
      </c>
      <c r="AX344" t="s">
        <v>74</v>
      </c>
      <c r="AY344" t="s">
        <v>74</v>
      </c>
      <c r="AZ344" t="s">
        <v>74</v>
      </c>
      <c r="BA344" t="s">
        <v>74</v>
      </c>
      <c r="BB344">
        <v>1</v>
      </c>
      <c r="BC344">
        <v>40</v>
      </c>
      <c r="BD344" t="s">
        <v>74</v>
      </c>
      <c r="BE344" t="s">
        <v>74</v>
      </c>
      <c r="BF344" t="s">
        <v>74</v>
      </c>
      <c r="BG344" t="s">
        <v>74</v>
      </c>
      <c r="BH344" t="s">
        <v>74</v>
      </c>
      <c r="BI344">
        <v>40</v>
      </c>
      <c r="BJ344" t="s">
        <v>98</v>
      </c>
      <c r="BK344" t="s">
        <v>99</v>
      </c>
      <c r="BL344" t="s">
        <v>98</v>
      </c>
      <c r="BM344" t="s">
        <v>6718</v>
      </c>
      <c r="BN344" t="s">
        <v>74</v>
      </c>
      <c r="BO344" t="s">
        <v>74</v>
      </c>
      <c r="BP344" t="s">
        <v>74</v>
      </c>
      <c r="BQ344" t="s">
        <v>74</v>
      </c>
      <c r="BR344" t="s">
        <v>101</v>
      </c>
      <c r="BS344" t="s">
        <v>6719</v>
      </c>
      <c r="BT344" t="str">
        <f>HYPERLINK("https%3A%2F%2Fwww.webofscience.com%2Fwos%2Fwoscc%2Ffull-record%2FWOS:000301176400001","View Full Record in Web of Science")</f>
        <v>View Full Record in Web of Science</v>
      </c>
    </row>
    <row r="345" spans="1:72" x14ac:dyDescent="0.15">
      <c r="A345" t="s">
        <v>72</v>
      </c>
      <c r="B345" t="s">
        <v>6720</v>
      </c>
      <c r="C345" t="s">
        <v>74</v>
      </c>
      <c r="D345" t="s">
        <v>74</v>
      </c>
      <c r="E345" t="s">
        <v>74</v>
      </c>
      <c r="F345" t="s">
        <v>6721</v>
      </c>
      <c r="G345" t="s">
        <v>74</v>
      </c>
      <c r="H345" t="s">
        <v>74</v>
      </c>
      <c r="I345" t="s">
        <v>6722</v>
      </c>
      <c r="J345" t="s">
        <v>6687</v>
      </c>
      <c r="K345" t="s">
        <v>74</v>
      </c>
      <c r="L345" t="s">
        <v>74</v>
      </c>
      <c r="M345" t="s">
        <v>78</v>
      </c>
      <c r="N345" t="s">
        <v>79</v>
      </c>
      <c r="O345" t="s">
        <v>74</v>
      </c>
      <c r="P345" t="s">
        <v>74</v>
      </c>
      <c r="Q345" t="s">
        <v>74</v>
      </c>
      <c r="R345" t="s">
        <v>74</v>
      </c>
      <c r="S345" t="s">
        <v>74</v>
      </c>
      <c r="T345" t="s">
        <v>6723</v>
      </c>
      <c r="U345" t="s">
        <v>6724</v>
      </c>
      <c r="V345" t="s">
        <v>6725</v>
      </c>
      <c r="W345" t="s">
        <v>6726</v>
      </c>
      <c r="X345" t="s">
        <v>6727</v>
      </c>
      <c r="Y345" t="s">
        <v>6728</v>
      </c>
      <c r="Z345" t="s">
        <v>6729</v>
      </c>
      <c r="AA345" t="s">
        <v>6730</v>
      </c>
      <c r="AB345" t="s">
        <v>6731</v>
      </c>
      <c r="AC345" t="s">
        <v>6732</v>
      </c>
      <c r="AD345" t="s">
        <v>6733</v>
      </c>
      <c r="AE345" t="s">
        <v>6734</v>
      </c>
      <c r="AF345" t="s">
        <v>74</v>
      </c>
      <c r="AG345">
        <v>30</v>
      </c>
      <c r="AH345">
        <v>75</v>
      </c>
      <c r="AI345">
        <v>84</v>
      </c>
      <c r="AJ345">
        <v>1</v>
      </c>
      <c r="AK345">
        <v>76</v>
      </c>
      <c r="AL345" t="s">
        <v>2884</v>
      </c>
      <c r="AM345" t="s">
        <v>147</v>
      </c>
      <c r="AN345" t="s">
        <v>2885</v>
      </c>
      <c r="AO345" t="s">
        <v>6700</v>
      </c>
      <c r="AP345" t="s">
        <v>6701</v>
      </c>
      <c r="AQ345" t="s">
        <v>74</v>
      </c>
      <c r="AR345" t="s">
        <v>6702</v>
      </c>
      <c r="AS345" t="s">
        <v>6703</v>
      </c>
      <c r="AT345" t="s">
        <v>6679</v>
      </c>
      <c r="AU345">
        <v>2012</v>
      </c>
      <c r="AV345">
        <v>279</v>
      </c>
      <c r="AW345">
        <v>1730</v>
      </c>
      <c r="AX345" t="s">
        <v>74</v>
      </c>
      <c r="AY345" t="s">
        <v>74</v>
      </c>
      <c r="AZ345" t="s">
        <v>74</v>
      </c>
      <c r="BA345" t="s">
        <v>74</v>
      </c>
      <c r="BB345">
        <v>1017</v>
      </c>
      <c r="BC345">
        <v>1026</v>
      </c>
      <c r="BD345" t="s">
        <v>74</v>
      </c>
      <c r="BE345" t="s">
        <v>6735</v>
      </c>
      <c r="BF345" t="str">
        <f>HYPERLINK("http://dx.doi.org/10.1098/rspb.2011.1496","http://dx.doi.org/10.1098/rspb.2011.1496")</f>
        <v>http://dx.doi.org/10.1098/rspb.2011.1496</v>
      </c>
      <c r="BG345" t="s">
        <v>74</v>
      </c>
      <c r="BH345" t="s">
        <v>74</v>
      </c>
      <c r="BI345">
        <v>10</v>
      </c>
      <c r="BJ345" t="s">
        <v>2891</v>
      </c>
      <c r="BK345" t="s">
        <v>99</v>
      </c>
      <c r="BL345" t="s">
        <v>2892</v>
      </c>
      <c r="BM345" t="s">
        <v>6705</v>
      </c>
      <c r="BN345">
        <v>21900324</v>
      </c>
      <c r="BO345" t="s">
        <v>308</v>
      </c>
      <c r="BP345" t="s">
        <v>74</v>
      </c>
      <c r="BQ345" t="s">
        <v>74</v>
      </c>
      <c r="BR345" t="s">
        <v>101</v>
      </c>
      <c r="BS345" t="s">
        <v>6736</v>
      </c>
      <c r="BT345" t="str">
        <f>HYPERLINK("https%3A%2F%2Fwww.webofscience.com%2Fwos%2Fwoscc%2Ffull-record%2FWOS:000299910400024","View Full Record in Web of Science")</f>
        <v>View Full Record in Web of Science</v>
      </c>
    </row>
    <row r="346" spans="1:72" x14ac:dyDescent="0.15">
      <c r="A346" t="s">
        <v>72</v>
      </c>
      <c r="B346" t="s">
        <v>6737</v>
      </c>
      <c r="C346" t="s">
        <v>74</v>
      </c>
      <c r="D346" t="s">
        <v>74</v>
      </c>
      <c r="E346" t="s">
        <v>74</v>
      </c>
      <c r="F346" t="s">
        <v>6738</v>
      </c>
      <c r="G346" t="s">
        <v>74</v>
      </c>
      <c r="H346" t="s">
        <v>74</v>
      </c>
      <c r="I346" t="s">
        <v>6739</v>
      </c>
      <c r="J346" t="s">
        <v>6687</v>
      </c>
      <c r="K346" t="s">
        <v>74</v>
      </c>
      <c r="L346" t="s">
        <v>74</v>
      </c>
      <c r="M346" t="s">
        <v>78</v>
      </c>
      <c r="N346" t="s">
        <v>79</v>
      </c>
      <c r="O346" t="s">
        <v>74</v>
      </c>
      <c r="P346" t="s">
        <v>74</v>
      </c>
      <c r="Q346" t="s">
        <v>74</v>
      </c>
      <c r="R346" t="s">
        <v>74</v>
      </c>
      <c r="S346" t="s">
        <v>74</v>
      </c>
      <c r="T346" t="s">
        <v>6740</v>
      </c>
      <c r="U346" t="s">
        <v>6741</v>
      </c>
      <c r="V346" t="s">
        <v>6742</v>
      </c>
      <c r="W346" t="s">
        <v>6743</v>
      </c>
      <c r="X346" t="s">
        <v>6744</v>
      </c>
      <c r="Y346" t="s">
        <v>6745</v>
      </c>
      <c r="Z346" t="s">
        <v>6746</v>
      </c>
      <c r="AA346" t="s">
        <v>6747</v>
      </c>
      <c r="AB346" t="s">
        <v>74</v>
      </c>
      <c r="AC346" t="s">
        <v>6748</v>
      </c>
      <c r="AD346" t="s">
        <v>6749</v>
      </c>
      <c r="AE346" t="s">
        <v>6750</v>
      </c>
      <c r="AF346" t="s">
        <v>74</v>
      </c>
      <c r="AG346">
        <v>41</v>
      </c>
      <c r="AH346">
        <v>28</v>
      </c>
      <c r="AI346">
        <v>33</v>
      </c>
      <c r="AJ346">
        <v>0</v>
      </c>
      <c r="AK346">
        <v>24</v>
      </c>
      <c r="AL346" t="s">
        <v>2884</v>
      </c>
      <c r="AM346" t="s">
        <v>147</v>
      </c>
      <c r="AN346" t="s">
        <v>2885</v>
      </c>
      <c r="AO346" t="s">
        <v>6700</v>
      </c>
      <c r="AP346" t="s">
        <v>6701</v>
      </c>
      <c r="AQ346" t="s">
        <v>74</v>
      </c>
      <c r="AR346" t="s">
        <v>6702</v>
      </c>
      <c r="AS346" t="s">
        <v>6703</v>
      </c>
      <c r="AT346" t="s">
        <v>6679</v>
      </c>
      <c r="AU346">
        <v>2012</v>
      </c>
      <c r="AV346">
        <v>279</v>
      </c>
      <c r="AW346">
        <v>1730</v>
      </c>
      <c r="AX346" t="s">
        <v>74</v>
      </c>
      <c r="AY346" t="s">
        <v>74</v>
      </c>
      <c r="AZ346" t="s">
        <v>74</v>
      </c>
      <c r="BA346" t="s">
        <v>74</v>
      </c>
      <c r="BB346">
        <v>1027</v>
      </c>
      <c r="BC346">
        <v>1032</v>
      </c>
      <c r="BD346" t="s">
        <v>74</v>
      </c>
      <c r="BE346" t="s">
        <v>6751</v>
      </c>
      <c r="BF346" t="str">
        <f>HYPERLINK("http://dx.doi.org/10.1098/rspb.2011.1592","http://dx.doi.org/10.1098/rspb.2011.1592")</f>
        <v>http://dx.doi.org/10.1098/rspb.2011.1592</v>
      </c>
      <c r="BG346" t="s">
        <v>74</v>
      </c>
      <c r="BH346" t="s">
        <v>74</v>
      </c>
      <c r="BI346">
        <v>6</v>
      </c>
      <c r="BJ346" t="s">
        <v>2891</v>
      </c>
      <c r="BK346" t="s">
        <v>99</v>
      </c>
      <c r="BL346" t="s">
        <v>2892</v>
      </c>
      <c r="BM346" t="s">
        <v>6705</v>
      </c>
      <c r="BN346">
        <v>21900330</v>
      </c>
      <c r="BO346" t="s">
        <v>308</v>
      </c>
      <c r="BP346" t="s">
        <v>74</v>
      </c>
      <c r="BQ346" t="s">
        <v>74</v>
      </c>
      <c r="BR346" t="s">
        <v>101</v>
      </c>
      <c r="BS346" t="s">
        <v>6752</v>
      </c>
      <c r="BT346" t="str">
        <f>HYPERLINK("https%3A%2F%2Fwww.webofscience.com%2Fwos%2Fwoscc%2Ffull-record%2FWOS:000299910400025","View Full Record in Web of Science")</f>
        <v>View Full Record in Web of Science</v>
      </c>
    </row>
    <row r="347" spans="1:72" x14ac:dyDescent="0.15">
      <c r="A347" t="s">
        <v>72</v>
      </c>
      <c r="B347" t="s">
        <v>6753</v>
      </c>
      <c r="C347" t="s">
        <v>74</v>
      </c>
      <c r="D347" t="s">
        <v>74</v>
      </c>
      <c r="E347" t="s">
        <v>74</v>
      </c>
      <c r="F347" t="s">
        <v>6754</v>
      </c>
      <c r="G347" t="s">
        <v>74</v>
      </c>
      <c r="H347" t="s">
        <v>74</v>
      </c>
      <c r="I347" t="s">
        <v>6755</v>
      </c>
      <c r="J347" t="s">
        <v>6756</v>
      </c>
      <c r="K347" t="s">
        <v>74</v>
      </c>
      <c r="L347" t="s">
        <v>74</v>
      </c>
      <c r="M347" t="s">
        <v>78</v>
      </c>
      <c r="N347" t="s">
        <v>79</v>
      </c>
      <c r="O347" t="s">
        <v>74</v>
      </c>
      <c r="P347" t="s">
        <v>74</v>
      </c>
      <c r="Q347" t="s">
        <v>74</v>
      </c>
      <c r="R347" t="s">
        <v>74</v>
      </c>
      <c r="S347" t="s">
        <v>74</v>
      </c>
      <c r="T347" t="s">
        <v>74</v>
      </c>
      <c r="U347" t="s">
        <v>6757</v>
      </c>
      <c r="V347" t="s">
        <v>6758</v>
      </c>
      <c r="W347" t="s">
        <v>6759</v>
      </c>
      <c r="X347" t="s">
        <v>6760</v>
      </c>
      <c r="Y347" t="s">
        <v>6761</v>
      </c>
      <c r="Z347" t="s">
        <v>6762</v>
      </c>
      <c r="AA347" t="s">
        <v>6763</v>
      </c>
      <c r="AB347" t="s">
        <v>6764</v>
      </c>
      <c r="AC347" t="s">
        <v>6765</v>
      </c>
      <c r="AD347" t="s">
        <v>6766</v>
      </c>
      <c r="AE347" t="s">
        <v>6767</v>
      </c>
      <c r="AF347" t="s">
        <v>74</v>
      </c>
      <c r="AG347">
        <v>78</v>
      </c>
      <c r="AH347">
        <v>22</v>
      </c>
      <c r="AI347">
        <v>22</v>
      </c>
      <c r="AJ347">
        <v>0</v>
      </c>
      <c r="AK347">
        <v>26</v>
      </c>
      <c r="AL347" t="s">
        <v>277</v>
      </c>
      <c r="AM347" t="s">
        <v>278</v>
      </c>
      <c r="AN347" t="s">
        <v>279</v>
      </c>
      <c r="AO347" t="s">
        <v>6768</v>
      </c>
      <c r="AP347" t="s">
        <v>6769</v>
      </c>
      <c r="AQ347" t="s">
        <v>74</v>
      </c>
      <c r="AR347" t="s">
        <v>6770</v>
      </c>
      <c r="AS347" t="s">
        <v>6771</v>
      </c>
      <c r="AT347" t="s">
        <v>6772</v>
      </c>
      <c r="AU347">
        <v>2012</v>
      </c>
      <c r="AV347">
        <v>253</v>
      </c>
      <c r="AW347" t="s">
        <v>74</v>
      </c>
      <c r="AX347" t="s">
        <v>74</v>
      </c>
      <c r="AY347" t="s">
        <v>74</v>
      </c>
      <c r="AZ347" t="s">
        <v>74</v>
      </c>
      <c r="BA347" t="s">
        <v>74</v>
      </c>
      <c r="BB347">
        <v>18</v>
      </c>
      <c r="BC347">
        <v>31</v>
      </c>
      <c r="BD347" t="s">
        <v>74</v>
      </c>
      <c r="BE347" t="s">
        <v>6773</v>
      </c>
      <c r="BF347" t="str">
        <f>HYPERLINK("http://dx.doi.org/10.1016/j.quaint.2011.02.028","http://dx.doi.org/10.1016/j.quaint.2011.02.028")</f>
        <v>http://dx.doi.org/10.1016/j.quaint.2011.02.028</v>
      </c>
      <c r="BG347" t="s">
        <v>74</v>
      </c>
      <c r="BH347" t="s">
        <v>74</v>
      </c>
      <c r="BI347">
        <v>14</v>
      </c>
      <c r="BJ347" t="s">
        <v>943</v>
      </c>
      <c r="BK347" t="s">
        <v>99</v>
      </c>
      <c r="BL347" t="s">
        <v>944</v>
      </c>
      <c r="BM347" t="s">
        <v>6774</v>
      </c>
      <c r="BN347" t="s">
        <v>74</v>
      </c>
      <c r="BO347" t="s">
        <v>74</v>
      </c>
      <c r="BP347" t="s">
        <v>74</v>
      </c>
      <c r="BQ347" t="s">
        <v>74</v>
      </c>
      <c r="BR347" t="s">
        <v>101</v>
      </c>
      <c r="BS347" t="s">
        <v>6775</v>
      </c>
      <c r="BT347" t="str">
        <f>HYPERLINK("https%3A%2F%2Fwww.webofscience.com%2Fwos%2Fwoscc%2Ffull-record%2FWOS:000301634400004","View Full Record in Web of Science")</f>
        <v>View Full Record in Web of Science</v>
      </c>
    </row>
    <row r="348" spans="1:72" x14ac:dyDescent="0.15">
      <c r="A348" t="s">
        <v>72</v>
      </c>
      <c r="B348" t="s">
        <v>6776</v>
      </c>
      <c r="C348" t="s">
        <v>74</v>
      </c>
      <c r="D348" t="s">
        <v>74</v>
      </c>
      <c r="E348" t="s">
        <v>74</v>
      </c>
      <c r="F348" t="s">
        <v>6777</v>
      </c>
      <c r="G348" t="s">
        <v>74</v>
      </c>
      <c r="H348" t="s">
        <v>74</v>
      </c>
      <c r="I348" t="s">
        <v>6778</v>
      </c>
      <c r="J348" t="s">
        <v>6756</v>
      </c>
      <c r="K348" t="s">
        <v>74</v>
      </c>
      <c r="L348" t="s">
        <v>74</v>
      </c>
      <c r="M348" t="s">
        <v>78</v>
      </c>
      <c r="N348" t="s">
        <v>79</v>
      </c>
      <c r="O348" t="s">
        <v>74</v>
      </c>
      <c r="P348" t="s">
        <v>74</v>
      </c>
      <c r="Q348" t="s">
        <v>74</v>
      </c>
      <c r="R348" t="s">
        <v>74</v>
      </c>
      <c r="S348" t="s">
        <v>74</v>
      </c>
      <c r="T348" t="s">
        <v>74</v>
      </c>
      <c r="U348" t="s">
        <v>6779</v>
      </c>
      <c r="V348" t="s">
        <v>6780</v>
      </c>
      <c r="W348" t="s">
        <v>6781</v>
      </c>
      <c r="X348" t="s">
        <v>6782</v>
      </c>
      <c r="Y348" t="s">
        <v>6783</v>
      </c>
      <c r="Z348" t="s">
        <v>6784</v>
      </c>
      <c r="AA348" t="s">
        <v>74</v>
      </c>
      <c r="AB348" t="s">
        <v>6785</v>
      </c>
      <c r="AC348" t="s">
        <v>74</v>
      </c>
      <c r="AD348" t="s">
        <v>74</v>
      </c>
      <c r="AE348" t="s">
        <v>74</v>
      </c>
      <c r="AF348" t="s">
        <v>74</v>
      </c>
      <c r="AG348">
        <v>47</v>
      </c>
      <c r="AH348">
        <v>15</v>
      </c>
      <c r="AI348">
        <v>15</v>
      </c>
      <c r="AJ348">
        <v>0</v>
      </c>
      <c r="AK348">
        <v>40</v>
      </c>
      <c r="AL348" t="s">
        <v>277</v>
      </c>
      <c r="AM348" t="s">
        <v>278</v>
      </c>
      <c r="AN348" t="s">
        <v>279</v>
      </c>
      <c r="AO348" t="s">
        <v>6768</v>
      </c>
      <c r="AP348" t="s">
        <v>6769</v>
      </c>
      <c r="AQ348" t="s">
        <v>74</v>
      </c>
      <c r="AR348" t="s">
        <v>6770</v>
      </c>
      <c r="AS348" t="s">
        <v>6771</v>
      </c>
      <c r="AT348" t="s">
        <v>6772</v>
      </c>
      <c r="AU348">
        <v>2012</v>
      </c>
      <c r="AV348">
        <v>253</v>
      </c>
      <c r="AW348" t="s">
        <v>74</v>
      </c>
      <c r="AX348" t="s">
        <v>74</v>
      </c>
      <c r="AY348" t="s">
        <v>74</v>
      </c>
      <c r="AZ348" t="s">
        <v>74</v>
      </c>
      <c r="BA348" t="s">
        <v>74</v>
      </c>
      <c r="BB348">
        <v>47</v>
      </c>
      <c r="BC348">
        <v>54</v>
      </c>
      <c r="BD348" t="s">
        <v>74</v>
      </c>
      <c r="BE348" t="s">
        <v>6786</v>
      </c>
      <c r="BF348" t="str">
        <f>HYPERLINK("http://dx.doi.org/10.1016/j.quaint.2012.01.003","http://dx.doi.org/10.1016/j.quaint.2012.01.003")</f>
        <v>http://dx.doi.org/10.1016/j.quaint.2012.01.003</v>
      </c>
      <c r="BG348" t="s">
        <v>74</v>
      </c>
      <c r="BH348" t="s">
        <v>74</v>
      </c>
      <c r="BI348">
        <v>8</v>
      </c>
      <c r="BJ348" t="s">
        <v>943</v>
      </c>
      <c r="BK348" t="s">
        <v>99</v>
      </c>
      <c r="BL348" t="s">
        <v>944</v>
      </c>
      <c r="BM348" t="s">
        <v>6774</v>
      </c>
      <c r="BN348" t="s">
        <v>74</v>
      </c>
      <c r="BO348" t="s">
        <v>74</v>
      </c>
      <c r="BP348" t="s">
        <v>74</v>
      </c>
      <c r="BQ348" t="s">
        <v>74</v>
      </c>
      <c r="BR348" t="s">
        <v>101</v>
      </c>
      <c r="BS348" t="s">
        <v>6787</v>
      </c>
      <c r="BT348" t="str">
        <f>HYPERLINK("https%3A%2F%2Fwww.webofscience.com%2Fwos%2Fwoscc%2Ffull-record%2FWOS:000301634400006","View Full Record in Web of Science")</f>
        <v>View Full Record in Web of Science</v>
      </c>
    </row>
    <row r="349" spans="1:72" x14ac:dyDescent="0.15">
      <c r="A349" t="s">
        <v>72</v>
      </c>
      <c r="B349" t="s">
        <v>6788</v>
      </c>
      <c r="C349" t="s">
        <v>74</v>
      </c>
      <c r="D349" t="s">
        <v>74</v>
      </c>
      <c r="E349" t="s">
        <v>74</v>
      </c>
      <c r="F349" t="s">
        <v>6789</v>
      </c>
      <c r="G349" t="s">
        <v>74</v>
      </c>
      <c r="H349" t="s">
        <v>74</v>
      </c>
      <c r="I349" t="s">
        <v>6790</v>
      </c>
      <c r="J349" t="s">
        <v>176</v>
      </c>
      <c r="K349" t="s">
        <v>74</v>
      </c>
      <c r="L349" t="s">
        <v>74</v>
      </c>
      <c r="M349" t="s">
        <v>78</v>
      </c>
      <c r="N349" t="s">
        <v>79</v>
      </c>
      <c r="O349" t="s">
        <v>74</v>
      </c>
      <c r="P349" t="s">
        <v>74</v>
      </c>
      <c r="Q349" t="s">
        <v>74</v>
      </c>
      <c r="R349" t="s">
        <v>74</v>
      </c>
      <c r="S349" t="s">
        <v>74</v>
      </c>
      <c r="T349" t="s">
        <v>74</v>
      </c>
      <c r="U349" t="s">
        <v>6791</v>
      </c>
      <c r="V349" t="s">
        <v>6792</v>
      </c>
      <c r="W349" t="s">
        <v>6793</v>
      </c>
      <c r="X349" t="s">
        <v>6794</v>
      </c>
      <c r="Y349" t="s">
        <v>6795</v>
      </c>
      <c r="Z349" t="s">
        <v>1959</v>
      </c>
      <c r="AA349" t="s">
        <v>74</v>
      </c>
      <c r="AB349" t="s">
        <v>1960</v>
      </c>
      <c r="AC349" t="s">
        <v>6796</v>
      </c>
      <c r="AD349" t="s">
        <v>6797</v>
      </c>
      <c r="AE349" t="s">
        <v>6798</v>
      </c>
      <c r="AF349" t="s">
        <v>74</v>
      </c>
      <c r="AG349">
        <v>35</v>
      </c>
      <c r="AH349">
        <v>42</v>
      </c>
      <c r="AI349">
        <v>50</v>
      </c>
      <c r="AJ349">
        <v>0</v>
      </c>
      <c r="AK349">
        <v>36</v>
      </c>
      <c r="AL349" t="s">
        <v>118</v>
      </c>
      <c r="AM349" t="s">
        <v>119</v>
      </c>
      <c r="AN349" t="s">
        <v>120</v>
      </c>
      <c r="AO349" t="s">
        <v>187</v>
      </c>
      <c r="AP349" t="s">
        <v>74</v>
      </c>
      <c r="AQ349" t="s">
        <v>74</v>
      </c>
      <c r="AR349" t="s">
        <v>189</v>
      </c>
      <c r="AS349" t="s">
        <v>190</v>
      </c>
      <c r="AT349" t="s">
        <v>6772</v>
      </c>
      <c r="AU349">
        <v>2012</v>
      </c>
      <c r="AV349">
        <v>39</v>
      </c>
      <c r="AW349" t="s">
        <v>74</v>
      </c>
      <c r="AX349" t="s">
        <v>74</v>
      </c>
      <c r="AY349" t="s">
        <v>74</v>
      </c>
      <c r="AZ349" t="s">
        <v>74</v>
      </c>
      <c r="BA349" t="s">
        <v>74</v>
      </c>
      <c r="BB349" t="s">
        <v>74</v>
      </c>
      <c r="BC349" t="s">
        <v>74</v>
      </c>
      <c r="BD349" t="s">
        <v>6799</v>
      </c>
      <c r="BE349" t="s">
        <v>6800</v>
      </c>
      <c r="BF349" t="str">
        <f>HYPERLINK("http://dx.doi.org/10.1029/2012GL050898","http://dx.doi.org/10.1029/2012GL050898")</f>
        <v>http://dx.doi.org/10.1029/2012GL050898</v>
      </c>
      <c r="BG349" t="s">
        <v>74</v>
      </c>
      <c r="BH349" t="s">
        <v>74</v>
      </c>
      <c r="BI349">
        <v>5</v>
      </c>
      <c r="BJ349" t="s">
        <v>194</v>
      </c>
      <c r="BK349" t="s">
        <v>99</v>
      </c>
      <c r="BL349" t="s">
        <v>195</v>
      </c>
      <c r="BM349" t="s">
        <v>6801</v>
      </c>
      <c r="BN349" t="s">
        <v>74</v>
      </c>
      <c r="BO349" t="s">
        <v>217</v>
      </c>
      <c r="BP349" t="s">
        <v>74</v>
      </c>
      <c r="BQ349" t="s">
        <v>74</v>
      </c>
      <c r="BR349" t="s">
        <v>101</v>
      </c>
      <c r="BS349" t="s">
        <v>6802</v>
      </c>
      <c r="BT349" t="str">
        <f>HYPERLINK("https%3A%2F%2Fwww.webofscience.com%2Fwos%2Fwoscc%2Ffull-record%2FWOS:000301503300004","View Full Record in Web of Science")</f>
        <v>View Full Record in Web of Science</v>
      </c>
    </row>
    <row r="350" spans="1:72" x14ac:dyDescent="0.15">
      <c r="A350" t="s">
        <v>72</v>
      </c>
      <c r="B350" t="s">
        <v>6803</v>
      </c>
      <c r="C350" t="s">
        <v>74</v>
      </c>
      <c r="D350" t="s">
        <v>74</v>
      </c>
      <c r="E350" t="s">
        <v>74</v>
      </c>
      <c r="F350" t="s">
        <v>6804</v>
      </c>
      <c r="G350" t="s">
        <v>74</v>
      </c>
      <c r="H350" t="s">
        <v>74</v>
      </c>
      <c r="I350" t="s">
        <v>6805</v>
      </c>
      <c r="J350" t="s">
        <v>106</v>
      </c>
      <c r="K350" t="s">
        <v>74</v>
      </c>
      <c r="L350" t="s">
        <v>74</v>
      </c>
      <c r="M350" t="s">
        <v>78</v>
      </c>
      <c r="N350" t="s">
        <v>79</v>
      </c>
      <c r="O350" t="s">
        <v>74</v>
      </c>
      <c r="P350" t="s">
        <v>74</v>
      </c>
      <c r="Q350" t="s">
        <v>74</v>
      </c>
      <c r="R350" t="s">
        <v>74</v>
      </c>
      <c r="S350" t="s">
        <v>74</v>
      </c>
      <c r="T350" t="s">
        <v>74</v>
      </c>
      <c r="U350" t="s">
        <v>6806</v>
      </c>
      <c r="V350" t="s">
        <v>6807</v>
      </c>
      <c r="W350" t="s">
        <v>6808</v>
      </c>
      <c r="X350" t="s">
        <v>6809</v>
      </c>
      <c r="Y350" t="s">
        <v>6810</v>
      </c>
      <c r="Z350" t="s">
        <v>6811</v>
      </c>
      <c r="AA350" t="s">
        <v>6812</v>
      </c>
      <c r="AB350" t="s">
        <v>6813</v>
      </c>
      <c r="AC350" t="s">
        <v>143</v>
      </c>
      <c r="AD350" t="s">
        <v>144</v>
      </c>
      <c r="AE350" t="s">
        <v>6814</v>
      </c>
      <c r="AF350" t="s">
        <v>74</v>
      </c>
      <c r="AG350">
        <v>66</v>
      </c>
      <c r="AH350">
        <v>94</v>
      </c>
      <c r="AI350">
        <v>96</v>
      </c>
      <c r="AJ350">
        <v>1</v>
      </c>
      <c r="AK350">
        <v>46</v>
      </c>
      <c r="AL350" t="s">
        <v>118</v>
      </c>
      <c r="AM350" t="s">
        <v>119</v>
      </c>
      <c r="AN350" t="s">
        <v>120</v>
      </c>
      <c r="AO350" t="s">
        <v>121</v>
      </c>
      <c r="AP350" t="s">
        <v>122</v>
      </c>
      <c r="AQ350" t="s">
        <v>74</v>
      </c>
      <c r="AR350" t="s">
        <v>123</v>
      </c>
      <c r="AS350" t="s">
        <v>124</v>
      </c>
      <c r="AT350" t="s">
        <v>6772</v>
      </c>
      <c r="AU350">
        <v>2012</v>
      </c>
      <c r="AV350">
        <v>117</v>
      </c>
      <c r="AW350" t="s">
        <v>74</v>
      </c>
      <c r="AX350" t="s">
        <v>74</v>
      </c>
      <c r="AY350" t="s">
        <v>74</v>
      </c>
      <c r="AZ350" t="s">
        <v>74</v>
      </c>
      <c r="BA350" t="s">
        <v>74</v>
      </c>
      <c r="BB350" t="s">
        <v>74</v>
      </c>
      <c r="BC350" t="s">
        <v>74</v>
      </c>
      <c r="BD350" t="s">
        <v>6815</v>
      </c>
      <c r="BE350" t="s">
        <v>6816</v>
      </c>
      <c r="BF350" t="str">
        <f>HYPERLINK("http://dx.doi.org/10.1029/2011JD016145","http://dx.doi.org/10.1029/2011JD016145")</f>
        <v>http://dx.doi.org/10.1029/2011JD016145</v>
      </c>
      <c r="BG350" t="s">
        <v>74</v>
      </c>
      <c r="BH350" t="s">
        <v>74</v>
      </c>
      <c r="BI350">
        <v>17</v>
      </c>
      <c r="BJ350" t="s">
        <v>128</v>
      </c>
      <c r="BK350" t="s">
        <v>99</v>
      </c>
      <c r="BL350" t="s">
        <v>128</v>
      </c>
      <c r="BM350" t="s">
        <v>6817</v>
      </c>
      <c r="BN350" t="s">
        <v>74</v>
      </c>
      <c r="BO350" t="s">
        <v>822</v>
      </c>
      <c r="BP350" t="s">
        <v>74</v>
      </c>
      <c r="BQ350" t="s">
        <v>74</v>
      </c>
      <c r="BR350" t="s">
        <v>101</v>
      </c>
      <c r="BS350" t="s">
        <v>6818</v>
      </c>
      <c r="BT350" t="str">
        <f>HYPERLINK("https%3A%2F%2Fwww.webofscience.com%2Fwos%2Fwoscc%2Ffull-record%2FWOS:000301498000002","View Full Record in Web of Science")</f>
        <v>View Full Record in Web of Science</v>
      </c>
    </row>
    <row r="351" spans="1:72" x14ac:dyDescent="0.15">
      <c r="A351" t="s">
        <v>72</v>
      </c>
      <c r="B351" t="s">
        <v>6819</v>
      </c>
      <c r="C351" t="s">
        <v>74</v>
      </c>
      <c r="D351" t="s">
        <v>74</v>
      </c>
      <c r="E351" t="s">
        <v>74</v>
      </c>
      <c r="F351" t="s">
        <v>6820</v>
      </c>
      <c r="G351" t="s">
        <v>74</v>
      </c>
      <c r="H351" t="s">
        <v>74</v>
      </c>
      <c r="I351" t="s">
        <v>6821</v>
      </c>
      <c r="J351" t="s">
        <v>502</v>
      </c>
      <c r="K351" t="s">
        <v>74</v>
      </c>
      <c r="L351" t="s">
        <v>74</v>
      </c>
      <c r="M351" t="s">
        <v>78</v>
      </c>
      <c r="N351" t="s">
        <v>79</v>
      </c>
      <c r="O351" t="s">
        <v>74</v>
      </c>
      <c r="P351" t="s">
        <v>74</v>
      </c>
      <c r="Q351" t="s">
        <v>74</v>
      </c>
      <c r="R351" t="s">
        <v>74</v>
      </c>
      <c r="S351" t="s">
        <v>74</v>
      </c>
      <c r="T351" t="s">
        <v>74</v>
      </c>
      <c r="U351" t="s">
        <v>6822</v>
      </c>
      <c r="V351" t="s">
        <v>6823</v>
      </c>
      <c r="W351" t="s">
        <v>6824</v>
      </c>
      <c r="X351" t="s">
        <v>6825</v>
      </c>
      <c r="Y351" t="s">
        <v>6826</v>
      </c>
      <c r="Z351" t="s">
        <v>6827</v>
      </c>
      <c r="AA351" t="s">
        <v>6828</v>
      </c>
      <c r="AB351" t="s">
        <v>6829</v>
      </c>
      <c r="AC351" t="s">
        <v>6830</v>
      </c>
      <c r="AD351" t="s">
        <v>6831</v>
      </c>
      <c r="AE351" t="s">
        <v>6832</v>
      </c>
      <c r="AF351" t="s">
        <v>74</v>
      </c>
      <c r="AG351">
        <v>48</v>
      </c>
      <c r="AH351">
        <v>21</v>
      </c>
      <c r="AI351">
        <v>23</v>
      </c>
      <c r="AJ351">
        <v>1</v>
      </c>
      <c r="AK351">
        <v>18</v>
      </c>
      <c r="AL351" t="s">
        <v>513</v>
      </c>
      <c r="AM351" t="s">
        <v>514</v>
      </c>
      <c r="AN351" t="s">
        <v>515</v>
      </c>
      <c r="AO351" t="s">
        <v>516</v>
      </c>
      <c r="AP351" t="s">
        <v>74</v>
      </c>
      <c r="AQ351" t="s">
        <v>74</v>
      </c>
      <c r="AR351" t="s">
        <v>502</v>
      </c>
      <c r="AS351" t="s">
        <v>517</v>
      </c>
      <c r="AT351" t="s">
        <v>6833</v>
      </c>
      <c r="AU351">
        <v>2012</v>
      </c>
      <c r="AV351">
        <v>7</v>
      </c>
      <c r="AW351">
        <v>3</v>
      </c>
      <c r="AX351" t="s">
        <v>74</v>
      </c>
      <c r="AY351" t="s">
        <v>74</v>
      </c>
      <c r="AZ351" t="s">
        <v>74</v>
      </c>
      <c r="BA351" t="s">
        <v>74</v>
      </c>
      <c r="BB351" t="s">
        <v>74</v>
      </c>
      <c r="BC351" t="s">
        <v>74</v>
      </c>
      <c r="BD351" t="s">
        <v>6834</v>
      </c>
      <c r="BE351" t="s">
        <v>6835</v>
      </c>
      <c r="BF351" t="str">
        <f>HYPERLINK("http://dx.doi.org/10.1371/journal.pone.0032415","http://dx.doi.org/10.1371/journal.pone.0032415")</f>
        <v>http://dx.doi.org/10.1371/journal.pone.0032415</v>
      </c>
      <c r="BG351" t="s">
        <v>74</v>
      </c>
      <c r="BH351" t="s">
        <v>74</v>
      </c>
      <c r="BI351">
        <v>7</v>
      </c>
      <c r="BJ351" t="s">
        <v>153</v>
      </c>
      <c r="BK351" t="s">
        <v>99</v>
      </c>
      <c r="BL351" t="s">
        <v>154</v>
      </c>
      <c r="BM351" t="s">
        <v>6836</v>
      </c>
      <c r="BN351">
        <v>22403655</v>
      </c>
      <c r="BO351" t="s">
        <v>6837</v>
      </c>
      <c r="BP351" t="s">
        <v>74</v>
      </c>
      <c r="BQ351" t="s">
        <v>74</v>
      </c>
      <c r="BR351" t="s">
        <v>101</v>
      </c>
      <c r="BS351" t="s">
        <v>6838</v>
      </c>
      <c r="BT351" t="str">
        <f>HYPERLINK("https%3A%2F%2Fwww.webofscience.com%2Fwos%2Fwoscc%2Ffull-record%2FWOS:000303017700052","View Full Record in Web of Science")</f>
        <v>View Full Record in Web of Science</v>
      </c>
    </row>
    <row r="352" spans="1:72" x14ac:dyDescent="0.15">
      <c r="A352" t="s">
        <v>72</v>
      </c>
      <c r="B352" t="s">
        <v>6839</v>
      </c>
      <c r="C352" t="s">
        <v>74</v>
      </c>
      <c r="D352" t="s">
        <v>74</v>
      </c>
      <c r="E352" t="s">
        <v>74</v>
      </c>
      <c r="F352" t="s">
        <v>6840</v>
      </c>
      <c r="G352" t="s">
        <v>74</v>
      </c>
      <c r="H352" t="s">
        <v>74</v>
      </c>
      <c r="I352" t="s">
        <v>6841</v>
      </c>
      <c r="J352" t="s">
        <v>2975</v>
      </c>
      <c r="K352" t="s">
        <v>74</v>
      </c>
      <c r="L352" t="s">
        <v>74</v>
      </c>
      <c r="M352" t="s">
        <v>78</v>
      </c>
      <c r="N352" t="s">
        <v>79</v>
      </c>
      <c r="O352" t="s">
        <v>74</v>
      </c>
      <c r="P352" t="s">
        <v>74</v>
      </c>
      <c r="Q352" t="s">
        <v>74</v>
      </c>
      <c r="R352" t="s">
        <v>74</v>
      </c>
      <c r="S352" t="s">
        <v>74</v>
      </c>
      <c r="T352" t="s">
        <v>6842</v>
      </c>
      <c r="U352" t="s">
        <v>6843</v>
      </c>
      <c r="V352" t="s">
        <v>6844</v>
      </c>
      <c r="W352" t="s">
        <v>6845</v>
      </c>
      <c r="X352" t="s">
        <v>3176</v>
      </c>
      <c r="Y352" t="s">
        <v>6846</v>
      </c>
      <c r="Z352" t="s">
        <v>6847</v>
      </c>
      <c r="AA352" t="s">
        <v>6848</v>
      </c>
      <c r="AB352" t="s">
        <v>6849</v>
      </c>
      <c r="AC352" t="s">
        <v>6850</v>
      </c>
      <c r="AD352" t="s">
        <v>6851</v>
      </c>
      <c r="AE352" t="s">
        <v>6852</v>
      </c>
      <c r="AF352" t="s">
        <v>74</v>
      </c>
      <c r="AG352">
        <v>82</v>
      </c>
      <c r="AH352">
        <v>19</v>
      </c>
      <c r="AI352">
        <v>22</v>
      </c>
      <c r="AJ352">
        <v>0</v>
      </c>
      <c r="AK352">
        <v>15</v>
      </c>
      <c r="AL352" t="s">
        <v>277</v>
      </c>
      <c r="AM352" t="s">
        <v>278</v>
      </c>
      <c r="AN352" t="s">
        <v>279</v>
      </c>
      <c r="AO352" t="s">
        <v>2988</v>
      </c>
      <c r="AP352" t="s">
        <v>74</v>
      </c>
      <c r="AQ352" t="s">
        <v>74</v>
      </c>
      <c r="AR352" t="s">
        <v>2989</v>
      </c>
      <c r="AS352" t="s">
        <v>2990</v>
      </c>
      <c r="AT352" t="s">
        <v>6833</v>
      </c>
      <c r="AU352">
        <v>2012</v>
      </c>
      <c r="AV352">
        <v>35</v>
      </c>
      <c r="AW352" t="s">
        <v>74</v>
      </c>
      <c r="AX352" t="s">
        <v>74</v>
      </c>
      <c r="AY352" t="s">
        <v>74</v>
      </c>
      <c r="AZ352" t="s">
        <v>74</v>
      </c>
      <c r="BA352" t="s">
        <v>74</v>
      </c>
      <c r="BB352">
        <v>63</v>
      </c>
      <c r="BC352">
        <v>81</v>
      </c>
      <c r="BD352" t="s">
        <v>74</v>
      </c>
      <c r="BE352" t="s">
        <v>6853</v>
      </c>
      <c r="BF352" t="str">
        <f>HYPERLINK("http://dx.doi.org/10.1016/j.quascirev.2012.01.008","http://dx.doi.org/10.1016/j.quascirev.2012.01.008")</f>
        <v>http://dx.doi.org/10.1016/j.quascirev.2012.01.008</v>
      </c>
      <c r="BG352" t="s">
        <v>74</v>
      </c>
      <c r="BH352" t="s">
        <v>74</v>
      </c>
      <c r="BI352">
        <v>19</v>
      </c>
      <c r="BJ352" t="s">
        <v>943</v>
      </c>
      <c r="BK352" t="s">
        <v>99</v>
      </c>
      <c r="BL352" t="s">
        <v>944</v>
      </c>
      <c r="BM352" t="s">
        <v>6854</v>
      </c>
      <c r="BN352" t="s">
        <v>74</v>
      </c>
      <c r="BO352" t="s">
        <v>74</v>
      </c>
      <c r="BP352" t="s">
        <v>74</v>
      </c>
      <c r="BQ352" t="s">
        <v>74</v>
      </c>
      <c r="BR352" t="s">
        <v>101</v>
      </c>
      <c r="BS352" t="s">
        <v>6855</v>
      </c>
      <c r="BT352" t="str">
        <f>HYPERLINK("https%3A%2F%2Fwww.webofscience.com%2Fwos%2Fwoscc%2Ffull-record%2FWOS:000301622800005","View Full Record in Web of Science")</f>
        <v>View Full Record in Web of Science</v>
      </c>
    </row>
    <row r="353" spans="1:72" x14ac:dyDescent="0.15">
      <c r="A353" t="s">
        <v>72</v>
      </c>
      <c r="B353" t="s">
        <v>1137</v>
      </c>
      <c r="C353" t="s">
        <v>74</v>
      </c>
      <c r="D353" t="s">
        <v>74</v>
      </c>
      <c r="E353" t="s">
        <v>74</v>
      </c>
      <c r="F353" t="s">
        <v>1137</v>
      </c>
      <c r="G353" t="s">
        <v>74</v>
      </c>
      <c r="H353" t="s">
        <v>74</v>
      </c>
      <c r="I353" t="s">
        <v>6856</v>
      </c>
      <c r="J353" t="s">
        <v>2697</v>
      </c>
      <c r="K353" t="s">
        <v>74</v>
      </c>
      <c r="L353" t="s">
        <v>74</v>
      </c>
      <c r="M353" t="s">
        <v>78</v>
      </c>
      <c r="N353" t="s">
        <v>887</v>
      </c>
      <c r="O353" t="s">
        <v>74</v>
      </c>
      <c r="P353" t="s">
        <v>74</v>
      </c>
      <c r="Q353" t="s">
        <v>74</v>
      </c>
      <c r="R353" t="s">
        <v>74</v>
      </c>
      <c r="S353" t="s">
        <v>74</v>
      </c>
      <c r="T353" t="s">
        <v>74</v>
      </c>
      <c r="U353" t="s">
        <v>74</v>
      </c>
      <c r="V353" t="s">
        <v>74</v>
      </c>
      <c r="W353" t="s">
        <v>74</v>
      </c>
      <c r="X353" t="s">
        <v>74</v>
      </c>
      <c r="Y353" t="s">
        <v>74</v>
      </c>
      <c r="Z353" t="s">
        <v>74</v>
      </c>
      <c r="AA353" t="s">
        <v>74</v>
      </c>
      <c r="AB353" t="s">
        <v>74</v>
      </c>
      <c r="AC353" t="s">
        <v>74</v>
      </c>
      <c r="AD353" t="s">
        <v>74</v>
      </c>
      <c r="AE353" t="s">
        <v>74</v>
      </c>
      <c r="AF353" t="s">
        <v>74</v>
      </c>
      <c r="AG353">
        <v>0</v>
      </c>
      <c r="AH353">
        <v>0</v>
      </c>
      <c r="AI353">
        <v>0</v>
      </c>
      <c r="AJ353">
        <v>0</v>
      </c>
      <c r="AK353">
        <v>5</v>
      </c>
      <c r="AL353" t="s">
        <v>2709</v>
      </c>
      <c r="AM353" t="s">
        <v>119</v>
      </c>
      <c r="AN353" t="s">
        <v>2710</v>
      </c>
      <c r="AO353" t="s">
        <v>2711</v>
      </c>
      <c r="AP353" t="s">
        <v>74</v>
      </c>
      <c r="AQ353" t="s">
        <v>74</v>
      </c>
      <c r="AR353" t="s">
        <v>2697</v>
      </c>
      <c r="AS353" t="s">
        <v>2713</v>
      </c>
      <c r="AT353" t="s">
        <v>6857</v>
      </c>
      <c r="AU353">
        <v>2012</v>
      </c>
      <c r="AV353">
        <v>335</v>
      </c>
      <c r="AW353">
        <v>6072</v>
      </c>
      <c r="AX353" t="s">
        <v>74</v>
      </c>
      <c r="AY353" t="s">
        <v>74</v>
      </c>
      <c r="AZ353" t="s">
        <v>74</v>
      </c>
      <c r="BA353" t="s">
        <v>74</v>
      </c>
      <c r="BB353">
        <v>1024</v>
      </c>
      <c r="BC353">
        <v>1024</v>
      </c>
      <c r="BD353" t="s">
        <v>74</v>
      </c>
      <c r="BE353" t="s">
        <v>74</v>
      </c>
      <c r="BF353" t="s">
        <v>74</v>
      </c>
      <c r="BG353" t="s">
        <v>74</v>
      </c>
      <c r="BH353" t="s">
        <v>74</v>
      </c>
      <c r="BI353">
        <v>1</v>
      </c>
      <c r="BJ353" t="s">
        <v>153</v>
      </c>
      <c r="BK353" t="s">
        <v>99</v>
      </c>
      <c r="BL353" t="s">
        <v>154</v>
      </c>
      <c r="BM353" t="s">
        <v>6858</v>
      </c>
      <c r="BN353" t="s">
        <v>74</v>
      </c>
      <c r="BO353" t="s">
        <v>74</v>
      </c>
      <c r="BP353" t="s">
        <v>74</v>
      </c>
      <c r="BQ353" t="s">
        <v>74</v>
      </c>
      <c r="BR353" t="s">
        <v>101</v>
      </c>
      <c r="BS353" t="s">
        <v>6859</v>
      </c>
      <c r="BT353" t="str">
        <f>HYPERLINK("https%3A%2F%2Fwww.webofscience.com%2Fwos%2Fwoscc%2Ffull-record%2FWOS:000300931100003","View Full Record in Web of Science")</f>
        <v>View Full Record in Web of Science</v>
      </c>
    </row>
    <row r="354" spans="1:72" x14ac:dyDescent="0.15">
      <c r="A354" t="s">
        <v>72</v>
      </c>
      <c r="B354" t="s">
        <v>6860</v>
      </c>
      <c r="C354" t="s">
        <v>74</v>
      </c>
      <c r="D354" t="s">
        <v>74</v>
      </c>
      <c r="E354" t="s">
        <v>74</v>
      </c>
      <c r="F354" t="s">
        <v>6861</v>
      </c>
      <c r="G354" t="s">
        <v>74</v>
      </c>
      <c r="H354" t="s">
        <v>74</v>
      </c>
      <c r="I354" t="s">
        <v>6862</v>
      </c>
      <c r="J354" t="s">
        <v>502</v>
      </c>
      <c r="K354" t="s">
        <v>74</v>
      </c>
      <c r="L354" t="s">
        <v>74</v>
      </c>
      <c r="M354" t="s">
        <v>78</v>
      </c>
      <c r="N354" t="s">
        <v>1073</v>
      </c>
      <c r="O354" t="s">
        <v>74</v>
      </c>
      <c r="P354" t="s">
        <v>74</v>
      </c>
      <c r="Q354" t="s">
        <v>74</v>
      </c>
      <c r="R354" t="s">
        <v>74</v>
      </c>
      <c r="S354" t="s">
        <v>74</v>
      </c>
      <c r="T354" t="s">
        <v>74</v>
      </c>
      <c r="U354" t="s">
        <v>6863</v>
      </c>
      <c r="V354" t="s">
        <v>6864</v>
      </c>
      <c r="W354" t="s">
        <v>6865</v>
      </c>
      <c r="X354" t="s">
        <v>6866</v>
      </c>
      <c r="Y354" t="s">
        <v>6867</v>
      </c>
      <c r="Z354" t="s">
        <v>6868</v>
      </c>
      <c r="AA354" t="s">
        <v>6869</v>
      </c>
      <c r="AB354" t="s">
        <v>6870</v>
      </c>
      <c r="AC354" t="s">
        <v>74</v>
      </c>
      <c r="AD354" t="s">
        <v>74</v>
      </c>
      <c r="AE354" t="s">
        <v>74</v>
      </c>
      <c r="AF354" t="s">
        <v>74</v>
      </c>
      <c r="AG354">
        <v>85</v>
      </c>
      <c r="AH354">
        <v>218</v>
      </c>
      <c r="AI354">
        <v>246</v>
      </c>
      <c r="AJ354">
        <v>11</v>
      </c>
      <c r="AK354">
        <v>88</v>
      </c>
      <c r="AL354" t="s">
        <v>513</v>
      </c>
      <c r="AM354" t="s">
        <v>514</v>
      </c>
      <c r="AN354" t="s">
        <v>515</v>
      </c>
      <c r="AO354" t="s">
        <v>516</v>
      </c>
      <c r="AP354" t="s">
        <v>74</v>
      </c>
      <c r="AQ354" t="s">
        <v>74</v>
      </c>
      <c r="AR354" t="s">
        <v>502</v>
      </c>
      <c r="AS354" t="s">
        <v>517</v>
      </c>
      <c r="AT354" t="s">
        <v>6857</v>
      </c>
      <c r="AU354">
        <v>2012</v>
      </c>
      <c r="AV354">
        <v>7</v>
      </c>
      <c r="AW354">
        <v>3</v>
      </c>
      <c r="AX354" t="s">
        <v>74</v>
      </c>
      <c r="AY354" t="s">
        <v>74</v>
      </c>
      <c r="AZ354" t="s">
        <v>74</v>
      </c>
      <c r="BA354" t="s">
        <v>74</v>
      </c>
      <c r="BB354" t="s">
        <v>74</v>
      </c>
      <c r="BC354" t="s">
        <v>74</v>
      </c>
      <c r="BD354" t="s">
        <v>6871</v>
      </c>
      <c r="BE354" t="s">
        <v>6872</v>
      </c>
      <c r="BF354" t="str">
        <f>HYPERLINK("http://dx.doi.org/10.1371/journal.pone.0031940","http://dx.doi.org/10.1371/journal.pone.0031940")</f>
        <v>http://dx.doi.org/10.1371/journal.pone.0031940</v>
      </c>
      <c r="BG354" t="s">
        <v>74</v>
      </c>
      <c r="BH354" t="s">
        <v>74</v>
      </c>
      <c r="BI354">
        <v>14</v>
      </c>
      <c r="BJ354" t="s">
        <v>153</v>
      </c>
      <c r="BK354" t="s">
        <v>99</v>
      </c>
      <c r="BL354" t="s">
        <v>154</v>
      </c>
      <c r="BM354" t="s">
        <v>6873</v>
      </c>
      <c r="BN354">
        <v>22396744</v>
      </c>
      <c r="BO354" t="s">
        <v>2787</v>
      </c>
      <c r="BP354" t="s">
        <v>74</v>
      </c>
      <c r="BQ354" t="s">
        <v>74</v>
      </c>
      <c r="BR354" t="s">
        <v>101</v>
      </c>
      <c r="BS354" t="s">
        <v>6874</v>
      </c>
      <c r="BT354" t="str">
        <f>HYPERLINK("https%3A%2F%2Fwww.webofscience.com%2Fwos%2Fwoscc%2Ffull-record%2FWOS:000303006500010","View Full Record in Web of Science")</f>
        <v>View Full Record in Web of Science</v>
      </c>
    </row>
    <row r="355" spans="1:72" x14ac:dyDescent="0.15">
      <c r="A355" t="s">
        <v>72</v>
      </c>
      <c r="B355" t="s">
        <v>6875</v>
      </c>
      <c r="C355" t="s">
        <v>74</v>
      </c>
      <c r="D355" t="s">
        <v>74</v>
      </c>
      <c r="E355" t="s">
        <v>74</v>
      </c>
      <c r="F355" t="s">
        <v>6876</v>
      </c>
      <c r="G355" t="s">
        <v>74</v>
      </c>
      <c r="H355" t="s">
        <v>74</v>
      </c>
      <c r="I355" t="s">
        <v>6877</v>
      </c>
      <c r="J355" t="s">
        <v>6878</v>
      </c>
      <c r="K355" t="s">
        <v>74</v>
      </c>
      <c r="L355" t="s">
        <v>74</v>
      </c>
      <c r="M355" t="s">
        <v>78</v>
      </c>
      <c r="N355" t="s">
        <v>79</v>
      </c>
      <c r="O355" t="s">
        <v>74</v>
      </c>
      <c r="P355" t="s">
        <v>74</v>
      </c>
      <c r="Q355" t="s">
        <v>74</v>
      </c>
      <c r="R355" t="s">
        <v>74</v>
      </c>
      <c r="S355" t="s">
        <v>74</v>
      </c>
      <c r="T355" t="s">
        <v>74</v>
      </c>
      <c r="U355" t="s">
        <v>6879</v>
      </c>
      <c r="V355" t="s">
        <v>6880</v>
      </c>
      <c r="W355" t="s">
        <v>6881</v>
      </c>
      <c r="X355" t="s">
        <v>3176</v>
      </c>
      <c r="Y355" t="s">
        <v>6882</v>
      </c>
      <c r="Z355" t="s">
        <v>6883</v>
      </c>
      <c r="AA355" t="s">
        <v>74</v>
      </c>
      <c r="AB355" t="s">
        <v>6884</v>
      </c>
      <c r="AC355" t="s">
        <v>74</v>
      </c>
      <c r="AD355" t="s">
        <v>74</v>
      </c>
      <c r="AE355" t="s">
        <v>74</v>
      </c>
      <c r="AF355" t="s">
        <v>74</v>
      </c>
      <c r="AG355">
        <v>36</v>
      </c>
      <c r="AH355">
        <v>29</v>
      </c>
      <c r="AI355">
        <v>36</v>
      </c>
      <c r="AJ355">
        <v>1</v>
      </c>
      <c r="AK355">
        <v>54</v>
      </c>
      <c r="AL355" t="s">
        <v>6885</v>
      </c>
      <c r="AM355" t="s">
        <v>6886</v>
      </c>
      <c r="AN355" t="s">
        <v>6887</v>
      </c>
      <c r="AO355" t="s">
        <v>6888</v>
      </c>
      <c r="AP355" t="s">
        <v>6889</v>
      </c>
      <c r="AQ355" t="s">
        <v>74</v>
      </c>
      <c r="AR355" t="s">
        <v>6890</v>
      </c>
      <c r="AS355" t="s">
        <v>6891</v>
      </c>
      <c r="AT355" t="s">
        <v>6892</v>
      </c>
      <c r="AU355">
        <v>2012</v>
      </c>
      <c r="AV355">
        <v>124</v>
      </c>
      <c r="AW355">
        <v>1</v>
      </c>
      <c r="AX355" t="s">
        <v>74</v>
      </c>
      <c r="AY355" t="s">
        <v>74</v>
      </c>
      <c r="AZ355" t="s">
        <v>74</v>
      </c>
      <c r="BA355" t="s">
        <v>74</v>
      </c>
      <c r="BB355">
        <v>1</v>
      </c>
      <c r="BC355">
        <v>8</v>
      </c>
      <c r="BD355" t="s">
        <v>74</v>
      </c>
      <c r="BE355" t="s">
        <v>74</v>
      </c>
      <c r="BF355" t="s">
        <v>74</v>
      </c>
      <c r="BG355" t="s">
        <v>74</v>
      </c>
      <c r="BH355" t="s">
        <v>74</v>
      </c>
      <c r="BI355">
        <v>8</v>
      </c>
      <c r="BJ355" t="s">
        <v>917</v>
      </c>
      <c r="BK355" t="s">
        <v>99</v>
      </c>
      <c r="BL355" t="s">
        <v>98</v>
      </c>
      <c r="BM355" t="s">
        <v>6893</v>
      </c>
      <c r="BN355" t="s">
        <v>74</v>
      </c>
      <c r="BO355" t="s">
        <v>74</v>
      </c>
      <c r="BP355" t="s">
        <v>74</v>
      </c>
      <c r="BQ355" t="s">
        <v>74</v>
      </c>
      <c r="BR355" t="s">
        <v>101</v>
      </c>
      <c r="BS355" t="s">
        <v>6894</v>
      </c>
      <c r="BT355" t="str">
        <f>HYPERLINK("https%3A%2F%2Fwww.webofscience.com%2Fwos%2Fwoscc%2Ffull-record%2FWOS:000308786100001","View Full Record in Web of Science")</f>
        <v>View Full Record in Web of Science</v>
      </c>
    </row>
    <row r="356" spans="1:72" x14ac:dyDescent="0.15">
      <c r="A356" t="s">
        <v>72</v>
      </c>
      <c r="B356" t="s">
        <v>6895</v>
      </c>
      <c r="C356" t="s">
        <v>74</v>
      </c>
      <c r="D356" t="s">
        <v>74</v>
      </c>
      <c r="E356" t="s">
        <v>74</v>
      </c>
      <c r="F356" t="s">
        <v>6896</v>
      </c>
      <c r="G356" t="s">
        <v>74</v>
      </c>
      <c r="H356" t="s">
        <v>74</v>
      </c>
      <c r="I356" t="s">
        <v>6897</v>
      </c>
      <c r="J356" t="s">
        <v>6898</v>
      </c>
      <c r="K356" t="s">
        <v>74</v>
      </c>
      <c r="L356" t="s">
        <v>74</v>
      </c>
      <c r="M356" t="s">
        <v>78</v>
      </c>
      <c r="N356" t="s">
        <v>79</v>
      </c>
      <c r="O356" t="s">
        <v>74</v>
      </c>
      <c r="P356" t="s">
        <v>74</v>
      </c>
      <c r="Q356" t="s">
        <v>74</v>
      </c>
      <c r="R356" t="s">
        <v>74</v>
      </c>
      <c r="S356" t="s">
        <v>74</v>
      </c>
      <c r="T356" t="s">
        <v>74</v>
      </c>
      <c r="U356" t="s">
        <v>6899</v>
      </c>
      <c r="V356" t="s">
        <v>6900</v>
      </c>
      <c r="W356" t="s">
        <v>6901</v>
      </c>
      <c r="X356" t="s">
        <v>6902</v>
      </c>
      <c r="Y356" t="s">
        <v>6903</v>
      </c>
      <c r="Z356" t="s">
        <v>6904</v>
      </c>
      <c r="AA356" t="s">
        <v>6905</v>
      </c>
      <c r="AB356" t="s">
        <v>6906</v>
      </c>
      <c r="AC356" t="s">
        <v>6907</v>
      </c>
      <c r="AD356" t="s">
        <v>6908</v>
      </c>
      <c r="AE356" t="s">
        <v>6909</v>
      </c>
      <c r="AF356" t="s">
        <v>74</v>
      </c>
      <c r="AG356">
        <v>60</v>
      </c>
      <c r="AH356">
        <v>24</v>
      </c>
      <c r="AI356">
        <v>31</v>
      </c>
      <c r="AJ356">
        <v>0</v>
      </c>
      <c r="AK356">
        <v>25</v>
      </c>
      <c r="AL356" t="s">
        <v>6910</v>
      </c>
      <c r="AM356" t="s">
        <v>6911</v>
      </c>
      <c r="AN356" t="s">
        <v>6912</v>
      </c>
      <c r="AO356" t="s">
        <v>6913</v>
      </c>
      <c r="AP356" t="s">
        <v>6914</v>
      </c>
      <c r="AQ356" t="s">
        <v>74</v>
      </c>
      <c r="AR356" t="s">
        <v>6915</v>
      </c>
      <c r="AS356" t="s">
        <v>6916</v>
      </c>
      <c r="AT356" t="s">
        <v>6917</v>
      </c>
      <c r="AU356">
        <v>2012</v>
      </c>
      <c r="AV356">
        <v>82</v>
      </c>
      <c r="AW356" t="s">
        <v>374</v>
      </c>
      <c r="AX356" t="s">
        <v>74</v>
      </c>
      <c r="AY356" t="s">
        <v>74</v>
      </c>
      <c r="AZ356" t="s">
        <v>74</v>
      </c>
      <c r="BA356" t="s">
        <v>74</v>
      </c>
      <c r="BB356">
        <v>270</v>
      </c>
      <c r="BC356">
        <v>282</v>
      </c>
      <c r="BD356" t="s">
        <v>74</v>
      </c>
      <c r="BE356" t="s">
        <v>6918</v>
      </c>
      <c r="BF356" t="str">
        <f>HYPERLINK("http://dx.doi.org/10.2110/jsr.2012.25","http://dx.doi.org/10.2110/jsr.2012.25")</f>
        <v>http://dx.doi.org/10.2110/jsr.2012.25</v>
      </c>
      <c r="BG356" t="s">
        <v>74</v>
      </c>
      <c r="BH356" t="s">
        <v>74</v>
      </c>
      <c r="BI356">
        <v>13</v>
      </c>
      <c r="BJ356" t="s">
        <v>195</v>
      </c>
      <c r="BK356" t="s">
        <v>99</v>
      </c>
      <c r="BL356" t="s">
        <v>195</v>
      </c>
      <c r="BM356" t="s">
        <v>6919</v>
      </c>
      <c r="BN356" t="s">
        <v>74</v>
      </c>
      <c r="BO356" t="s">
        <v>74</v>
      </c>
      <c r="BP356" t="s">
        <v>74</v>
      </c>
      <c r="BQ356" t="s">
        <v>74</v>
      </c>
      <c r="BR356" t="s">
        <v>101</v>
      </c>
      <c r="BS356" t="s">
        <v>6920</v>
      </c>
      <c r="BT356" t="str">
        <f>HYPERLINK("https%3A%2F%2Fwww.webofscience.com%2Fwos%2Fwoscc%2Ffull-record%2FWOS:000304287200011","View Full Record in Web of Science")</f>
        <v>View Full Record in Web of Science</v>
      </c>
    </row>
    <row r="357" spans="1:72" x14ac:dyDescent="0.15">
      <c r="A357" t="s">
        <v>72</v>
      </c>
      <c r="B357" t="s">
        <v>6921</v>
      </c>
      <c r="C357" t="s">
        <v>74</v>
      </c>
      <c r="D357" t="s">
        <v>74</v>
      </c>
      <c r="E357" t="s">
        <v>74</v>
      </c>
      <c r="F357" t="s">
        <v>6922</v>
      </c>
      <c r="G357" t="s">
        <v>74</v>
      </c>
      <c r="H357" t="s">
        <v>74</v>
      </c>
      <c r="I357" t="s">
        <v>6923</v>
      </c>
      <c r="J357" t="s">
        <v>6924</v>
      </c>
      <c r="K357" t="s">
        <v>74</v>
      </c>
      <c r="L357" t="s">
        <v>74</v>
      </c>
      <c r="M357" t="s">
        <v>78</v>
      </c>
      <c r="N357" t="s">
        <v>79</v>
      </c>
      <c r="O357" t="s">
        <v>74</v>
      </c>
      <c r="P357" t="s">
        <v>74</v>
      </c>
      <c r="Q357" t="s">
        <v>74</v>
      </c>
      <c r="R357" t="s">
        <v>74</v>
      </c>
      <c r="S357" t="s">
        <v>74</v>
      </c>
      <c r="T357" t="s">
        <v>74</v>
      </c>
      <c r="U357" t="s">
        <v>74</v>
      </c>
      <c r="V357" t="s">
        <v>74</v>
      </c>
      <c r="W357" t="s">
        <v>6925</v>
      </c>
      <c r="X357" t="s">
        <v>6926</v>
      </c>
      <c r="Y357" t="s">
        <v>6927</v>
      </c>
      <c r="Z357" t="s">
        <v>74</v>
      </c>
      <c r="AA357" t="s">
        <v>6928</v>
      </c>
      <c r="AB357" t="s">
        <v>6929</v>
      </c>
      <c r="AC357" t="s">
        <v>6930</v>
      </c>
      <c r="AD357" t="s">
        <v>6931</v>
      </c>
      <c r="AE357" t="s">
        <v>6932</v>
      </c>
      <c r="AF357" t="s">
        <v>74</v>
      </c>
      <c r="AG357">
        <v>6</v>
      </c>
      <c r="AH357">
        <v>12</v>
      </c>
      <c r="AI357">
        <v>14</v>
      </c>
      <c r="AJ357">
        <v>0</v>
      </c>
      <c r="AK357">
        <v>3</v>
      </c>
      <c r="AL357" t="s">
        <v>6933</v>
      </c>
      <c r="AM357" t="s">
        <v>6934</v>
      </c>
      <c r="AN357" t="s">
        <v>6935</v>
      </c>
      <c r="AO357" t="s">
        <v>6936</v>
      </c>
      <c r="AP357" t="s">
        <v>74</v>
      </c>
      <c r="AQ357" t="s">
        <v>74</v>
      </c>
      <c r="AR357" t="s">
        <v>6937</v>
      </c>
      <c r="AS357" t="s">
        <v>6938</v>
      </c>
      <c r="AT357" t="s">
        <v>6892</v>
      </c>
      <c r="AU357">
        <v>2012</v>
      </c>
      <c r="AV357">
        <v>27</v>
      </c>
      <c r="AW357">
        <v>3</v>
      </c>
      <c r="AX357" t="s">
        <v>74</v>
      </c>
      <c r="AY357" t="s">
        <v>74</v>
      </c>
      <c r="AZ357" t="s">
        <v>74</v>
      </c>
      <c r="BA357" t="s">
        <v>74</v>
      </c>
      <c r="BB357">
        <v>4</v>
      </c>
      <c r="BC357">
        <v>20</v>
      </c>
      <c r="BD357" t="s">
        <v>74</v>
      </c>
      <c r="BE357" t="s">
        <v>6939</v>
      </c>
      <c r="BF357" t="str">
        <f>HYPERLINK("http://dx.doi.org/10.1109/MAES.2012.6196253","http://dx.doi.org/10.1109/MAES.2012.6196253")</f>
        <v>http://dx.doi.org/10.1109/MAES.2012.6196253</v>
      </c>
      <c r="BG357" t="s">
        <v>74</v>
      </c>
      <c r="BH357" t="s">
        <v>74</v>
      </c>
      <c r="BI357">
        <v>17</v>
      </c>
      <c r="BJ357" t="s">
        <v>6940</v>
      </c>
      <c r="BK357" t="s">
        <v>99</v>
      </c>
      <c r="BL357" t="s">
        <v>6941</v>
      </c>
      <c r="BM357" t="s">
        <v>6942</v>
      </c>
      <c r="BN357" t="s">
        <v>74</v>
      </c>
      <c r="BO357" t="s">
        <v>74</v>
      </c>
      <c r="BP357" t="s">
        <v>74</v>
      </c>
      <c r="BQ357" t="s">
        <v>74</v>
      </c>
      <c r="BR357" t="s">
        <v>101</v>
      </c>
      <c r="BS357" t="s">
        <v>6943</v>
      </c>
      <c r="BT357" t="str">
        <f>HYPERLINK("https%3A%2F%2Fwww.webofscience.com%2Fwos%2Fwoscc%2Ffull-record%2FWOS:000304089300001","View Full Record in Web of Science")</f>
        <v>View Full Record in Web of Science</v>
      </c>
    </row>
    <row r="358" spans="1:72" x14ac:dyDescent="0.15">
      <c r="A358" t="s">
        <v>72</v>
      </c>
      <c r="B358" t="s">
        <v>6944</v>
      </c>
      <c r="C358" t="s">
        <v>74</v>
      </c>
      <c r="D358" t="s">
        <v>74</v>
      </c>
      <c r="E358" t="s">
        <v>74</v>
      </c>
      <c r="F358" t="s">
        <v>6945</v>
      </c>
      <c r="G358" t="s">
        <v>74</v>
      </c>
      <c r="H358" t="s">
        <v>74</v>
      </c>
      <c r="I358" t="s">
        <v>6946</v>
      </c>
      <c r="J358" t="s">
        <v>6947</v>
      </c>
      <c r="K358" t="s">
        <v>74</v>
      </c>
      <c r="L358" t="s">
        <v>74</v>
      </c>
      <c r="M358" t="s">
        <v>78</v>
      </c>
      <c r="N358" t="s">
        <v>79</v>
      </c>
      <c r="O358" t="s">
        <v>74</v>
      </c>
      <c r="P358" t="s">
        <v>74</v>
      </c>
      <c r="Q358" t="s">
        <v>74</v>
      </c>
      <c r="R358" t="s">
        <v>74</v>
      </c>
      <c r="S358" t="s">
        <v>74</v>
      </c>
      <c r="T358" t="s">
        <v>6948</v>
      </c>
      <c r="U358" t="s">
        <v>6949</v>
      </c>
      <c r="V358" t="s">
        <v>6950</v>
      </c>
      <c r="W358" t="s">
        <v>6951</v>
      </c>
      <c r="X358" t="s">
        <v>6952</v>
      </c>
      <c r="Y358" t="s">
        <v>6953</v>
      </c>
      <c r="Z358" t="s">
        <v>6954</v>
      </c>
      <c r="AA358" t="s">
        <v>74</v>
      </c>
      <c r="AB358" t="s">
        <v>74</v>
      </c>
      <c r="AC358" t="s">
        <v>74</v>
      </c>
      <c r="AD358" t="s">
        <v>74</v>
      </c>
      <c r="AE358" t="s">
        <v>74</v>
      </c>
      <c r="AF358" t="s">
        <v>74</v>
      </c>
      <c r="AG358">
        <v>13</v>
      </c>
      <c r="AH358">
        <v>3</v>
      </c>
      <c r="AI358">
        <v>4</v>
      </c>
      <c r="AJ358">
        <v>1</v>
      </c>
      <c r="AK358">
        <v>11</v>
      </c>
      <c r="AL358" t="s">
        <v>2414</v>
      </c>
      <c r="AM358" t="s">
        <v>2415</v>
      </c>
      <c r="AN358" t="s">
        <v>2416</v>
      </c>
      <c r="AO358" t="s">
        <v>6955</v>
      </c>
      <c r="AP358" t="s">
        <v>6956</v>
      </c>
      <c r="AQ358" t="s">
        <v>74</v>
      </c>
      <c r="AR358" t="s">
        <v>6957</v>
      </c>
      <c r="AS358" t="s">
        <v>6958</v>
      </c>
      <c r="AT358" t="s">
        <v>6892</v>
      </c>
      <c r="AU358">
        <v>2012</v>
      </c>
      <c r="AV358">
        <v>42</v>
      </c>
      <c r="AW358">
        <v>1</v>
      </c>
      <c r="AX358" t="s">
        <v>74</v>
      </c>
      <c r="AY358" t="s">
        <v>74</v>
      </c>
      <c r="AZ358" t="s">
        <v>74</v>
      </c>
      <c r="BA358" t="s">
        <v>74</v>
      </c>
      <c r="BB358">
        <v>25</v>
      </c>
      <c r="BC358">
        <v>35</v>
      </c>
      <c r="BD358" t="s">
        <v>74</v>
      </c>
      <c r="BE358" t="s">
        <v>6959</v>
      </c>
      <c r="BF358" t="str">
        <f>HYPERLINK("http://dx.doi.org/10.1007/s12526-011-0089-9","http://dx.doi.org/10.1007/s12526-011-0089-9")</f>
        <v>http://dx.doi.org/10.1007/s12526-011-0089-9</v>
      </c>
      <c r="BG358" t="s">
        <v>74</v>
      </c>
      <c r="BH358" t="s">
        <v>74</v>
      </c>
      <c r="BI358">
        <v>11</v>
      </c>
      <c r="BJ358" t="s">
        <v>6960</v>
      </c>
      <c r="BK358" t="s">
        <v>99</v>
      </c>
      <c r="BL358" t="s">
        <v>6961</v>
      </c>
      <c r="BM358" t="s">
        <v>6962</v>
      </c>
      <c r="BN358" t="s">
        <v>74</v>
      </c>
      <c r="BO358" t="s">
        <v>74</v>
      </c>
      <c r="BP358" t="s">
        <v>74</v>
      </c>
      <c r="BQ358" t="s">
        <v>74</v>
      </c>
      <c r="BR358" t="s">
        <v>101</v>
      </c>
      <c r="BS358" t="s">
        <v>6963</v>
      </c>
      <c r="BT358" t="str">
        <f>HYPERLINK("https%3A%2F%2Fwww.webofscience.com%2Fwos%2Fwoscc%2Ffull-record%2FWOS:000303872600003","View Full Record in Web of Science")</f>
        <v>View Full Record in Web of Science</v>
      </c>
    </row>
    <row r="359" spans="1:72" x14ac:dyDescent="0.15">
      <c r="A359" t="s">
        <v>72</v>
      </c>
      <c r="B359" t="s">
        <v>6964</v>
      </c>
      <c r="C359" t="s">
        <v>74</v>
      </c>
      <c r="D359" t="s">
        <v>74</v>
      </c>
      <c r="E359" t="s">
        <v>74</v>
      </c>
      <c r="F359" t="s">
        <v>6965</v>
      </c>
      <c r="G359" t="s">
        <v>74</v>
      </c>
      <c r="H359" t="s">
        <v>74</v>
      </c>
      <c r="I359" t="s">
        <v>6966</v>
      </c>
      <c r="J359" t="s">
        <v>6947</v>
      </c>
      <c r="K359" t="s">
        <v>74</v>
      </c>
      <c r="L359" t="s">
        <v>74</v>
      </c>
      <c r="M359" t="s">
        <v>78</v>
      </c>
      <c r="N359" t="s">
        <v>79</v>
      </c>
      <c r="O359" t="s">
        <v>74</v>
      </c>
      <c r="P359" t="s">
        <v>74</v>
      </c>
      <c r="Q359" t="s">
        <v>74</v>
      </c>
      <c r="R359" t="s">
        <v>74</v>
      </c>
      <c r="S359" t="s">
        <v>74</v>
      </c>
      <c r="T359" t="s">
        <v>6967</v>
      </c>
      <c r="U359" t="s">
        <v>74</v>
      </c>
      <c r="V359" t="s">
        <v>6968</v>
      </c>
      <c r="W359" t="s">
        <v>6969</v>
      </c>
      <c r="X359" t="s">
        <v>6970</v>
      </c>
      <c r="Y359" t="s">
        <v>6971</v>
      </c>
      <c r="Z359" t="s">
        <v>6972</v>
      </c>
      <c r="AA359" t="s">
        <v>74</v>
      </c>
      <c r="AB359" t="s">
        <v>74</v>
      </c>
      <c r="AC359" t="s">
        <v>6973</v>
      </c>
      <c r="AD359" t="s">
        <v>6973</v>
      </c>
      <c r="AE359" t="s">
        <v>6974</v>
      </c>
      <c r="AF359" t="s">
        <v>74</v>
      </c>
      <c r="AG359">
        <v>14</v>
      </c>
      <c r="AH359">
        <v>5</v>
      </c>
      <c r="AI359">
        <v>6</v>
      </c>
      <c r="AJ359">
        <v>1</v>
      </c>
      <c r="AK359">
        <v>2</v>
      </c>
      <c r="AL359" t="s">
        <v>2414</v>
      </c>
      <c r="AM359" t="s">
        <v>2415</v>
      </c>
      <c r="AN359" t="s">
        <v>2416</v>
      </c>
      <c r="AO359" t="s">
        <v>6955</v>
      </c>
      <c r="AP359" t="s">
        <v>6956</v>
      </c>
      <c r="AQ359" t="s">
        <v>74</v>
      </c>
      <c r="AR359" t="s">
        <v>6957</v>
      </c>
      <c r="AS359" t="s">
        <v>6958</v>
      </c>
      <c r="AT359" t="s">
        <v>6892</v>
      </c>
      <c r="AU359">
        <v>2012</v>
      </c>
      <c r="AV359">
        <v>42</v>
      </c>
      <c r="AW359">
        <v>1</v>
      </c>
      <c r="AX359" t="s">
        <v>74</v>
      </c>
      <c r="AY359" t="s">
        <v>74</v>
      </c>
      <c r="AZ359" t="s">
        <v>74</v>
      </c>
      <c r="BA359" t="s">
        <v>74</v>
      </c>
      <c r="BB359">
        <v>73</v>
      </c>
      <c r="BC359">
        <v>78</v>
      </c>
      <c r="BD359" t="s">
        <v>74</v>
      </c>
      <c r="BE359" t="s">
        <v>6975</v>
      </c>
      <c r="BF359" t="str">
        <f>HYPERLINK("http://dx.doi.org/10.1007/s12526-011-0088-x","http://dx.doi.org/10.1007/s12526-011-0088-x")</f>
        <v>http://dx.doi.org/10.1007/s12526-011-0088-x</v>
      </c>
      <c r="BG359" t="s">
        <v>74</v>
      </c>
      <c r="BH359" t="s">
        <v>74</v>
      </c>
      <c r="BI359">
        <v>6</v>
      </c>
      <c r="BJ359" t="s">
        <v>6960</v>
      </c>
      <c r="BK359" t="s">
        <v>99</v>
      </c>
      <c r="BL359" t="s">
        <v>6961</v>
      </c>
      <c r="BM359" t="s">
        <v>6962</v>
      </c>
      <c r="BN359" t="s">
        <v>74</v>
      </c>
      <c r="BO359" t="s">
        <v>74</v>
      </c>
      <c r="BP359" t="s">
        <v>74</v>
      </c>
      <c r="BQ359" t="s">
        <v>74</v>
      </c>
      <c r="BR359" t="s">
        <v>101</v>
      </c>
      <c r="BS359" t="s">
        <v>6976</v>
      </c>
      <c r="BT359" t="str">
        <f>HYPERLINK("https%3A%2F%2Fwww.webofscience.com%2Fwos%2Fwoscc%2Ffull-record%2FWOS:000303872600008","View Full Record in Web of Science")</f>
        <v>View Full Record in Web of Science</v>
      </c>
    </row>
    <row r="360" spans="1:72" x14ac:dyDescent="0.15">
      <c r="A360" t="s">
        <v>72</v>
      </c>
      <c r="B360" t="s">
        <v>6977</v>
      </c>
      <c r="C360" t="s">
        <v>74</v>
      </c>
      <c r="D360" t="s">
        <v>74</v>
      </c>
      <c r="E360" t="s">
        <v>74</v>
      </c>
      <c r="F360" t="s">
        <v>6978</v>
      </c>
      <c r="G360" t="s">
        <v>74</v>
      </c>
      <c r="H360" t="s">
        <v>74</v>
      </c>
      <c r="I360" t="s">
        <v>6979</v>
      </c>
      <c r="J360" t="s">
        <v>6196</v>
      </c>
      <c r="K360" t="s">
        <v>74</v>
      </c>
      <c r="L360" t="s">
        <v>74</v>
      </c>
      <c r="M360" t="s">
        <v>78</v>
      </c>
      <c r="N360" t="s">
        <v>79</v>
      </c>
      <c r="O360" t="s">
        <v>74</v>
      </c>
      <c r="P360" t="s">
        <v>74</v>
      </c>
      <c r="Q360" t="s">
        <v>74</v>
      </c>
      <c r="R360" t="s">
        <v>74</v>
      </c>
      <c r="S360" t="s">
        <v>74</v>
      </c>
      <c r="T360" t="s">
        <v>6980</v>
      </c>
      <c r="U360" t="s">
        <v>6981</v>
      </c>
      <c r="V360" t="s">
        <v>6982</v>
      </c>
      <c r="W360" t="s">
        <v>6983</v>
      </c>
      <c r="X360" t="s">
        <v>205</v>
      </c>
      <c r="Y360" t="s">
        <v>6984</v>
      </c>
      <c r="Z360" t="s">
        <v>6985</v>
      </c>
      <c r="AA360" t="s">
        <v>6986</v>
      </c>
      <c r="AB360" t="s">
        <v>6987</v>
      </c>
      <c r="AC360" t="s">
        <v>6988</v>
      </c>
      <c r="AD360" t="s">
        <v>6989</v>
      </c>
      <c r="AE360" t="s">
        <v>6990</v>
      </c>
      <c r="AF360" t="s">
        <v>74</v>
      </c>
      <c r="AG360">
        <v>91</v>
      </c>
      <c r="AH360">
        <v>32</v>
      </c>
      <c r="AI360">
        <v>35</v>
      </c>
      <c r="AJ360">
        <v>0</v>
      </c>
      <c r="AK360">
        <v>12</v>
      </c>
      <c r="AL360" t="s">
        <v>935</v>
      </c>
      <c r="AM360" t="s">
        <v>369</v>
      </c>
      <c r="AN360" t="s">
        <v>936</v>
      </c>
      <c r="AO360" t="s">
        <v>6209</v>
      </c>
      <c r="AP360" t="s">
        <v>6210</v>
      </c>
      <c r="AQ360" t="s">
        <v>74</v>
      </c>
      <c r="AR360" t="s">
        <v>6211</v>
      </c>
      <c r="AS360" t="s">
        <v>6212</v>
      </c>
      <c r="AT360" t="s">
        <v>6991</v>
      </c>
      <c r="AU360">
        <v>2012</v>
      </c>
      <c r="AV360">
        <v>299</v>
      </c>
      <c r="AW360" t="s">
        <v>74</v>
      </c>
      <c r="AX360" t="s">
        <v>74</v>
      </c>
      <c r="AY360" t="s">
        <v>74</v>
      </c>
      <c r="AZ360" t="s">
        <v>74</v>
      </c>
      <c r="BA360" t="s">
        <v>74</v>
      </c>
      <c r="BB360">
        <v>51</v>
      </c>
      <c r="BC360">
        <v>62</v>
      </c>
      <c r="BD360" t="s">
        <v>74</v>
      </c>
      <c r="BE360" t="s">
        <v>6992</v>
      </c>
      <c r="BF360" t="str">
        <f>HYPERLINK("http://dx.doi.org/10.1016/j.margeo.2011.12.007","http://dx.doi.org/10.1016/j.margeo.2011.12.007")</f>
        <v>http://dx.doi.org/10.1016/j.margeo.2011.12.007</v>
      </c>
      <c r="BG360" t="s">
        <v>74</v>
      </c>
      <c r="BH360" t="s">
        <v>74</v>
      </c>
      <c r="BI360">
        <v>12</v>
      </c>
      <c r="BJ360" t="s">
        <v>6215</v>
      </c>
      <c r="BK360" t="s">
        <v>99</v>
      </c>
      <c r="BL360" t="s">
        <v>6216</v>
      </c>
      <c r="BM360" t="s">
        <v>6993</v>
      </c>
      <c r="BN360" t="s">
        <v>74</v>
      </c>
      <c r="BO360" t="s">
        <v>74</v>
      </c>
      <c r="BP360" t="s">
        <v>74</v>
      </c>
      <c r="BQ360" t="s">
        <v>74</v>
      </c>
      <c r="BR360" t="s">
        <v>101</v>
      </c>
      <c r="BS360" t="s">
        <v>6994</v>
      </c>
      <c r="BT360" t="str">
        <f>HYPERLINK("https%3A%2F%2Fwww.webofscience.com%2Fwos%2Fwoscc%2Ffull-record%2FWOS:000303791800005","View Full Record in Web of Science")</f>
        <v>View Full Record in Web of Science</v>
      </c>
    </row>
    <row r="361" spans="1:72" x14ac:dyDescent="0.15">
      <c r="A361" t="s">
        <v>72</v>
      </c>
      <c r="B361" t="s">
        <v>6995</v>
      </c>
      <c r="C361" t="s">
        <v>74</v>
      </c>
      <c r="D361" t="s">
        <v>74</v>
      </c>
      <c r="E361" t="s">
        <v>74</v>
      </c>
      <c r="F361" t="s">
        <v>6996</v>
      </c>
      <c r="G361" t="s">
        <v>74</v>
      </c>
      <c r="H361" t="s">
        <v>74</v>
      </c>
      <c r="I361" t="s">
        <v>6997</v>
      </c>
      <c r="J361" t="s">
        <v>6998</v>
      </c>
      <c r="K361" t="s">
        <v>74</v>
      </c>
      <c r="L361" t="s">
        <v>74</v>
      </c>
      <c r="M361" t="s">
        <v>78</v>
      </c>
      <c r="N361" t="s">
        <v>79</v>
      </c>
      <c r="O361" t="s">
        <v>74</v>
      </c>
      <c r="P361" t="s">
        <v>74</v>
      </c>
      <c r="Q361" t="s">
        <v>74</v>
      </c>
      <c r="R361" t="s">
        <v>74</v>
      </c>
      <c r="S361" t="s">
        <v>74</v>
      </c>
      <c r="T361" t="s">
        <v>74</v>
      </c>
      <c r="U361" t="s">
        <v>6999</v>
      </c>
      <c r="V361" t="s">
        <v>7000</v>
      </c>
      <c r="W361" t="s">
        <v>7001</v>
      </c>
      <c r="X361" t="s">
        <v>7002</v>
      </c>
      <c r="Y361" t="s">
        <v>7003</v>
      </c>
      <c r="Z361" t="s">
        <v>7004</v>
      </c>
      <c r="AA361" t="s">
        <v>7005</v>
      </c>
      <c r="AB361" t="s">
        <v>7006</v>
      </c>
      <c r="AC361" t="s">
        <v>7007</v>
      </c>
      <c r="AD361" t="s">
        <v>7008</v>
      </c>
      <c r="AE361" t="s">
        <v>7009</v>
      </c>
      <c r="AF361" t="s">
        <v>74</v>
      </c>
      <c r="AG361">
        <v>33</v>
      </c>
      <c r="AH361">
        <v>3</v>
      </c>
      <c r="AI361">
        <v>3</v>
      </c>
      <c r="AJ361">
        <v>0</v>
      </c>
      <c r="AK361">
        <v>3</v>
      </c>
      <c r="AL361" t="s">
        <v>3669</v>
      </c>
      <c r="AM361" t="s">
        <v>656</v>
      </c>
      <c r="AN361" t="s">
        <v>7010</v>
      </c>
      <c r="AO361" t="s">
        <v>7011</v>
      </c>
      <c r="AP361" t="s">
        <v>7012</v>
      </c>
      <c r="AQ361" t="s">
        <v>74</v>
      </c>
      <c r="AR361" t="s">
        <v>7013</v>
      </c>
      <c r="AS361" t="s">
        <v>7014</v>
      </c>
      <c r="AT361" t="s">
        <v>6892</v>
      </c>
      <c r="AU361">
        <v>2012</v>
      </c>
      <c r="AV361">
        <v>48</v>
      </c>
      <c r="AW361">
        <v>3</v>
      </c>
      <c r="AX361" t="s">
        <v>74</v>
      </c>
      <c r="AY361" t="s">
        <v>74</v>
      </c>
      <c r="AZ361" t="s">
        <v>74</v>
      </c>
      <c r="BA361" t="s">
        <v>74</v>
      </c>
      <c r="BB361">
        <v>310</v>
      </c>
      <c r="BC361">
        <v>320</v>
      </c>
      <c r="BD361" t="s">
        <v>74</v>
      </c>
      <c r="BE361" t="s">
        <v>7015</v>
      </c>
      <c r="BF361" t="str">
        <f>HYPERLINK("http://dx.doi.org/10.1134/S1022795412030118","http://dx.doi.org/10.1134/S1022795412030118")</f>
        <v>http://dx.doi.org/10.1134/S1022795412030118</v>
      </c>
      <c r="BG361" t="s">
        <v>74</v>
      </c>
      <c r="BH361" t="s">
        <v>74</v>
      </c>
      <c r="BI361">
        <v>11</v>
      </c>
      <c r="BJ361" t="s">
        <v>7016</v>
      </c>
      <c r="BK361" t="s">
        <v>99</v>
      </c>
      <c r="BL361" t="s">
        <v>7016</v>
      </c>
      <c r="BM361" t="s">
        <v>7017</v>
      </c>
      <c r="BN361" t="s">
        <v>74</v>
      </c>
      <c r="BO361" t="s">
        <v>74</v>
      </c>
      <c r="BP361" t="s">
        <v>74</v>
      </c>
      <c r="BQ361" t="s">
        <v>74</v>
      </c>
      <c r="BR361" t="s">
        <v>101</v>
      </c>
      <c r="BS361" t="s">
        <v>7018</v>
      </c>
      <c r="BT361" t="str">
        <f>HYPERLINK("https%3A%2F%2Fwww.webofscience.com%2Fwos%2Fwoscc%2Ffull-record%2FWOS:000303467700008","View Full Record in Web of Science")</f>
        <v>View Full Record in Web of Science</v>
      </c>
    </row>
    <row r="362" spans="1:72" x14ac:dyDescent="0.15">
      <c r="A362" t="s">
        <v>72</v>
      </c>
      <c r="B362" t="s">
        <v>7019</v>
      </c>
      <c r="C362" t="s">
        <v>74</v>
      </c>
      <c r="D362" t="s">
        <v>74</v>
      </c>
      <c r="E362" t="s">
        <v>74</v>
      </c>
      <c r="F362" t="s">
        <v>7020</v>
      </c>
      <c r="G362" t="s">
        <v>74</v>
      </c>
      <c r="H362" t="s">
        <v>74</v>
      </c>
      <c r="I362" t="s">
        <v>7021</v>
      </c>
      <c r="J362" t="s">
        <v>7022</v>
      </c>
      <c r="K362" t="s">
        <v>74</v>
      </c>
      <c r="L362" t="s">
        <v>74</v>
      </c>
      <c r="M362" t="s">
        <v>78</v>
      </c>
      <c r="N362" t="s">
        <v>79</v>
      </c>
      <c r="O362" t="s">
        <v>74</v>
      </c>
      <c r="P362" t="s">
        <v>74</v>
      </c>
      <c r="Q362" t="s">
        <v>74</v>
      </c>
      <c r="R362" t="s">
        <v>74</v>
      </c>
      <c r="S362" t="s">
        <v>74</v>
      </c>
      <c r="T362" t="s">
        <v>7023</v>
      </c>
      <c r="U362" t="s">
        <v>7024</v>
      </c>
      <c r="V362" t="s">
        <v>7025</v>
      </c>
      <c r="W362" t="s">
        <v>7026</v>
      </c>
      <c r="X362" t="s">
        <v>7027</v>
      </c>
      <c r="Y362" t="s">
        <v>7028</v>
      </c>
      <c r="Z362" t="s">
        <v>7029</v>
      </c>
      <c r="AA362" t="s">
        <v>7030</v>
      </c>
      <c r="AB362" t="s">
        <v>7031</v>
      </c>
      <c r="AC362" t="s">
        <v>7032</v>
      </c>
      <c r="AD362" t="s">
        <v>7033</v>
      </c>
      <c r="AE362" t="s">
        <v>7034</v>
      </c>
      <c r="AF362" t="s">
        <v>74</v>
      </c>
      <c r="AG362">
        <v>57</v>
      </c>
      <c r="AH362">
        <v>27</v>
      </c>
      <c r="AI362">
        <v>35</v>
      </c>
      <c r="AJ362">
        <v>0</v>
      </c>
      <c r="AK362">
        <v>26</v>
      </c>
      <c r="AL362" t="s">
        <v>7035</v>
      </c>
      <c r="AM362" t="s">
        <v>7036</v>
      </c>
      <c r="AN362" t="s">
        <v>7037</v>
      </c>
      <c r="AO362" t="s">
        <v>7038</v>
      </c>
      <c r="AP362" t="s">
        <v>7039</v>
      </c>
      <c r="AQ362" t="s">
        <v>74</v>
      </c>
      <c r="AR362" t="s">
        <v>7022</v>
      </c>
      <c r="AS362" t="s">
        <v>7040</v>
      </c>
      <c r="AT362" t="s">
        <v>6892</v>
      </c>
      <c r="AU362">
        <v>2012</v>
      </c>
      <c r="AV362">
        <v>65</v>
      </c>
      <c r="AW362">
        <v>1</v>
      </c>
      <c r="AX362" t="s">
        <v>74</v>
      </c>
      <c r="AY362" t="s">
        <v>74</v>
      </c>
      <c r="AZ362" t="s">
        <v>74</v>
      </c>
      <c r="BA362" t="s">
        <v>74</v>
      </c>
      <c r="BB362">
        <v>45</v>
      </c>
      <c r="BC362">
        <v>55</v>
      </c>
      <c r="BD362" t="s">
        <v>74</v>
      </c>
      <c r="BE362" t="s">
        <v>74</v>
      </c>
      <c r="BF362" t="s">
        <v>74</v>
      </c>
      <c r="BG362" t="s">
        <v>74</v>
      </c>
      <c r="BH362" t="s">
        <v>74</v>
      </c>
      <c r="BI362">
        <v>11</v>
      </c>
      <c r="BJ362" t="s">
        <v>743</v>
      </c>
      <c r="BK362" t="s">
        <v>99</v>
      </c>
      <c r="BL362" t="s">
        <v>744</v>
      </c>
      <c r="BM362" t="s">
        <v>7041</v>
      </c>
      <c r="BN362" t="s">
        <v>74</v>
      </c>
      <c r="BO362" t="s">
        <v>74</v>
      </c>
      <c r="BP362" t="s">
        <v>74</v>
      </c>
      <c r="BQ362" t="s">
        <v>74</v>
      </c>
      <c r="BR362" t="s">
        <v>101</v>
      </c>
      <c r="BS362" t="s">
        <v>7042</v>
      </c>
      <c r="BT362" t="str">
        <f>HYPERLINK("https%3A%2F%2Fwww.webofscience.com%2Fwos%2Fwoscc%2Ffull-record%2FWOS:000303270700004","View Full Record in Web of Science")</f>
        <v>View Full Record in Web of Science</v>
      </c>
    </row>
    <row r="363" spans="1:72" x14ac:dyDescent="0.15">
      <c r="A363" t="s">
        <v>72</v>
      </c>
      <c r="B363" t="s">
        <v>7043</v>
      </c>
      <c r="C363" t="s">
        <v>74</v>
      </c>
      <c r="D363" t="s">
        <v>74</v>
      </c>
      <c r="E363" t="s">
        <v>74</v>
      </c>
      <c r="F363" t="s">
        <v>7044</v>
      </c>
      <c r="G363" t="s">
        <v>74</v>
      </c>
      <c r="H363" t="s">
        <v>74</v>
      </c>
      <c r="I363" t="s">
        <v>7045</v>
      </c>
      <c r="J363" t="s">
        <v>7046</v>
      </c>
      <c r="K363" t="s">
        <v>74</v>
      </c>
      <c r="L363" t="s">
        <v>74</v>
      </c>
      <c r="M363" t="s">
        <v>78</v>
      </c>
      <c r="N363" t="s">
        <v>79</v>
      </c>
      <c r="O363" t="s">
        <v>74</v>
      </c>
      <c r="P363" t="s">
        <v>74</v>
      </c>
      <c r="Q363" t="s">
        <v>74</v>
      </c>
      <c r="R363" t="s">
        <v>74</v>
      </c>
      <c r="S363" t="s">
        <v>74</v>
      </c>
      <c r="T363" t="s">
        <v>7047</v>
      </c>
      <c r="U363" t="s">
        <v>7048</v>
      </c>
      <c r="V363" t="s">
        <v>7049</v>
      </c>
      <c r="W363" t="s">
        <v>7050</v>
      </c>
      <c r="X363" t="s">
        <v>7051</v>
      </c>
      <c r="Y363" t="s">
        <v>7052</v>
      </c>
      <c r="Z363" t="s">
        <v>7053</v>
      </c>
      <c r="AA363" t="s">
        <v>7054</v>
      </c>
      <c r="AB363" t="s">
        <v>7055</v>
      </c>
      <c r="AC363" t="s">
        <v>7056</v>
      </c>
      <c r="AD363" t="s">
        <v>7057</v>
      </c>
      <c r="AE363" t="s">
        <v>7058</v>
      </c>
      <c r="AF363" t="s">
        <v>74</v>
      </c>
      <c r="AG363">
        <v>37</v>
      </c>
      <c r="AH363">
        <v>9</v>
      </c>
      <c r="AI363">
        <v>9</v>
      </c>
      <c r="AJ363">
        <v>0</v>
      </c>
      <c r="AK363">
        <v>41</v>
      </c>
      <c r="AL363" t="s">
        <v>627</v>
      </c>
      <c r="AM363" t="s">
        <v>628</v>
      </c>
      <c r="AN363" t="s">
        <v>629</v>
      </c>
      <c r="AO363" t="s">
        <v>7059</v>
      </c>
      <c r="AP363" t="s">
        <v>7060</v>
      </c>
      <c r="AQ363" t="s">
        <v>74</v>
      </c>
      <c r="AR363" t="s">
        <v>7046</v>
      </c>
      <c r="AS363" t="s">
        <v>2422</v>
      </c>
      <c r="AT363" t="s">
        <v>6892</v>
      </c>
      <c r="AU363">
        <v>2012</v>
      </c>
      <c r="AV363">
        <v>93</v>
      </c>
      <c r="AW363">
        <v>3</v>
      </c>
      <c r="AX363" t="s">
        <v>74</v>
      </c>
      <c r="AY363" t="s">
        <v>74</v>
      </c>
      <c r="AZ363" t="s">
        <v>74</v>
      </c>
      <c r="BA363" t="s">
        <v>74</v>
      </c>
      <c r="BB363">
        <v>544</v>
      </c>
      <c r="BC363">
        <v>553</v>
      </c>
      <c r="BD363" t="s">
        <v>74</v>
      </c>
      <c r="BE363" t="s">
        <v>7061</v>
      </c>
      <c r="BF363" t="str">
        <f>HYPERLINK("http://dx.doi.org/10.1890/11-0651.1","http://dx.doi.org/10.1890/11-0651.1")</f>
        <v>http://dx.doi.org/10.1890/11-0651.1</v>
      </c>
      <c r="BG363" t="s">
        <v>74</v>
      </c>
      <c r="BH363" t="s">
        <v>74</v>
      </c>
      <c r="BI363">
        <v>10</v>
      </c>
      <c r="BJ363" t="s">
        <v>2422</v>
      </c>
      <c r="BK363" t="s">
        <v>99</v>
      </c>
      <c r="BL363" t="s">
        <v>1259</v>
      </c>
      <c r="BM363" t="s">
        <v>7062</v>
      </c>
      <c r="BN363">
        <v>22624209</v>
      </c>
      <c r="BO363" t="s">
        <v>6147</v>
      </c>
      <c r="BP363" t="s">
        <v>74</v>
      </c>
      <c r="BQ363" t="s">
        <v>74</v>
      </c>
      <c r="BR363" t="s">
        <v>101</v>
      </c>
      <c r="BS363" t="s">
        <v>7063</v>
      </c>
      <c r="BT363" t="str">
        <f>HYPERLINK("https%3A%2F%2Fwww.webofscience.com%2Fwos%2Fwoscc%2Ffull-record%2FWOS:000302957300012","View Full Record in Web of Science")</f>
        <v>View Full Record in Web of Science</v>
      </c>
    </row>
    <row r="364" spans="1:72" x14ac:dyDescent="0.15">
      <c r="A364" t="s">
        <v>72</v>
      </c>
      <c r="B364" t="s">
        <v>7064</v>
      </c>
      <c r="C364" t="s">
        <v>74</v>
      </c>
      <c r="D364" t="s">
        <v>74</v>
      </c>
      <c r="E364" t="s">
        <v>74</v>
      </c>
      <c r="F364" t="s">
        <v>7065</v>
      </c>
      <c r="G364" t="s">
        <v>74</v>
      </c>
      <c r="H364" t="s">
        <v>74</v>
      </c>
      <c r="I364" t="s">
        <v>7066</v>
      </c>
      <c r="J364" t="s">
        <v>7067</v>
      </c>
      <c r="K364" t="s">
        <v>74</v>
      </c>
      <c r="L364" t="s">
        <v>74</v>
      </c>
      <c r="M364" t="s">
        <v>78</v>
      </c>
      <c r="N364" t="s">
        <v>79</v>
      </c>
      <c r="O364" t="s">
        <v>74</v>
      </c>
      <c r="P364" t="s">
        <v>74</v>
      </c>
      <c r="Q364" t="s">
        <v>74</v>
      </c>
      <c r="R364" t="s">
        <v>74</v>
      </c>
      <c r="S364" t="s">
        <v>74</v>
      </c>
      <c r="T364" t="s">
        <v>74</v>
      </c>
      <c r="U364" t="s">
        <v>74</v>
      </c>
      <c r="V364" t="s">
        <v>7068</v>
      </c>
      <c r="W364" t="s">
        <v>7069</v>
      </c>
      <c r="X364" t="s">
        <v>7070</v>
      </c>
      <c r="Y364" t="s">
        <v>7071</v>
      </c>
      <c r="Z364" t="s">
        <v>74</v>
      </c>
      <c r="AA364" t="s">
        <v>74</v>
      </c>
      <c r="AB364" t="s">
        <v>74</v>
      </c>
      <c r="AC364" t="s">
        <v>74</v>
      </c>
      <c r="AD364" t="s">
        <v>74</v>
      </c>
      <c r="AE364" t="s">
        <v>74</v>
      </c>
      <c r="AF364" t="s">
        <v>74</v>
      </c>
      <c r="AG364">
        <v>9</v>
      </c>
      <c r="AH364">
        <v>0</v>
      </c>
      <c r="AI364">
        <v>0</v>
      </c>
      <c r="AJ364">
        <v>0</v>
      </c>
      <c r="AK364">
        <v>1</v>
      </c>
      <c r="AL364" t="s">
        <v>3669</v>
      </c>
      <c r="AM364" t="s">
        <v>3670</v>
      </c>
      <c r="AN364" t="s">
        <v>3671</v>
      </c>
      <c r="AO364" t="s">
        <v>7072</v>
      </c>
      <c r="AP364" t="s">
        <v>7073</v>
      </c>
      <c r="AQ364" t="s">
        <v>74</v>
      </c>
      <c r="AR364" t="s">
        <v>7074</v>
      </c>
      <c r="AS364" t="s">
        <v>7075</v>
      </c>
      <c r="AT364" t="s">
        <v>6892</v>
      </c>
      <c r="AU364">
        <v>2012</v>
      </c>
      <c r="AV364">
        <v>37</v>
      </c>
      <c r="AW364">
        <v>3</v>
      </c>
      <c r="AX364" t="s">
        <v>74</v>
      </c>
      <c r="AY364" t="s">
        <v>74</v>
      </c>
      <c r="AZ364" t="s">
        <v>74</v>
      </c>
      <c r="BA364" t="s">
        <v>74</v>
      </c>
      <c r="BB364">
        <v>210</v>
      </c>
      <c r="BC364">
        <v>215</v>
      </c>
      <c r="BD364" t="s">
        <v>74</v>
      </c>
      <c r="BE364" t="s">
        <v>7076</v>
      </c>
      <c r="BF364" t="str">
        <f>HYPERLINK("http://dx.doi.org/10.3103/S1068373912030090","http://dx.doi.org/10.3103/S1068373912030090")</f>
        <v>http://dx.doi.org/10.3103/S1068373912030090</v>
      </c>
      <c r="BG364" t="s">
        <v>74</v>
      </c>
      <c r="BH364" t="s">
        <v>74</v>
      </c>
      <c r="BI364">
        <v>6</v>
      </c>
      <c r="BJ364" t="s">
        <v>128</v>
      </c>
      <c r="BK364" t="s">
        <v>99</v>
      </c>
      <c r="BL364" t="s">
        <v>128</v>
      </c>
      <c r="BM364" t="s">
        <v>7077</v>
      </c>
      <c r="BN364" t="s">
        <v>74</v>
      </c>
      <c r="BO364" t="s">
        <v>74</v>
      </c>
      <c r="BP364" t="s">
        <v>74</v>
      </c>
      <c r="BQ364" t="s">
        <v>74</v>
      </c>
      <c r="BR364" t="s">
        <v>101</v>
      </c>
      <c r="BS364" t="s">
        <v>7078</v>
      </c>
      <c r="BT364" t="str">
        <f>HYPERLINK("https%3A%2F%2Fwww.webofscience.com%2Fwos%2Fwoscc%2Ffull-record%2FWOS:000302912100009","View Full Record in Web of Science")</f>
        <v>View Full Record in Web of Science</v>
      </c>
    </row>
    <row r="365" spans="1:72" x14ac:dyDescent="0.15">
      <c r="A365" t="s">
        <v>72</v>
      </c>
      <c r="B365" t="s">
        <v>7079</v>
      </c>
      <c r="C365" t="s">
        <v>74</v>
      </c>
      <c r="D365" t="s">
        <v>74</v>
      </c>
      <c r="E365" t="s">
        <v>74</v>
      </c>
      <c r="F365" t="s">
        <v>7080</v>
      </c>
      <c r="G365" t="s">
        <v>74</v>
      </c>
      <c r="H365" t="s">
        <v>74</v>
      </c>
      <c r="I365" t="s">
        <v>7081</v>
      </c>
      <c r="J365" t="s">
        <v>7082</v>
      </c>
      <c r="K365" t="s">
        <v>74</v>
      </c>
      <c r="L365" t="s">
        <v>74</v>
      </c>
      <c r="M365" t="s">
        <v>78</v>
      </c>
      <c r="N365" t="s">
        <v>79</v>
      </c>
      <c r="O365" t="s">
        <v>74</v>
      </c>
      <c r="P365" t="s">
        <v>74</v>
      </c>
      <c r="Q365" t="s">
        <v>74</v>
      </c>
      <c r="R365" t="s">
        <v>74</v>
      </c>
      <c r="S365" t="s">
        <v>74</v>
      </c>
      <c r="T365" t="s">
        <v>7083</v>
      </c>
      <c r="U365" t="s">
        <v>7084</v>
      </c>
      <c r="V365" t="s">
        <v>7085</v>
      </c>
      <c r="W365" t="s">
        <v>7086</v>
      </c>
      <c r="X365" t="s">
        <v>7087</v>
      </c>
      <c r="Y365" t="s">
        <v>7088</v>
      </c>
      <c r="Z365" t="s">
        <v>7089</v>
      </c>
      <c r="AA365" t="s">
        <v>7090</v>
      </c>
      <c r="AB365" t="s">
        <v>74</v>
      </c>
      <c r="AC365" t="s">
        <v>74</v>
      </c>
      <c r="AD365" t="s">
        <v>74</v>
      </c>
      <c r="AE365" t="s">
        <v>74</v>
      </c>
      <c r="AF365" t="s">
        <v>74</v>
      </c>
      <c r="AG365">
        <v>411</v>
      </c>
      <c r="AH365">
        <v>103</v>
      </c>
      <c r="AI365">
        <v>109</v>
      </c>
      <c r="AJ365">
        <v>3</v>
      </c>
      <c r="AK365">
        <v>53</v>
      </c>
      <c r="AL365" t="s">
        <v>935</v>
      </c>
      <c r="AM365" t="s">
        <v>369</v>
      </c>
      <c r="AN365" t="s">
        <v>936</v>
      </c>
      <c r="AO365" t="s">
        <v>7091</v>
      </c>
      <c r="AP365" t="s">
        <v>7092</v>
      </c>
      <c r="AQ365" t="s">
        <v>74</v>
      </c>
      <c r="AR365" t="s">
        <v>7093</v>
      </c>
      <c r="AS365" t="s">
        <v>7094</v>
      </c>
      <c r="AT365" t="s">
        <v>6892</v>
      </c>
      <c r="AU365">
        <v>2012</v>
      </c>
      <c r="AV365">
        <v>111</v>
      </c>
      <c r="AW365" t="s">
        <v>374</v>
      </c>
      <c r="AX365" t="s">
        <v>74</v>
      </c>
      <c r="AY365" t="s">
        <v>74</v>
      </c>
      <c r="AZ365" t="s">
        <v>74</v>
      </c>
      <c r="BA365" t="s">
        <v>74</v>
      </c>
      <c r="BB365">
        <v>249</v>
      </c>
      <c r="BC365">
        <v>318</v>
      </c>
      <c r="BD365" t="s">
        <v>74</v>
      </c>
      <c r="BE365" t="s">
        <v>7095</v>
      </c>
      <c r="BF365" t="str">
        <f>HYPERLINK("http://dx.doi.org/10.1016/j.earscirev.2011.11.009","http://dx.doi.org/10.1016/j.earscirev.2011.11.009")</f>
        <v>http://dx.doi.org/10.1016/j.earscirev.2011.11.009</v>
      </c>
      <c r="BG365" t="s">
        <v>74</v>
      </c>
      <c r="BH365" t="s">
        <v>74</v>
      </c>
      <c r="BI365">
        <v>70</v>
      </c>
      <c r="BJ365" t="s">
        <v>194</v>
      </c>
      <c r="BK365" t="s">
        <v>99</v>
      </c>
      <c r="BL365" t="s">
        <v>195</v>
      </c>
      <c r="BM365" t="s">
        <v>7096</v>
      </c>
      <c r="BN365" t="s">
        <v>74</v>
      </c>
      <c r="BO365" t="s">
        <v>74</v>
      </c>
      <c r="BP365" t="s">
        <v>74</v>
      </c>
      <c r="BQ365" t="s">
        <v>74</v>
      </c>
      <c r="BR365" t="s">
        <v>101</v>
      </c>
      <c r="BS365" t="s">
        <v>7097</v>
      </c>
      <c r="BT365" t="str">
        <f>HYPERLINK("https%3A%2F%2Fwww.webofscience.com%2Fwos%2Fwoscc%2Ffull-record%2FWOS:000302515900001","View Full Record in Web of Science")</f>
        <v>View Full Record in Web of Science</v>
      </c>
    </row>
    <row r="366" spans="1:72" x14ac:dyDescent="0.15">
      <c r="A366" t="s">
        <v>72</v>
      </c>
      <c r="B366" t="s">
        <v>7098</v>
      </c>
      <c r="C366" t="s">
        <v>74</v>
      </c>
      <c r="D366" t="s">
        <v>74</v>
      </c>
      <c r="E366" t="s">
        <v>74</v>
      </c>
      <c r="F366" t="s">
        <v>7099</v>
      </c>
      <c r="G366" t="s">
        <v>74</v>
      </c>
      <c r="H366" t="s">
        <v>74</v>
      </c>
      <c r="I366" t="s">
        <v>7100</v>
      </c>
      <c r="J366" t="s">
        <v>7101</v>
      </c>
      <c r="K366" t="s">
        <v>74</v>
      </c>
      <c r="L366" t="s">
        <v>74</v>
      </c>
      <c r="M366" t="s">
        <v>78</v>
      </c>
      <c r="N366" t="s">
        <v>79</v>
      </c>
      <c r="O366" t="s">
        <v>74</v>
      </c>
      <c r="P366" t="s">
        <v>74</v>
      </c>
      <c r="Q366" t="s">
        <v>74</v>
      </c>
      <c r="R366" t="s">
        <v>74</v>
      </c>
      <c r="S366" t="s">
        <v>74</v>
      </c>
      <c r="T366" t="s">
        <v>7102</v>
      </c>
      <c r="U366" t="s">
        <v>7103</v>
      </c>
      <c r="V366" t="s">
        <v>7104</v>
      </c>
      <c r="W366" t="s">
        <v>7105</v>
      </c>
      <c r="X366" t="s">
        <v>7106</v>
      </c>
      <c r="Y366" t="s">
        <v>7107</v>
      </c>
      <c r="Z366" t="s">
        <v>7108</v>
      </c>
      <c r="AA366" t="s">
        <v>7109</v>
      </c>
      <c r="AB366" t="s">
        <v>7110</v>
      </c>
      <c r="AC366" t="s">
        <v>7111</v>
      </c>
      <c r="AD366" t="s">
        <v>7112</v>
      </c>
      <c r="AE366" t="s">
        <v>7113</v>
      </c>
      <c r="AF366" t="s">
        <v>74</v>
      </c>
      <c r="AG366">
        <v>57</v>
      </c>
      <c r="AH366">
        <v>15</v>
      </c>
      <c r="AI366">
        <v>16</v>
      </c>
      <c r="AJ366">
        <v>2</v>
      </c>
      <c r="AK366">
        <v>31</v>
      </c>
      <c r="AL366" t="s">
        <v>4632</v>
      </c>
      <c r="AM366" t="s">
        <v>147</v>
      </c>
      <c r="AN366" t="s">
        <v>4633</v>
      </c>
      <c r="AO366" t="s">
        <v>7114</v>
      </c>
      <c r="AP366" t="s">
        <v>7115</v>
      </c>
      <c r="AQ366" t="s">
        <v>74</v>
      </c>
      <c r="AR366" t="s">
        <v>7116</v>
      </c>
      <c r="AS366" t="s">
        <v>7117</v>
      </c>
      <c r="AT366" t="s">
        <v>6991</v>
      </c>
      <c r="AU366">
        <v>2012</v>
      </c>
      <c r="AV366">
        <v>99</v>
      </c>
      <c r="AW366" t="s">
        <v>74</v>
      </c>
      <c r="AX366" t="s">
        <v>74</v>
      </c>
      <c r="AY366" t="s">
        <v>74</v>
      </c>
      <c r="AZ366" t="s">
        <v>74</v>
      </c>
      <c r="BA366" t="s">
        <v>74</v>
      </c>
      <c r="BB366">
        <v>121</v>
      </c>
      <c r="BC366">
        <v>131</v>
      </c>
      <c r="BD366" t="s">
        <v>74</v>
      </c>
      <c r="BE366" t="s">
        <v>7118</v>
      </c>
      <c r="BF366" t="str">
        <f>HYPERLINK("http://dx.doi.org/10.1016/j.ecss.2011.12.025","http://dx.doi.org/10.1016/j.ecss.2011.12.025")</f>
        <v>http://dx.doi.org/10.1016/j.ecss.2011.12.025</v>
      </c>
      <c r="BG366" t="s">
        <v>74</v>
      </c>
      <c r="BH366" t="s">
        <v>74</v>
      </c>
      <c r="BI366">
        <v>11</v>
      </c>
      <c r="BJ366" t="s">
        <v>636</v>
      </c>
      <c r="BK366" t="s">
        <v>99</v>
      </c>
      <c r="BL366" t="s">
        <v>636</v>
      </c>
      <c r="BM366" t="s">
        <v>7119</v>
      </c>
      <c r="BN366" t="s">
        <v>74</v>
      </c>
      <c r="BO366" t="s">
        <v>74</v>
      </c>
      <c r="BP366" t="s">
        <v>74</v>
      </c>
      <c r="BQ366" t="s">
        <v>74</v>
      </c>
      <c r="BR366" t="s">
        <v>101</v>
      </c>
      <c r="BS366" t="s">
        <v>7120</v>
      </c>
      <c r="BT366" t="str">
        <f>HYPERLINK("https%3A%2F%2Fwww.webofscience.com%2Fwos%2Fwoscc%2Ffull-record%2FWOS:000302448300012","View Full Record in Web of Science")</f>
        <v>View Full Record in Web of Science</v>
      </c>
    </row>
    <row r="367" spans="1:72" x14ac:dyDescent="0.15">
      <c r="A367" t="s">
        <v>72</v>
      </c>
      <c r="B367" t="s">
        <v>7121</v>
      </c>
      <c r="C367" t="s">
        <v>74</v>
      </c>
      <c r="D367" t="s">
        <v>74</v>
      </c>
      <c r="E367" t="s">
        <v>74</v>
      </c>
      <c r="F367" t="s">
        <v>7122</v>
      </c>
      <c r="G367" t="s">
        <v>74</v>
      </c>
      <c r="H367" t="s">
        <v>74</v>
      </c>
      <c r="I367" t="s">
        <v>7123</v>
      </c>
      <c r="J367" t="s">
        <v>7101</v>
      </c>
      <c r="K367" t="s">
        <v>74</v>
      </c>
      <c r="L367" t="s">
        <v>74</v>
      </c>
      <c r="M367" t="s">
        <v>78</v>
      </c>
      <c r="N367" t="s">
        <v>79</v>
      </c>
      <c r="O367" t="s">
        <v>74</v>
      </c>
      <c r="P367" t="s">
        <v>74</v>
      </c>
      <c r="Q367" t="s">
        <v>74</v>
      </c>
      <c r="R367" t="s">
        <v>74</v>
      </c>
      <c r="S367" t="s">
        <v>74</v>
      </c>
      <c r="T367" t="s">
        <v>7124</v>
      </c>
      <c r="U367" t="s">
        <v>7125</v>
      </c>
      <c r="V367" t="s">
        <v>7126</v>
      </c>
      <c r="W367" t="s">
        <v>7127</v>
      </c>
      <c r="X367" t="s">
        <v>7128</v>
      </c>
      <c r="Y367" t="s">
        <v>7129</v>
      </c>
      <c r="Z367" t="s">
        <v>7130</v>
      </c>
      <c r="AA367" t="s">
        <v>7131</v>
      </c>
      <c r="AB367" t="s">
        <v>74</v>
      </c>
      <c r="AC367" t="s">
        <v>74</v>
      </c>
      <c r="AD367" t="s">
        <v>74</v>
      </c>
      <c r="AE367" t="s">
        <v>74</v>
      </c>
      <c r="AF367" t="s">
        <v>74</v>
      </c>
      <c r="AG367">
        <v>68</v>
      </c>
      <c r="AH367">
        <v>19</v>
      </c>
      <c r="AI367">
        <v>21</v>
      </c>
      <c r="AJ367">
        <v>1</v>
      </c>
      <c r="AK367">
        <v>52</v>
      </c>
      <c r="AL367" t="s">
        <v>4632</v>
      </c>
      <c r="AM367" t="s">
        <v>147</v>
      </c>
      <c r="AN367" t="s">
        <v>4633</v>
      </c>
      <c r="AO367" t="s">
        <v>7114</v>
      </c>
      <c r="AP367" t="s">
        <v>7115</v>
      </c>
      <c r="AQ367" t="s">
        <v>74</v>
      </c>
      <c r="AR367" t="s">
        <v>7116</v>
      </c>
      <c r="AS367" t="s">
        <v>7117</v>
      </c>
      <c r="AT367" t="s">
        <v>6991</v>
      </c>
      <c r="AU367">
        <v>2012</v>
      </c>
      <c r="AV367">
        <v>99</v>
      </c>
      <c r="AW367" t="s">
        <v>74</v>
      </c>
      <c r="AX367" t="s">
        <v>74</v>
      </c>
      <c r="AY367" t="s">
        <v>74</v>
      </c>
      <c r="AZ367" t="s">
        <v>74</v>
      </c>
      <c r="BA367" t="s">
        <v>74</v>
      </c>
      <c r="BB367">
        <v>132</v>
      </c>
      <c r="BC367">
        <v>144</v>
      </c>
      <c r="BD367" t="s">
        <v>74</v>
      </c>
      <c r="BE367" t="s">
        <v>7132</v>
      </c>
      <c r="BF367" t="str">
        <f>HYPERLINK("http://dx.doi.org/10.1016/j.ecss.2011.12.024","http://dx.doi.org/10.1016/j.ecss.2011.12.024")</f>
        <v>http://dx.doi.org/10.1016/j.ecss.2011.12.024</v>
      </c>
      <c r="BG367" t="s">
        <v>74</v>
      </c>
      <c r="BH367" t="s">
        <v>74</v>
      </c>
      <c r="BI367">
        <v>13</v>
      </c>
      <c r="BJ367" t="s">
        <v>636</v>
      </c>
      <c r="BK367" t="s">
        <v>99</v>
      </c>
      <c r="BL367" t="s">
        <v>636</v>
      </c>
      <c r="BM367" t="s">
        <v>7119</v>
      </c>
      <c r="BN367" t="s">
        <v>74</v>
      </c>
      <c r="BO367" t="s">
        <v>74</v>
      </c>
      <c r="BP367" t="s">
        <v>74</v>
      </c>
      <c r="BQ367" t="s">
        <v>74</v>
      </c>
      <c r="BR367" t="s">
        <v>101</v>
      </c>
      <c r="BS367" t="s">
        <v>7133</v>
      </c>
      <c r="BT367" t="str">
        <f>HYPERLINK("https%3A%2F%2Fwww.webofscience.com%2Fwos%2Fwoscc%2Ffull-record%2FWOS:000302448300013","View Full Record in Web of Science")</f>
        <v>View Full Record in Web of Science</v>
      </c>
    </row>
    <row r="368" spans="1:72" x14ac:dyDescent="0.15">
      <c r="A368" t="s">
        <v>72</v>
      </c>
      <c r="B368" t="s">
        <v>7134</v>
      </c>
      <c r="C368" t="s">
        <v>74</v>
      </c>
      <c r="D368" t="s">
        <v>74</v>
      </c>
      <c r="E368" t="s">
        <v>74</v>
      </c>
      <c r="F368" t="s">
        <v>7135</v>
      </c>
      <c r="G368" t="s">
        <v>74</v>
      </c>
      <c r="H368" t="s">
        <v>74</v>
      </c>
      <c r="I368" t="s">
        <v>7136</v>
      </c>
      <c r="J368" t="s">
        <v>7137</v>
      </c>
      <c r="K368" t="s">
        <v>74</v>
      </c>
      <c r="L368" t="s">
        <v>74</v>
      </c>
      <c r="M368" t="s">
        <v>78</v>
      </c>
      <c r="N368" t="s">
        <v>79</v>
      </c>
      <c r="O368" t="s">
        <v>74</v>
      </c>
      <c r="P368" t="s">
        <v>74</v>
      </c>
      <c r="Q368" t="s">
        <v>74</v>
      </c>
      <c r="R368" t="s">
        <v>74</v>
      </c>
      <c r="S368" t="s">
        <v>74</v>
      </c>
      <c r="T368" t="s">
        <v>74</v>
      </c>
      <c r="U368" t="s">
        <v>74</v>
      </c>
      <c r="V368" t="s">
        <v>7138</v>
      </c>
      <c r="W368" t="s">
        <v>7139</v>
      </c>
      <c r="X368" t="s">
        <v>3666</v>
      </c>
      <c r="Y368" t="s">
        <v>7140</v>
      </c>
      <c r="Z368" t="s">
        <v>74</v>
      </c>
      <c r="AA368" t="s">
        <v>74</v>
      </c>
      <c r="AB368" t="s">
        <v>74</v>
      </c>
      <c r="AC368" t="s">
        <v>74</v>
      </c>
      <c r="AD368" t="s">
        <v>74</v>
      </c>
      <c r="AE368" t="s">
        <v>74</v>
      </c>
      <c r="AF368" t="s">
        <v>74</v>
      </c>
      <c r="AG368">
        <v>21</v>
      </c>
      <c r="AH368">
        <v>5</v>
      </c>
      <c r="AI368">
        <v>5</v>
      </c>
      <c r="AJ368">
        <v>0</v>
      </c>
      <c r="AK368">
        <v>17</v>
      </c>
      <c r="AL368" t="s">
        <v>7141</v>
      </c>
      <c r="AM368" t="s">
        <v>7142</v>
      </c>
      <c r="AN368" t="s">
        <v>7143</v>
      </c>
      <c r="AO368" t="s">
        <v>7144</v>
      </c>
      <c r="AP368" t="s">
        <v>74</v>
      </c>
      <c r="AQ368" t="s">
        <v>74</v>
      </c>
      <c r="AR368" t="s">
        <v>7145</v>
      </c>
      <c r="AS368" t="s">
        <v>7146</v>
      </c>
      <c r="AT368" t="s">
        <v>6917</v>
      </c>
      <c r="AU368">
        <v>2012</v>
      </c>
      <c r="AV368">
        <v>50</v>
      </c>
      <c r="AW368">
        <v>2</v>
      </c>
      <c r="AX368" t="s">
        <v>74</v>
      </c>
      <c r="AY368" t="s">
        <v>74</v>
      </c>
      <c r="AZ368" t="s">
        <v>74</v>
      </c>
      <c r="BA368" t="s">
        <v>74</v>
      </c>
      <c r="BB368">
        <v>7</v>
      </c>
      <c r="BC368">
        <v>33</v>
      </c>
      <c r="BD368" t="s">
        <v>74</v>
      </c>
      <c r="BE368" t="s">
        <v>7147</v>
      </c>
      <c r="BF368" t="str">
        <f>HYPERLINK("http://dx.doi.org/10.2753/RUP1061-1940500201","http://dx.doi.org/10.2753/RUP1061-1940500201")</f>
        <v>http://dx.doi.org/10.2753/RUP1061-1940500201</v>
      </c>
      <c r="BG368" t="s">
        <v>74</v>
      </c>
      <c r="BH368" t="s">
        <v>74</v>
      </c>
      <c r="BI368">
        <v>27</v>
      </c>
      <c r="BJ368" t="s">
        <v>7148</v>
      </c>
      <c r="BK368" t="s">
        <v>2192</v>
      </c>
      <c r="BL368" t="s">
        <v>7149</v>
      </c>
      <c r="BM368" t="s">
        <v>7150</v>
      </c>
      <c r="BN368" t="s">
        <v>74</v>
      </c>
      <c r="BO368" t="s">
        <v>74</v>
      </c>
      <c r="BP368" t="s">
        <v>74</v>
      </c>
      <c r="BQ368" t="s">
        <v>74</v>
      </c>
      <c r="BR368" t="s">
        <v>101</v>
      </c>
      <c r="BS368" t="s">
        <v>7151</v>
      </c>
      <c r="BT368" t="str">
        <f>HYPERLINK("https%3A%2F%2Fwww.webofscience.com%2Fwos%2Fwoscc%2Ffull-record%2FWOS:000302558500002","View Full Record in Web of Science")</f>
        <v>View Full Record in Web of Science</v>
      </c>
    </row>
    <row r="369" spans="1:72" x14ac:dyDescent="0.15">
      <c r="A369" t="s">
        <v>72</v>
      </c>
      <c r="B369" t="s">
        <v>7152</v>
      </c>
      <c r="C369" t="s">
        <v>74</v>
      </c>
      <c r="D369" t="s">
        <v>74</v>
      </c>
      <c r="E369" t="s">
        <v>74</v>
      </c>
      <c r="F369" t="s">
        <v>7153</v>
      </c>
      <c r="G369" t="s">
        <v>74</v>
      </c>
      <c r="H369" t="s">
        <v>74</v>
      </c>
      <c r="I369" t="s">
        <v>7154</v>
      </c>
      <c r="J369" t="s">
        <v>7155</v>
      </c>
      <c r="K369" t="s">
        <v>74</v>
      </c>
      <c r="L369" t="s">
        <v>74</v>
      </c>
      <c r="M369" t="s">
        <v>78</v>
      </c>
      <c r="N369" t="s">
        <v>1073</v>
      </c>
      <c r="O369" t="s">
        <v>74</v>
      </c>
      <c r="P369" t="s">
        <v>74</v>
      </c>
      <c r="Q369" t="s">
        <v>74</v>
      </c>
      <c r="R369" t="s">
        <v>74</v>
      </c>
      <c r="S369" t="s">
        <v>74</v>
      </c>
      <c r="T369" t="s">
        <v>74</v>
      </c>
      <c r="U369" t="s">
        <v>7156</v>
      </c>
      <c r="V369" t="s">
        <v>7157</v>
      </c>
      <c r="W369" t="s">
        <v>7158</v>
      </c>
      <c r="X369" t="s">
        <v>7159</v>
      </c>
      <c r="Y369" t="s">
        <v>7160</v>
      </c>
      <c r="Z369" t="s">
        <v>7161</v>
      </c>
      <c r="AA369" t="s">
        <v>74</v>
      </c>
      <c r="AB369" t="s">
        <v>74</v>
      </c>
      <c r="AC369" t="s">
        <v>74</v>
      </c>
      <c r="AD369" t="s">
        <v>74</v>
      </c>
      <c r="AE369" t="s">
        <v>74</v>
      </c>
      <c r="AF369" t="s">
        <v>74</v>
      </c>
      <c r="AG369">
        <v>105</v>
      </c>
      <c r="AH369">
        <v>2</v>
      </c>
      <c r="AI369">
        <v>4</v>
      </c>
      <c r="AJ369">
        <v>0</v>
      </c>
      <c r="AK369">
        <v>54</v>
      </c>
      <c r="AL369" t="s">
        <v>627</v>
      </c>
      <c r="AM369" t="s">
        <v>628</v>
      </c>
      <c r="AN369" t="s">
        <v>629</v>
      </c>
      <c r="AO369" t="s">
        <v>7162</v>
      </c>
      <c r="AP369" t="s">
        <v>7163</v>
      </c>
      <c r="AQ369" t="s">
        <v>74</v>
      </c>
      <c r="AR369" t="s">
        <v>7164</v>
      </c>
      <c r="AS369" t="s">
        <v>7165</v>
      </c>
      <c r="AT369" t="s">
        <v>6917</v>
      </c>
      <c r="AU369">
        <v>2012</v>
      </c>
      <c r="AV369">
        <v>3</v>
      </c>
      <c r="AW369">
        <v>2</v>
      </c>
      <c r="AX369" t="s">
        <v>74</v>
      </c>
      <c r="AY369" t="s">
        <v>74</v>
      </c>
      <c r="AZ369" t="s">
        <v>74</v>
      </c>
      <c r="BA369" t="s">
        <v>74</v>
      </c>
      <c r="BB369">
        <v>145</v>
      </c>
      <c r="BC369">
        <v>159</v>
      </c>
      <c r="BD369" t="s">
        <v>74</v>
      </c>
      <c r="BE369" t="s">
        <v>7166</v>
      </c>
      <c r="BF369" t="str">
        <f>HYPERLINK("http://dx.doi.org/10.1002/wcc.161","http://dx.doi.org/10.1002/wcc.161")</f>
        <v>http://dx.doi.org/10.1002/wcc.161</v>
      </c>
      <c r="BG369" t="s">
        <v>74</v>
      </c>
      <c r="BH369" t="s">
        <v>74</v>
      </c>
      <c r="BI369">
        <v>15</v>
      </c>
      <c r="BJ369" t="s">
        <v>7167</v>
      </c>
      <c r="BK369" t="s">
        <v>7168</v>
      </c>
      <c r="BL369" t="s">
        <v>1759</v>
      </c>
      <c r="BM369" t="s">
        <v>7169</v>
      </c>
      <c r="BN369" t="s">
        <v>74</v>
      </c>
      <c r="BO369" t="s">
        <v>74</v>
      </c>
      <c r="BP369" t="s">
        <v>74</v>
      </c>
      <c r="BQ369" t="s">
        <v>74</v>
      </c>
      <c r="BR369" t="s">
        <v>101</v>
      </c>
      <c r="BS369" t="s">
        <v>7170</v>
      </c>
      <c r="BT369" t="str">
        <f>HYPERLINK("https%3A%2F%2Fwww.webofscience.com%2Fwos%2Fwoscc%2Ffull-record%2FWOS:000301644400003","View Full Record in Web of Science")</f>
        <v>View Full Record in Web of Science</v>
      </c>
    </row>
    <row r="370" spans="1:72" x14ac:dyDescent="0.15">
      <c r="A370" t="s">
        <v>72</v>
      </c>
      <c r="B370" t="s">
        <v>7171</v>
      </c>
      <c r="C370" t="s">
        <v>74</v>
      </c>
      <c r="D370" t="s">
        <v>74</v>
      </c>
      <c r="E370" t="s">
        <v>74</v>
      </c>
      <c r="F370" t="s">
        <v>7172</v>
      </c>
      <c r="G370" t="s">
        <v>74</v>
      </c>
      <c r="H370" t="s">
        <v>74</v>
      </c>
      <c r="I370" t="s">
        <v>7173</v>
      </c>
      <c r="J370" t="s">
        <v>4738</v>
      </c>
      <c r="K370" t="s">
        <v>74</v>
      </c>
      <c r="L370" t="s">
        <v>74</v>
      </c>
      <c r="M370" t="s">
        <v>78</v>
      </c>
      <c r="N370" t="s">
        <v>79</v>
      </c>
      <c r="O370" t="s">
        <v>74</v>
      </c>
      <c r="P370" t="s">
        <v>74</v>
      </c>
      <c r="Q370" t="s">
        <v>74</v>
      </c>
      <c r="R370" t="s">
        <v>74</v>
      </c>
      <c r="S370" t="s">
        <v>74</v>
      </c>
      <c r="T370" t="s">
        <v>7174</v>
      </c>
      <c r="U370" t="s">
        <v>7175</v>
      </c>
      <c r="V370" t="s">
        <v>7176</v>
      </c>
      <c r="W370" t="s">
        <v>7177</v>
      </c>
      <c r="X370" t="s">
        <v>7178</v>
      </c>
      <c r="Y370" t="s">
        <v>7179</v>
      </c>
      <c r="Z370" t="s">
        <v>7180</v>
      </c>
      <c r="AA370" t="s">
        <v>7181</v>
      </c>
      <c r="AB370" t="s">
        <v>7182</v>
      </c>
      <c r="AC370" t="s">
        <v>7183</v>
      </c>
      <c r="AD370" t="s">
        <v>7184</v>
      </c>
      <c r="AE370" t="s">
        <v>7185</v>
      </c>
      <c r="AF370" t="s">
        <v>74</v>
      </c>
      <c r="AG370">
        <v>45</v>
      </c>
      <c r="AH370">
        <v>4</v>
      </c>
      <c r="AI370">
        <v>4</v>
      </c>
      <c r="AJ370">
        <v>0</v>
      </c>
      <c r="AK370">
        <v>19</v>
      </c>
      <c r="AL370" t="s">
        <v>655</v>
      </c>
      <c r="AM370" t="s">
        <v>656</v>
      </c>
      <c r="AN370" t="s">
        <v>1908</v>
      </c>
      <c r="AO370" t="s">
        <v>4750</v>
      </c>
      <c r="AP370" t="s">
        <v>4751</v>
      </c>
      <c r="AQ370" t="s">
        <v>74</v>
      </c>
      <c r="AR370" t="s">
        <v>4752</v>
      </c>
      <c r="AS370" t="s">
        <v>4753</v>
      </c>
      <c r="AT370" t="s">
        <v>6892</v>
      </c>
      <c r="AU370">
        <v>2012</v>
      </c>
      <c r="AV370">
        <v>38</v>
      </c>
      <c r="AW370" t="s">
        <v>1693</v>
      </c>
      <c r="AX370" t="s">
        <v>74</v>
      </c>
      <c r="AY370" t="s">
        <v>74</v>
      </c>
      <c r="AZ370" t="s">
        <v>74</v>
      </c>
      <c r="BA370" t="s">
        <v>74</v>
      </c>
      <c r="BB370">
        <v>913</v>
      </c>
      <c r="BC370">
        <v>927</v>
      </c>
      <c r="BD370" t="s">
        <v>74</v>
      </c>
      <c r="BE370" t="s">
        <v>7186</v>
      </c>
      <c r="BF370" t="str">
        <f>HYPERLINK("http://dx.doi.org/10.1007/s00382-011-1092-3","http://dx.doi.org/10.1007/s00382-011-1092-3")</f>
        <v>http://dx.doi.org/10.1007/s00382-011-1092-3</v>
      </c>
      <c r="BG370" t="s">
        <v>74</v>
      </c>
      <c r="BH370" t="s">
        <v>74</v>
      </c>
      <c r="BI370">
        <v>15</v>
      </c>
      <c r="BJ370" t="s">
        <v>128</v>
      </c>
      <c r="BK370" t="s">
        <v>99</v>
      </c>
      <c r="BL370" t="s">
        <v>128</v>
      </c>
      <c r="BM370" t="s">
        <v>7187</v>
      </c>
      <c r="BN370" t="s">
        <v>74</v>
      </c>
      <c r="BO370" t="s">
        <v>156</v>
      </c>
      <c r="BP370" t="s">
        <v>74</v>
      </c>
      <c r="BQ370" t="s">
        <v>74</v>
      </c>
      <c r="BR370" t="s">
        <v>101</v>
      </c>
      <c r="BS370" t="s">
        <v>7188</v>
      </c>
      <c r="BT370" t="str">
        <f>HYPERLINK("https%3A%2F%2Fwww.webofscience.com%2Fwos%2Fwoscc%2Ffull-record%2FWOS:000302245900005","View Full Record in Web of Science")</f>
        <v>View Full Record in Web of Science</v>
      </c>
    </row>
    <row r="371" spans="1:72" x14ac:dyDescent="0.15">
      <c r="A371" t="s">
        <v>72</v>
      </c>
      <c r="B371" t="s">
        <v>7189</v>
      </c>
      <c r="C371" t="s">
        <v>74</v>
      </c>
      <c r="D371" t="s">
        <v>74</v>
      </c>
      <c r="E371" t="s">
        <v>74</v>
      </c>
      <c r="F371" t="s">
        <v>7190</v>
      </c>
      <c r="G371" t="s">
        <v>74</v>
      </c>
      <c r="H371" t="s">
        <v>74</v>
      </c>
      <c r="I371" t="s">
        <v>7191</v>
      </c>
      <c r="J371" t="s">
        <v>4738</v>
      </c>
      <c r="K371" t="s">
        <v>74</v>
      </c>
      <c r="L371" t="s">
        <v>74</v>
      </c>
      <c r="M371" t="s">
        <v>78</v>
      </c>
      <c r="N371" t="s">
        <v>79</v>
      </c>
      <c r="O371" t="s">
        <v>74</v>
      </c>
      <c r="P371" t="s">
        <v>74</v>
      </c>
      <c r="Q371" t="s">
        <v>74</v>
      </c>
      <c r="R371" t="s">
        <v>74</v>
      </c>
      <c r="S371" t="s">
        <v>74</v>
      </c>
      <c r="T371" t="s">
        <v>7192</v>
      </c>
      <c r="U371" t="s">
        <v>7193</v>
      </c>
      <c r="V371" t="s">
        <v>7194</v>
      </c>
      <c r="W371" t="s">
        <v>7195</v>
      </c>
      <c r="X371" t="s">
        <v>7196</v>
      </c>
      <c r="Y371" t="s">
        <v>7197</v>
      </c>
      <c r="Z371" t="s">
        <v>7198</v>
      </c>
      <c r="AA371" t="s">
        <v>7199</v>
      </c>
      <c r="AB371" t="s">
        <v>7200</v>
      </c>
      <c r="AC371" t="s">
        <v>7201</v>
      </c>
      <c r="AD371" t="s">
        <v>7202</v>
      </c>
      <c r="AE371" t="s">
        <v>7203</v>
      </c>
      <c r="AF371" t="s">
        <v>74</v>
      </c>
      <c r="AG371">
        <v>57</v>
      </c>
      <c r="AH371">
        <v>6</v>
      </c>
      <c r="AI371">
        <v>7</v>
      </c>
      <c r="AJ371">
        <v>2</v>
      </c>
      <c r="AK371">
        <v>30</v>
      </c>
      <c r="AL371" t="s">
        <v>655</v>
      </c>
      <c r="AM371" t="s">
        <v>656</v>
      </c>
      <c r="AN371" t="s">
        <v>1908</v>
      </c>
      <c r="AO371" t="s">
        <v>4750</v>
      </c>
      <c r="AP371" t="s">
        <v>4751</v>
      </c>
      <c r="AQ371" t="s">
        <v>74</v>
      </c>
      <c r="AR371" t="s">
        <v>4752</v>
      </c>
      <c r="AS371" t="s">
        <v>4753</v>
      </c>
      <c r="AT371" t="s">
        <v>6892</v>
      </c>
      <c r="AU371">
        <v>2012</v>
      </c>
      <c r="AV371">
        <v>38</v>
      </c>
      <c r="AW371" t="s">
        <v>1693</v>
      </c>
      <c r="AX371" t="s">
        <v>74</v>
      </c>
      <c r="AY371" t="s">
        <v>74</v>
      </c>
      <c r="AZ371" t="s">
        <v>74</v>
      </c>
      <c r="BA371" t="s">
        <v>74</v>
      </c>
      <c r="BB371">
        <v>1115</v>
      </c>
      <c r="BC371">
        <v>1128</v>
      </c>
      <c r="BD371" t="s">
        <v>74</v>
      </c>
      <c r="BE371" t="s">
        <v>7204</v>
      </c>
      <c r="BF371" t="str">
        <f>HYPERLINK("http://dx.doi.org/10.1007/s00382-011-1162-6","http://dx.doi.org/10.1007/s00382-011-1162-6")</f>
        <v>http://dx.doi.org/10.1007/s00382-011-1162-6</v>
      </c>
      <c r="BG371" t="s">
        <v>74</v>
      </c>
      <c r="BH371" t="s">
        <v>74</v>
      </c>
      <c r="BI371">
        <v>14</v>
      </c>
      <c r="BJ371" t="s">
        <v>128</v>
      </c>
      <c r="BK371" t="s">
        <v>99</v>
      </c>
      <c r="BL371" t="s">
        <v>128</v>
      </c>
      <c r="BM371" t="s">
        <v>7187</v>
      </c>
      <c r="BN371" t="s">
        <v>74</v>
      </c>
      <c r="BO371" t="s">
        <v>74</v>
      </c>
      <c r="BP371" t="s">
        <v>74</v>
      </c>
      <c r="BQ371" t="s">
        <v>74</v>
      </c>
      <c r="BR371" t="s">
        <v>101</v>
      </c>
      <c r="BS371" t="s">
        <v>7205</v>
      </c>
      <c r="BT371" t="str">
        <f>HYPERLINK("https%3A%2F%2Fwww.webofscience.com%2Fwos%2Fwoscc%2Ffull-record%2FWOS:000302245900017","View Full Record in Web of Science")</f>
        <v>View Full Record in Web of Science</v>
      </c>
    </row>
    <row r="372" spans="1:72" x14ac:dyDescent="0.15">
      <c r="A372" t="s">
        <v>72</v>
      </c>
      <c r="B372" t="s">
        <v>7206</v>
      </c>
      <c r="C372" t="s">
        <v>74</v>
      </c>
      <c r="D372" t="s">
        <v>74</v>
      </c>
      <c r="E372" t="s">
        <v>74</v>
      </c>
      <c r="F372" t="s">
        <v>7207</v>
      </c>
      <c r="G372" t="s">
        <v>74</v>
      </c>
      <c r="H372" t="s">
        <v>74</v>
      </c>
      <c r="I372" t="s">
        <v>7208</v>
      </c>
      <c r="J372" t="s">
        <v>4781</v>
      </c>
      <c r="K372" t="s">
        <v>74</v>
      </c>
      <c r="L372" t="s">
        <v>74</v>
      </c>
      <c r="M372" t="s">
        <v>78</v>
      </c>
      <c r="N372" t="s">
        <v>79</v>
      </c>
      <c r="O372" t="s">
        <v>74</v>
      </c>
      <c r="P372" t="s">
        <v>74</v>
      </c>
      <c r="Q372" t="s">
        <v>74</v>
      </c>
      <c r="R372" t="s">
        <v>74</v>
      </c>
      <c r="S372" t="s">
        <v>74</v>
      </c>
      <c r="T372" t="s">
        <v>7209</v>
      </c>
      <c r="U372" t="s">
        <v>7210</v>
      </c>
      <c r="V372" t="s">
        <v>7211</v>
      </c>
      <c r="W372" t="s">
        <v>7212</v>
      </c>
      <c r="X372" t="s">
        <v>7213</v>
      </c>
      <c r="Y372" t="s">
        <v>7214</v>
      </c>
      <c r="Z372" t="s">
        <v>7215</v>
      </c>
      <c r="AA372" t="s">
        <v>7216</v>
      </c>
      <c r="AB372" t="s">
        <v>7217</v>
      </c>
      <c r="AC372" t="s">
        <v>7218</v>
      </c>
      <c r="AD372" t="s">
        <v>7219</v>
      </c>
      <c r="AE372" t="s">
        <v>7220</v>
      </c>
      <c r="AF372" t="s">
        <v>74</v>
      </c>
      <c r="AG372">
        <v>47</v>
      </c>
      <c r="AH372">
        <v>27</v>
      </c>
      <c r="AI372">
        <v>34</v>
      </c>
      <c r="AJ372">
        <v>1</v>
      </c>
      <c r="AK372">
        <v>31</v>
      </c>
      <c r="AL372" t="s">
        <v>368</v>
      </c>
      <c r="AM372" t="s">
        <v>369</v>
      </c>
      <c r="AN372" t="s">
        <v>370</v>
      </c>
      <c r="AO372" t="s">
        <v>4794</v>
      </c>
      <c r="AP372" t="s">
        <v>74</v>
      </c>
      <c r="AQ372" t="s">
        <v>74</v>
      </c>
      <c r="AR372" t="s">
        <v>4796</v>
      </c>
      <c r="AS372" t="s">
        <v>4797</v>
      </c>
      <c r="AT372" t="s">
        <v>6991</v>
      </c>
      <c r="AU372">
        <v>2012</v>
      </c>
      <c r="AV372">
        <v>321</v>
      </c>
      <c r="AW372" t="s">
        <v>74</v>
      </c>
      <c r="AX372" t="s">
        <v>74</v>
      </c>
      <c r="AY372" t="s">
        <v>74</v>
      </c>
      <c r="AZ372" t="s">
        <v>74</v>
      </c>
      <c r="BA372" t="s">
        <v>74</v>
      </c>
      <c r="BB372">
        <v>74</v>
      </c>
      <c r="BC372">
        <v>80</v>
      </c>
      <c r="BD372" t="s">
        <v>74</v>
      </c>
      <c r="BE372" t="s">
        <v>7221</v>
      </c>
      <c r="BF372" t="str">
        <f>HYPERLINK("http://dx.doi.org/10.1016/j.epsl.2011.12.040","http://dx.doi.org/10.1016/j.epsl.2011.12.040")</f>
        <v>http://dx.doi.org/10.1016/j.epsl.2011.12.040</v>
      </c>
      <c r="BG372" t="s">
        <v>74</v>
      </c>
      <c r="BH372" t="s">
        <v>74</v>
      </c>
      <c r="BI372">
        <v>7</v>
      </c>
      <c r="BJ372" t="s">
        <v>1134</v>
      </c>
      <c r="BK372" t="s">
        <v>99</v>
      </c>
      <c r="BL372" t="s">
        <v>1134</v>
      </c>
      <c r="BM372" t="s">
        <v>7222</v>
      </c>
      <c r="BN372" t="s">
        <v>74</v>
      </c>
      <c r="BO372" t="s">
        <v>74</v>
      </c>
      <c r="BP372" t="s">
        <v>74</v>
      </c>
      <c r="BQ372" t="s">
        <v>74</v>
      </c>
      <c r="BR372" t="s">
        <v>101</v>
      </c>
      <c r="BS372" t="s">
        <v>7223</v>
      </c>
      <c r="BT372" t="str">
        <f>HYPERLINK("https%3A%2F%2Fwww.webofscience.com%2Fwos%2Fwoscc%2Ffull-record%2FWOS:000301909200008","View Full Record in Web of Science")</f>
        <v>View Full Record in Web of Science</v>
      </c>
    </row>
    <row r="373" spans="1:72" x14ac:dyDescent="0.15">
      <c r="A373" t="s">
        <v>72</v>
      </c>
      <c r="B373" t="s">
        <v>7224</v>
      </c>
      <c r="C373" t="s">
        <v>74</v>
      </c>
      <c r="D373" t="s">
        <v>74</v>
      </c>
      <c r="E373" t="s">
        <v>74</v>
      </c>
      <c r="F373" t="s">
        <v>7225</v>
      </c>
      <c r="G373" t="s">
        <v>74</v>
      </c>
      <c r="H373" t="s">
        <v>74</v>
      </c>
      <c r="I373" t="s">
        <v>7226</v>
      </c>
      <c r="J373" t="s">
        <v>3732</v>
      </c>
      <c r="K373" t="s">
        <v>74</v>
      </c>
      <c r="L373" t="s">
        <v>74</v>
      </c>
      <c r="M373" t="s">
        <v>78</v>
      </c>
      <c r="N373" t="s">
        <v>79</v>
      </c>
      <c r="O373" t="s">
        <v>74</v>
      </c>
      <c r="P373" t="s">
        <v>74</v>
      </c>
      <c r="Q373" t="s">
        <v>74</v>
      </c>
      <c r="R373" t="s">
        <v>74</v>
      </c>
      <c r="S373" t="s">
        <v>74</v>
      </c>
      <c r="T373" t="s">
        <v>7227</v>
      </c>
      <c r="U373" t="s">
        <v>7228</v>
      </c>
      <c r="V373" t="s">
        <v>7229</v>
      </c>
      <c r="W373" t="s">
        <v>7230</v>
      </c>
      <c r="X373" t="s">
        <v>2596</v>
      </c>
      <c r="Y373" t="s">
        <v>7231</v>
      </c>
      <c r="Z373" t="s">
        <v>7232</v>
      </c>
      <c r="AA373" t="s">
        <v>7233</v>
      </c>
      <c r="AB373" t="s">
        <v>7234</v>
      </c>
      <c r="AC373" t="s">
        <v>7235</v>
      </c>
      <c r="AD373" t="s">
        <v>7235</v>
      </c>
      <c r="AE373" t="s">
        <v>7236</v>
      </c>
      <c r="AF373" t="s">
        <v>74</v>
      </c>
      <c r="AG373">
        <v>81</v>
      </c>
      <c r="AH373">
        <v>7</v>
      </c>
      <c r="AI373">
        <v>8</v>
      </c>
      <c r="AJ373">
        <v>0</v>
      </c>
      <c r="AK373">
        <v>37</v>
      </c>
      <c r="AL373" t="s">
        <v>627</v>
      </c>
      <c r="AM373" t="s">
        <v>628</v>
      </c>
      <c r="AN373" t="s">
        <v>629</v>
      </c>
      <c r="AO373" t="s">
        <v>3744</v>
      </c>
      <c r="AP373" t="s">
        <v>3745</v>
      </c>
      <c r="AQ373" t="s">
        <v>74</v>
      </c>
      <c r="AR373" t="s">
        <v>3746</v>
      </c>
      <c r="AS373" t="s">
        <v>3747</v>
      </c>
      <c r="AT373" t="s">
        <v>6892</v>
      </c>
      <c r="AU373">
        <v>2012</v>
      </c>
      <c r="AV373">
        <v>22</v>
      </c>
      <c r="AW373">
        <v>2</v>
      </c>
      <c r="AX373" t="s">
        <v>74</v>
      </c>
      <c r="AY373" t="s">
        <v>74</v>
      </c>
      <c r="AZ373" t="s">
        <v>74</v>
      </c>
      <c r="BA373" t="s">
        <v>74</v>
      </c>
      <c r="BB373">
        <v>668</v>
      </c>
      <c r="BC373">
        <v>684</v>
      </c>
      <c r="BD373" t="s">
        <v>74</v>
      </c>
      <c r="BE373" t="s">
        <v>7237</v>
      </c>
      <c r="BF373" t="str">
        <f>HYPERLINK("http://dx.doi.org/10.1890/11-0102.1","http://dx.doi.org/10.1890/11-0102.1")</f>
        <v>http://dx.doi.org/10.1890/11-0102.1</v>
      </c>
      <c r="BG373" t="s">
        <v>74</v>
      </c>
      <c r="BH373" t="s">
        <v>74</v>
      </c>
      <c r="BI373">
        <v>17</v>
      </c>
      <c r="BJ373" t="s">
        <v>3749</v>
      </c>
      <c r="BK373" t="s">
        <v>99</v>
      </c>
      <c r="BL373" t="s">
        <v>1259</v>
      </c>
      <c r="BM373" t="s">
        <v>7238</v>
      </c>
      <c r="BN373">
        <v>22611863</v>
      </c>
      <c r="BO373" t="s">
        <v>74</v>
      </c>
      <c r="BP373" t="s">
        <v>74</v>
      </c>
      <c r="BQ373" t="s">
        <v>74</v>
      </c>
      <c r="BR373" t="s">
        <v>101</v>
      </c>
      <c r="BS373" t="s">
        <v>7239</v>
      </c>
      <c r="BT373" t="str">
        <f>HYPERLINK("https%3A%2F%2Fwww.webofscience.com%2Fwos%2Fwoscc%2Ffull-record%2FWOS:000302516900023","View Full Record in Web of Science")</f>
        <v>View Full Record in Web of Science</v>
      </c>
    </row>
    <row r="374" spans="1:72" x14ac:dyDescent="0.15">
      <c r="A374" t="s">
        <v>72</v>
      </c>
      <c r="B374" t="s">
        <v>7240</v>
      </c>
      <c r="C374" t="s">
        <v>74</v>
      </c>
      <c r="D374" t="s">
        <v>74</v>
      </c>
      <c r="E374" t="s">
        <v>74</v>
      </c>
      <c r="F374" t="s">
        <v>7241</v>
      </c>
      <c r="G374" t="s">
        <v>74</v>
      </c>
      <c r="H374" t="s">
        <v>74</v>
      </c>
      <c r="I374" t="s">
        <v>7242</v>
      </c>
      <c r="J374" t="s">
        <v>7243</v>
      </c>
      <c r="K374" t="s">
        <v>74</v>
      </c>
      <c r="L374" t="s">
        <v>74</v>
      </c>
      <c r="M374" t="s">
        <v>78</v>
      </c>
      <c r="N374" t="s">
        <v>79</v>
      </c>
      <c r="O374" t="s">
        <v>74</v>
      </c>
      <c r="P374" t="s">
        <v>74</v>
      </c>
      <c r="Q374" t="s">
        <v>74</v>
      </c>
      <c r="R374" t="s">
        <v>74</v>
      </c>
      <c r="S374" t="s">
        <v>74</v>
      </c>
      <c r="T374" t="s">
        <v>7244</v>
      </c>
      <c r="U374" t="s">
        <v>7245</v>
      </c>
      <c r="V374" t="s">
        <v>7246</v>
      </c>
      <c r="W374" t="s">
        <v>7247</v>
      </c>
      <c r="X374" t="s">
        <v>7248</v>
      </c>
      <c r="Y374" t="s">
        <v>7249</v>
      </c>
      <c r="Z374" t="s">
        <v>7250</v>
      </c>
      <c r="AA374" t="s">
        <v>74</v>
      </c>
      <c r="AB374" t="s">
        <v>74</v>
      </c>
      <c r="AC374" t="s">
        <v>7251</v>
      </c>
      <c r="AD374" t="s">
        <v>7251</v>
      </c>
      <c r="AE374" t="s">
        <v>7252</v>
      </c>
      <c r="AF374" t="s">
        <v>74</v>
      </c>
      <c r="AG374">
        <v>28</v>
      </c>
      <c r="AH374">
        <v>4</v>
      </c>
      <c r="AI374">
        <v>5</v>
      </c>
      <c r="AJ374">
        <v>0</v>
      </c>
      <c r="AK374">
        <v>19</v>
      </c>
      <c r="AL374" t="s">
        <v>627</v>
      </c>
      <c r="AM374" t="s">
        <v>628</v>
      </c>
      <c r="AN374" t="s">
        <v>629</v>
      </c>
      <c r="AO374" t="s">
        <v>7253</v>
      </c>
      <c r="AP374" t="s">
        <v>7254</v>
      </c>
      <c r="AQ374" t="s">
        <v>74</v>
      </c>
      <c r="AR374" t="s">
        <v>7255</v>
      </c>
      <c r="AS374" t="s">
        <v>7256</v>
      </c>
      <c r="AT374" t="s">
        <v>6892</v>
      </c>
      <c r="AU374">
        <v>2012</v>
      </c>
      <c r="AV374">
        <v>27</v>
      </c>
      <c r="AW374">
        <v>2</v>
      </c>
      <c r="AX374" t="s">
        <v>74</v>
      </c>
      <c r="AY374" t="s">
        <v>74</v>
      </c>
      <c r="AZ374" t="s">
        <v>74</v>
      </c>
      <c r="BA374" t="s">
        <v>74</v>
      </c>
      <c r="BB374">
        <v>359</v>
      </c>
      <c r="BC374">
        <v>367</v>
      </c>
      <c r="BD374" t="s">
        <v>74</v>
      </c>
      <c r="BE374" t="s">
        <v>7257</v>
      </c>
      <c r="BF374" t="str">
        <f>HYPERLINK("http://dx.doi.org/10.1007/s11284-011-0907-3","http://dx.doi.org/10.1007/s11284-011-0907-3")</f>
        <v>http://dx.doi.org/10.1007/s11284-011-0907-3</v>
      </c>
      <c r="BG374" t="s">
        <v>74</v>
      </c>
      <c r="BH374" t="s">
        <v>74</v>
      </c>
      <c r="BI374">
        <v>9</v>
      </c>
      <c r="BJ374" t="s">
        <v>2422</v>
      </c>
      <c r="BK374" t="s">
        <v>99</v>
      </c>
      <c r="BL374" t="s">
        <v>1259</v>
      </c>
      <c r="BM374" t="s">
        <v>7258</v>
      </c>
      <c r="BN374" t="s">
        <v>74</v>
      </c>
      <c r="BO374" t="s">
        <v>74</v>
      </c>
      <c r="BP374" t="s">
        <v>74</v>
      </c>
      <c r="BQ374" t="s">
        <v>74</v>
      </c>
      <c r="BR374" t="s">
        <v>101</v>
      </c>
      <c r="BS374" t="s">
        <v>7259</v>
      </c>
      <c r="BT374" t="str">
        <f>HYPERLINK("https%3A%2F%2Fwww.webofscience.com%2Fwos%2Fwoscc%2Ffull-record%2FWOS:000302149700012","View Full Record in Web of Science")</f>
        <v>View Full Record in Web of Science</v>
      </c>
    </row>
    <row r="375" spans="1:72" x14ac:dyDescent="0.15">
      <c r="A375" t="s">
        <v>72</v>
      </c>
      <c r="B375" t="s">
        <v>7260</v>
      </c>
      <c r="C375" t="s">
        <v>74</v>
      </c>
      <c r="D375" t="s">
        <v>74</v>
      </c>
      <c r="E375" t="s">
        <v>74</v>
      </c>
      <c r="F375" t="s">
        <v>7261</v>
      </c>
      <c r="G375" t="s">
        <v>74</v>
      </c>
      <c r="H375" t="s">
        <v>74</v>
      </c>
      <c r="I375" t="s">
        <v>7262</v>
      </c>
      <c r="J375" t="s">
        <v>7263</v>
      </c>
      <c r="K375" t="s">
        <v>74</v>
      </c>
      <c r="L375" t="s">
        <v>74</v>
      </c>
      <c r="M375" t="s">
        <v>78</v>
      </c>
      <c r="N375" t="s">
        <v>873</v>
      </c>
      <c r="O375" t="s">
        <v>74</v>
      </c>
      <c r="P375" t="s">
        <v>74</v>
      </c>
      <c r="Q375" t="s">
        <v>74</v>
      </c>
      <c r="R375" t="s">
        <v>74</v>
      </c>
      <c r="S375" t="s">
        <v>74</v>
      </c>
      <c r="T375" t="s">
        <v>74</v>
      </c>
      <c r="U375" t="s">
        <v>74</v>
      </c>
      <c r="V375" t="s">
        <v>74</v>
      </c>
      <c r="W375" t="s">
        <v>7264</v>
      </c>
      <c r="X375" t="s">
        <v>7265</v>
      </c>
      <c r="Y375" t="s">
        <v>7266</v>
      </c>
      <c r="Z375" t="s">
        <v>74</v>
      </c>
      <c r="AA375" t="s">
        <v>7267</v>
      </c>
      <c r="AB375" t="s">
        <v>7268</v>
      </c>
      <c r="AC375" t="s">
        <v>74</v>
      </c>
      <c r="AD375" t="s">
        <v>74</v>
      </c>
      <c r="AE375" t="s">
        <v>74</v>
      </c>
      <c r="AF375" t="s">
        <v>74</v>
      </c>
      <c r="AG375">
        <v>1</v>
      </c>
      <c r="AH375">
        <v>0</v>
      </c>
      <c r="AI375">
        <v>0</v>
      </c>
      <c r="AJ375">
        <v>1</v>
      </c>
      <c r="AK375">
        <v>18</v>
      </c>
      <c r="AL375" t="s">
        <v>627</v>
      </c>
      <c r="AM375" t="s">
        <v>628</v>
      </c>
      <c r="AN375" t="s">
        <v>629</v>
      </c>
      <c r="AO375" t="s">
        <v>7269</v>
      </c>
      <c r="AP375" t="s">
        <v>7270</v>
      </c>
      <c r="AQ375" t="s">
        <v>74</v>
      </c>
      <c r="AR375" t="s">
        <v>7271</v>
      </c>
      <c r="AS375" t="s">
        <v>7272</v>
      </c>
      <c r="AT375" t="s">
        <v>6892</v>
      </c>
      <c r="AU375">
        <v>2012</v>
      </c>
      <c r="AV375">
        <v>18</v>
      </c>
      <c r="AW375">
        <v>3</v>
      </c>
      <c r="AX375" t="s">
        <v>74</v>
      </c>
      <c r="AY375" t="s">
        <v>74</v>
      </c>
      <c r="AZ375" t="s">
        <v>74</v>
      </c>
      <c r="BA375" t="s">
        <v>74</v>
      </c>
      <c r="BB375">
        <v>1196</v>
      </c>
      <c r="BC375">
        <v>1196</v>
      </c>
      <c r="BD375" t="s">
        <v>74</v>
      </c>
      <c r="BE375" t="s">
        <v>7273</v>
      </c>
      <c r="BF375" t="str">
        <f>HYPERLINK("http://dx.doi.org/10.1111/j.1365-2486.2012.02646.x","http://dx.doi.org/10.1111/j.1365-2486.2012.02646.x")</f>
        <v>http://dx.doi.org/10.1111/j.1365-2486.2012.02646.x</v>
      </c>
      <c r="BG375" t="s">
        <v>74</v>
      </c>
      <c r="BH375" t="s">
        <v>74</v>
      </c>
      <c r="BI375">
        <v>1</v>
      </c>
      <c r="BJ375" t="s">
        <v>1783</v>
      </c>
      <c r="BK375" t="s">
        <v>99</v>
      </c>
      <c r="BL375" t="s">
        <v>1784</v>
      </c>
      <c r="BM375" t="s">
        <v>7274</v>
      </c>
      <c r="BN375" t="s">
        <v>74</v>
      </c>
      <c r="BO375" t="s">
        <v>217</v>
      </c>
      <c r="BP375" t="s">
        <v>74</v>
      </c>
      <c r="BQ375" t="s">
        <v>74</v>
      </c>
      <c r="BR375" t="s">
        <v>101</v>
      </c>
      <c r="BS375" t="s">
        <v>7275</v>
      </c>
      <c r="BT375" t="str">
        <f>HYPERLINK("https%3A%2F%2Fwww.webofscience.com%2Fwos%2Fwoscc%2Ffull-record%2FWOS:000300671600033","View Full Record in Web of Science")</f>
        <v>View Full Record in Web of Science</v>
      </c>
    </row>
    <row r="376" spans="1:72" x14ac:dyDescent="0.15">
      <c r="A376" t="s">
        <v>72</v>
      </c>
      <c r="B376" t="s">
        <v>7276</v>
      </c>
      <c r="C376" t="s">
        <v>74</v>
      </c>
      <c r="D376" t="s">
        <v>74</v>
      </c>
      <c r="E376" t="s">
        <v>74</v>
      </c>
      <c r="F376" t="s">
        <v>7277</v>
      </c>
      <c r="G376" t="s">
        <v>74</v>
      </c>
      <c r="H376" t="s">
        <v>74</v>
      </c>
      <c r="I376" t="s">
        <v>7278</v>
      </c>
      <c r="J376" t="s">
        <v>3865</v>
      </c>
      <c r="K376" t="s">
        <v>74</v>
      </c>
      <c r="L376" t="s">
        <v>74</v>
      </c>
      <c r="M376" t="s">
        <v>78</v>
      </c>
      <c r="N376" t="s">
        <v>79</v>
      </c>
      <c r="O376" t="s">
        <v>74</v>
      </c>
      <c r="P376" t="s">
        <v>74</v>
      </c>
      <c r="Q376" t="s">
        <v>74</v>
      </c>
      <c r="R376" t="s">
        <v>74</v>
      </c>
      <c r="S376" t="s">
        <v>74</v>
      </c>
      <c r="T376" t="s">
        <v>74</v>
      </c>
      <c r="U376" t="s">
        <v>7279</v>
      </c>
      <c r="V376" t="s">
        <v>7280</v>
      </c>
      <c r="W376" t="s">
        <v>7281</v>
      </c>
      <c r="X376" t="s">
        <v>7282</v>
      </c>
      <c r="Y376" t="s">
        <v>7283</v>
      </c>
      <c r="Z376" t="s">
        <v>7284</v>
      </c>
      <c r="AA376" t="s">
        <v>7285</v>
      </c>
      <c r="AB376" t="s">
        <v>7286</v>
      </c>
      <c r="AC376" t="s">
        <v>7287</v>
      </c>
      <c r="AD376" t="s">
        <v>7288</v>
      </c>
      <c r="AE376" t="s">
        <v>7289</v>
      </c>
      <c r="AF376" t="s">
        <v>74</v>
      </c>
      <c r="AG376">
        <v>58</v>
      </c>
      <c r="AH376">
        <v>65</v>
      </c>
      <c r="AI376">
        <v>67</v>
      </c>
      <c r="AJ376">
        <v>0</v>
      </c>
      <c r="AK376">
        <v>20</v>
      </c>
      <c r="AL376" t="s">
        <v>3895</v>
      </c>
      <c r="AM376" t="s">
        <v>3896</v>
      </c>
      <c r="AN376" t="s">
        <v>3897</v>
      </c>
      <c r="AO376" t="s">
        <v>3876</v>
      </c>
      <c r="AP376" t="s">
        <v>74</v>
      </c>
      <c r="AQ376" t="s">
        <v>74</v>
      </c>
      <c r="AR376" t="s">
        <v>3878</v>
      </c>
      <c r="AS376" t="s">
        <v>3879</v>
      </c>
      <c r="AT376" t="s">
        <v>6892</v>
      </c>
      <c r="AU376">
        <v>2012</v>
      </c>
      <c r="AV376">
        <v>47</v>
      </c>
      <c r="AW376">
        <v>3</v>
      </c>
      <c r="AX376" t="s">
        <v>74</v>
      </c>
      <c r="AY376" t="s">
        <v>74</v>
      </c>
      <c r="AZ376" t="s">
        <v>74</v>
      </c>
      <c r="BA376" t="s">
        <v>74</v>
      </c>
      <c r="BB376">
        <v>374</v>
      </c>
      <c r="BC376">
        <v>386</v>
      </c>
      <c r="BD376" t="s">
        <v>74</v>
      </c>
      <c r="BE376" t="s">
        <v>7290</v>
      </c>
      <c r="BF376" t="str">
        <f>HYPERLINK("http://dx.doi.org/10.1111/j.1945-5100.2012.01341.x","http://dx.doi.org/10.1111/j.1945-5100.2012.01341.x")</f>
        <v>http://dx.doi.org/10.1111/j.1945-5100.2012.01341.x</v>
      </c>
      <c r="BG376" t="s">
        <v>74</v>
      </c>
      <c r="BH376" t="s">
        <v>74</v>
      </c>
      <c r="BI376">
        <v>13</v>
      </c>
      <c r="BJ376" t="s">
        <v>1134</v>
      </c>
      <c r="BK376" t="s">
        <v>99</v>
      </c>
      <c r="BL376" t="s">
        <v>1134</v>
      </c>
      <c r="BM376" t="s">
        <v>7291</v>
      </c>
      <c r="BN376" t="s">
        <v>74</v>
      </c>
      <c r="BO376" t="s">
        <v>217</v>
      </c>
      <c r="BP376" t="s">
        <v>74</v>
      </c>
      <c r="BQ376" t="s">
        <v>74</v>
      </c>
      <c r="BR376" t="s">
        <v>101</v>
      </c>
      <c r="BS376" t="s">
        <v>7292</v>
      </c>
      <c r="BT376" t="str">
        <f>HYPERLINK("https%3A%2F%2Fwww.webofscience.com%2Fwos%2Fwoscc%2Ffull-record%2FWOS:000302073300005","View Full Record in Web of Science")</f>
        <v>View Full Record in Web of Science</v>
      </c>
    </row>
    <row r="377" spans="1:72" x14ac:dyDescent="0.15">
      <c r="A377" t="s">
        <v>72</v>
      </c>
      <c r="B377" t="s">
        <v>7293</v>
      </c>
      <c r="C377" t="s">
        <v>74</v>
      </c>
      <c r="D377" t="s">
        <v>74</v>
      </c>
      <c r="E377" t="s">
        <v>74</v>
      </c>
      <c r="F377" t="s">
        <v>7294</v>
      </c>
      <c r="G377" t="s">
        <v>74</v>
      </c>
      <c r="H377" t="s">
        <v>74</v>
      </c>
      <c r="I377" t="s">
        <v>7295</v>
      </c>
      <c r="J377" t="s">
        <v>3865</v>
      </c>
      <c r="K377" t="s">
        <v>74</v>
      </c>
      <c r="L377" t="s">
        <v>74</v>
      </c>
      <c r="M377" t="s">
        <v>78</v>
      </c>
      <c r="N377" t="s">
        <v>79</v>
      </c>
      <c r="O377" t="s">
        <v>74</v>
      </c>
      <c r="P377" t="s">
        <v>74</v>
      </c>
      <c r="Q377" t="s">
        <v>74</v>
      </c>
      <c r="R377" t="s">
        <v>74</v>
      </c>
      <c r="S377" t="s">
        <v>74</v>
      </c>
      <c r="T377" t="s">
        <v>74</v>
      </c>
      <c r="U377" t="s">
        <v>7296</v>
      </c>
      <c r="V377" t="s">
        <v>7297</v>
      </c>
      <c r="W377" t="s">
        <v>7298</v>
      </c>
      <c r="X377" t="s">
        <v>7299</v>
      </c>
      <c r="Y377" t="s">
        <v>7300</v>
      </c>
      <c r="Z377" t="s">
        <v>7301</v>
      </c>
      <c r="AA377" t="s">
        <v>74</v>
      </c>
      <c r="AB377" t="s">
        <v>74</v>
      </c>
      <c r="AC377" t="s">
        <v>7302</v>
      </c>
      <c r="AD377" t="s">
        <v>3874</v>
      </c>
      <c r="AE377" t="s">
        <v>7303</v>
      </c>
      <c r="AF377" t="s">
        <v>74</v>
      </c>
      <c r="AG377">
        <v>21</v>
      </c>
      <c r="AH377">
        <v>1</v>
      </c>
      <c r="AI377">
        <v>1</v>
      </c>
      <c r="AJ377">
        <v>0</v>
      </c>
      <c r="AK377">
        <v>3</v>
      </c>
      <c r="AL377" t="s">
        <v>627</v>
      </c>
      <c r="AM377" t="s">
        <v>628</v>
      </c>
      <c r="AN377" t="s">
        <v>629</v>
      </c>
      <c r="AO377" t="s">
        <v>3876</v>
      </c>
      <c r="AP377" t="s">
        <v>3877</v>
      </c>
      <c r="AQ377" t="s">
        <v>74</v>
      </c>
      <c r="AR377" t="s">
        <v>3878</v>
      </c>
      <c r="AS377" t="s">
        <v>3879</v>
      </c>
      <c r="AT377" t="s">
        <v>6892</v>
      </c>
      <c r="AU377">
        <v>2012</v>
      </c>
      <c r="AV377">
        <v>47</v>
      </c>
      <c r="AW377">
        <v>3</v>
      </c>
      <c r="AX377" t="s">
        <v>74</v>
      </c>
      <c r="AY377" t="s">
        <v>74</v>
      </c>
      <c r="AZ377" t="s">
        <v>74</v>
      </c>
      <c r="BA377" t="s">
        <v>74</v>
      </c>
      <c r="BB377">
        <v>416</v>
      </c>
      <c r="BC377">
        <v>433</v>
      </c>
      <c r="BD377" t="s">
        <v>74</v>
      </c>
      <c r="BE377" t="s">
        <v>7304</v>
      </c>
      <c r="BF377" t="str">
        <f>HYPERLINK("http://dx.doi.org/10.1111/j.1945-5100.2012.01333.x","http://dx.doi.org/10.1111/j.1945-5100.2012.01333.x")</f>
        <v>http://dx.doi.org/10.1111/j.1945-5100.2012.01333.x</v>
      </c>
      <c r="BG377" t="s">
        <v>74</v>
      </c>
      <c r="BH377" t="s">
        <v>74</v>
      </c>
      <c r="BI377">
        <v>18</v>
      </c>
      <c r="BJ377" t="s">
        <v>1134</v>
      </c>
      <c r="BK377" t="s">
        <v>99</v>
      </c>
      <c r="BL377" t="s">
        <v>1134</v>
      </c>
      <c r="BM377" t="s">
        <v>7291</v>
      </c>
      <c r="BN377" t="s">
        <v>74</v>
      </c>
      <c r="BO377" t="s">
        <v>217</v>
      </c>
      <c r="BP377" t="s">
        <v>74</v>
      </c>
      <c r="BQ377" t="s">
        <v>74</v>
      </c>
      <c r="BR377" t="s">
        <v>101</v>
      </c>
      <c r="BS377" t="s">
        <v>7305</v>
      </c>
      <c r="BT377" t="str">
        <f>HYPERLINK("https%3A%2F%2Fwww.webofscience.com%2Fwos%2Fwoscc%2Ffull-record%2FWOS:000302073300009","View Full Record in Web of Science")</f>
        <v>View Full Record in Web of Science</v>
      </c>
    </row>
    <row r="378" spans="1:72" x14ac:dyDescent="0.15">
      <c r="A378" t="s">
        <v>72</v>
      </c>
      <c r="B378" t="s">
        <v>7306</v>
      </c>
      <c r="C378" t="s">
        <v>74</v>
      </c>
      <c r="D378" t="s">
        <v>74</v>
      </c>
      <c r="E378" t="s">
        <v>74</v>
      </c>
      <c r="F378" t="s">
        <v>7307</v>
      </c>
      <c r="G378" t="s">
        <v>74</v>
      </c>
      <c r="H378" t="s">
        <v>74</v>
      </c>
      <c r="I378" t="s">
        <v>7308</v>
      </c>
      <c r="J378" t="s">
        <v>7309</v>
      </c>
      <c r="K378" t="s">
        <v>74</v>
      </c>
      <c r="L378" t="s">
        <v>74</v>
      </c>
      <c r="M378" t="s">
        <v>78</v>
      </c>
      <c r="N378" t="s">
        <v>79</v>
      </c>
      <c r="O378" t="s">
        <v>74</v>
      </c>
      <c r="P378" t="s">
        <v>74</v>
      </c>
      <c r="Q378" t="s">
        <v>74</v>
      </c>
      <c r="R378" t="s">
        <v>74</v>
      </c>
      <c r="S378" t="s">
        <v>74</v>
      </c>
      <c r="T378" t="s">
        <v>7310</v>
      </c>
      <c r="U378" t="s">
        <v>7311</v>
      </c>
      <c r="V378" t="s">
        <v>7312</v>
      </c>
      <c r="W378" t="s">
        <v>7313</v>
      </c>
      <c r="X378" t="s">
        <v>7314</v>
      </c>
      <c r="Y378" t="s">
        <v>7315</v>
      </c>
      <c r="Z378" t="s">
        <v>7316</v>
      </c>
      <c r="AA378" t="s">
        <v>7317</v>
      </c>
      <c r="AB378" t="s">
        <v>7318</v>
      </c>
      <c r="AC378" t="s">
        <v>7319</v>
      </c>
      <c r="AD378" t="s">
        <v>7319</v>
      </c>
      <c r="AE378" t="s">
        <v>7320</v>
      </c>
      <c r="AF378" t="s">
        <v>74</v>
      </c>
      <c r="AG378">
        <v>45</v>
      </c>
      <c r="AH378">
        <v>11</v>
      </c>
      <c r="AI378">
        <v>11</v>
      </c>
      <c r="AJ378">
        <v>0</v>
      </c>
      <c r="AK378">
        <v>31</v>
      </c>
      <c r="AL378" t="s">
        <v>2414</v>
      </c>
      <c r="AM378" t="s">
        <v>2415</v>
      </c>
      <c r="AN378" t="s">
        <v>2416</v>
      </c>
      <c r="AO378" t="s">
        <v>7321</v>
      </c>
      <c r="AP378" t="s">
        <v>7322</v>
      </c>
      <c r="AQ378" t="s">
        <v>74</v>
      </c>
      <c r="AR378" t="s">
        <v>7323</v>
      </c>
      <c r="AS378" t="s">
        <v>7324</v>
      </c>
      <c r="AT378" t="s">
        <v>6892</v>
      </c>
      <c r="AU378">
        <v>2012</v>
      </c>
      <c r="AV378">
        <v>62</v>
      </c>
      <c r="AW378">
        <v>3</v>
      </c>
      <c r="AX378" t="s">
        <v>74</v>
      </c>
      <c r="AY378" t="s">
        <v>74</v>
      </c>
      <c r="AZ378" t="s">
        <v>74</v>
      </c>
      <c r="BA378" t="s">
        <v>74</v>
      </c>
      <c r="BB378">
        <v>335</v>
      </c>
      <c r="BC378">
        <v>354</v>
      </c>
      <c r="BD378" t="s">
        <v>74</v>
      </c>
      <c r="BE378" t="s">
        <v>7325</v>
      </c>
      <c r="BF378" t="str">
        <f>HYPERLINK("http://dx.doi.org/10.1007/s10236-011-0507-3","http://dx.doi.org/10.1007/s10236-011-0507-3")</f>
        <v>http://dx.doi.org/10.1007/s10236-011-0507-3</v>
      </c>
      <c r="BG378" t="s">
        <v>74</v>
      </c>
      <c r="BH378" t="s">
        <v>74</v>
      </c>
      <c r="BI378">
        <v>20</v>
      </c>
      <c r="BJ378" t="s">
        <v>350</v>
      </c>
      <c r="BK378" t="s">
        <v>99</v>
      </c>
      <c r="BL378" t="s">
        <v>350</v>
      </c>
      <c r="BM378" t="s">
        <v>7326</v>
      </c>
      <c r="BN378" t="s">
        <v>74</v>
      </c>
      <c r="BO378" t="s">
        <v>74</v>
      </c>
      <c r="BP378" t="s">
        <v>74</v>
      </c>
      <c r="BQ378" t="s">
        <v>74</v>
      </c>
      <c r="BR378" t="s">
        <v>101</v>
      </c>
      <c r="BS378" t="s">
        <v>7327</v>
      </c>
      <c r="BT378" t="str">
        <f>HYPERLINK("https%3A%2F%2Fwww.webofscience.com%2Fwos%2Fwoscc%2Ffull-record%2FWOS:000302104400001","View Full Record in Web of Science")</f>
        <v>View Full Record in Web of Science</v>
      </c>
    </row>
    <row r="379" spans="1:72" x14ac:dyDescent="0.15">
      <c r="A379" t="s">
        <v>72</v>
      </c>
      <c r="B379" t="s">
        <v>4325</v>
      </c>
      <c r="C379" t="s">
        <v>74</v>
      </c>
      <c r="D379" t="s">
        <v>74</v>
      </c>
      <c r="E379" t="s">
        <v>74</v>
      </c>
      <c r="F379" t="s">
        <v>7328</v>
      </c>
      <c r="G379" t="s">
        <v>74</v>
      </c>
      <c r="H379" t="s">
        <v>74</v>
      </c>
      <c r="I379" t="s">
        <v>7329</v>
      </c>
      <c r="J379" t="s">
        <v>7330</v>
      </c>
      <c r="K379" t="s">
        <v>74</v>
      </c>
      <c r="L379" t="s">
        <v>74</v>
      </c>
      <c r="M379" t="s">
        <v>78</v>
      </c>
      <c r="N379" t="s">
        <v>79</v>
      </c>
      <c r="O379" t="s">
        <v>74</v>
      </c>
      <c r="P379" t="s">
        <v>74</v>
      </c>
      <c r="Q379" t="s">
        <v>74</v>
      </c>
      <c r="R379" t="s">
        <v>74</v>
      </c>
      <c r="S379" t="s">
        <v>74</v>
      </c>
      <c r="T379" t="s">
        <v>7331</v>
      </c>
      <c r="U379" t="s">
        <v>7332</v>
      </c>
      <c r="V379" t="s">
        <v>7333</v>
      </c>
      <c r="W379" t="s">
        <v>7334</v>
      </c>
      <c r="X379" t="s">
        <v>7335</v>
      </c>
      <c r="Y379" t="s">
        <v>7336</v>
      </c>
      <c r="Z379" t="s">
        <v>4333</v>
      </c>
      <c r="AA379" t="s">
        <v>74</v>
      </c>
      <c r="AB379" t="s">
        <v>74</v>
      </c>
      <c r="AC379" t="s">
        <v>4334</v>
      </c>
      <c r="AD379" t="s">
        <v>4335</v>
      </c>
      <c r="AE379" t="s">
        <v>7337</v>
      </c>
      <c r="AF379" t="s">
        <v>74</v>
      </c>
      <c r="AG379">
        <v>56</v>
      </c>
      <c r="AH379">
        <v>2</v>
      </c>
      <c r="AI379">
        <v>2</v>
      </c>
      <c r="AJ379">
        <v>1</v>
      </c>
      <c r="AK379">
        <v>12</v>
      </c>
      <c r="AL379" t="s">
        <v>1548</v>
      </c>
      <c r="AM379" t="s">
        <v>656</v>
      </c>
      <c r="AN379" t="s">
        <v>4025</v>
      </c>
      <c r="AO379" t="s">
        <v>7338</v>
      </c>
      <c r="AP379" t="s">
        <v>74</v>
      </c>
      <c r="AQ379" t="s">
        <v>74</v>
      </c>
      <c r="AR379" t="s">
        <v>7339</v>
      </c>
      <c r="AS379" t="s">
        <v>7340</v>
      </c>
      <c r="AT379" t="s">
        <v>7341</v>
      </c>
      <c r="AU379">
        <v>2012</v>
      </c>
      <c r="AV379">
        <v>23</v>
      </c>
      <c r="AW379">
        <v>1</v>
      </c>
      <c r="AX379" t="s">
        <v>74</v>
      </c>
      <c r="AY379" t="s">
        <v>74</v>
      </c>
      <c r="AZ379" t="s">
        <v>74</v>
      </c>
      <c r="BA379" t="s">
        <v>74</v>
      </c>
      <c r="BB379">
        <v>77</v>
      </c>
      <c r="BC379">
        <v>82</v>
      </c>
      <c r="BD379" t="s">
        <v>74</v>
      </c>
      <c r="BE379" t="s">
        <v>74</v>
      </c>
      <c r="BF379" t="s">
        <v>74</v>
      </c>
      <c r="BG379" t="s">
        <v>74</v>
      </c>
      <c r="BH379" t="s">
        <v>74</v>
      </c>
      <c r="BI379">
        <v>6</v>
      </c>
      <c r="BJ379" t="s">
        <v>7342</v>
      </c>
      <c r="BK379" t="s">
        <v>99</v>
      </c>
      <c r="BL379" t="s">
        <v>7342</v>
      </c>
      <c r="BM379" t="s">
        <v>7343</v>
      </c>
      <c r="BN379">
        <v>22441095</v>
      </c>
      <c r="BO379" t="s">
        <v>638</v>
      </c>
      <c r="BP379" t="s">
        <v>74</v>
      </c>
      <c r="BQ379" t="s">
        <v>74</v>
      </c>
      <c r="BR379" t="s">
        <v>101</v>
      </c>
      <c r="BS379" t="s">
        <v>7344</v>
      </c>
      <c r="BT379" t="str">
        <f>HYPERLINK("https%3A%2F%2Fwww.webofscience.com%2Fwos%2Fwoscc%2Ffull-record%2FWOS:000302199400018","View Full Record in Web of Science")</f>
        <v>View Full Record in Web of Science</v>
      </c>
    </row>
    <row r="380" spans="1:72" x14ac:dyDescent="0.15">
      <c r="A380" t="s">
        <v>72</v>
      </c>
      <c r="B380" t="s">
        <v>7345</v>
      </c>
      <c r="C380" t="s">
        <v>74</v>
      </c>
      <c r="D380" t="s">
        <v>74</v>
      </c>
      <c r="E380" t="s">
        <v>74</v>
      </c>
      <c r="F380" t="s">
        <v>7346</v>
      </c>
      <c r="G380" t="s">
        <v>74</v>
      </c>
      <c r="H380" t="s">
        <v>74</v>
      </c>
      <c r="I380" t="s">
        <v>7347</v>
      </c>
      <c r="J380" t="s">
        <v>1265</v>
      </c>
      <c r="K380" t="s">
        <v>74</v>
      </c>
      <c r="L380" t="s">
        <v>74</v>
      </c>
      <c r="M380" t="s">
        <v>78</v>
      </c>
      <c r="N380" t="s">
        <v>79</v>
      </c>
      <c r="O380" t="s">
        <v>74</v>
      </c>
      <c r="P380" t="s">
        <v>74</v>
      </c>
      <c r="Q380" t="s">
        <v>74</v>
      </c>
      <c r="R380" t="s">
        <v>74</v>
      </c>
      <c r="S380" t="s">
        <v>74</v>
      </c>
      <c r="T380" t="s">
        <v>7348</v>
      </c>
      <c r="U380" t="s">
        <v>7349</v>
      </c>
      <c r="V380" t="s">
        <v>7350</v>
      </c>
      <c r="W380" t="s">
        <v>7351</v>
      </c>
      <c r="X380" t="s">
        <v>7352</v>
      </c>
      <c r="Y380" t="s">
        <v>7353</v>
      </c>
      <c r="Z380" t="s">
        <v>7354</v>
      </c>
      <c r="AA380" t="s">
        <v>74</v>
      </c>
      <c r="AB380" t="s">
        <v>7355</v>
      </c>
      <c r="AC380" t="s">
        <v>7356</v>
      </c>
      <c r="AD380" t="s">
        <v>7356</v>
      </c>
      <c r="AE380" t="s">
        <v>7357</v>
      </c>
      <c r="AF380" t="s">
        <v>74</v>
      </c>
      <c r="AG380">
        <v>54</v>
      </c>
      <c r="AH380">
        <v>30</v>
      </c>
      <c r="AI380">
        <v>30</v>
      </c>
      <c r="AJ380">
        <v>0</v>
      </c>
      <c r="AK380">
        <v>24</v>
      </c>
      <c r="AL380" t="s">
        <v>277</v>
      </c>
      <c r="AM380" t="s">
        <v>278</v>
      </c>
      <c r="AN380" t="s">
        <v>279</v>
      </c>
      <c r="AO380" t="s">
        <v>1278</v>
      </c>
      <c r="AP380" t="s">
        <v>1279</v>
      </c>
      <c r="AQ380" t="s">
        <v>74</v>
      </c>
      <c r="AR380" t="s">
        <v>1280</v>
      </c>
      <c r="AS380" t="s">
        <v>1281</v>
      </c>
      <c r="AT380" t="s">
        <v>6892</v>
      </c>
      <c r="AU380">
        <v>2012</v>
      </c>
      <c r="AV380">
        <v>61</v>
      </c>
      <c r="AW380" t="s">
        <v>74</v>
      </c>
      <c r="AX380" t="s">
        <v>74</v>
      </c>
      <c r="AY380" t="s">
        <v>74</v>
      </c>
      <c r="AZ380" t="s">
        <v>74</v>
      </c>
      <c r="BA380" t="s">
        <v>74</v>
      </c>
      <c r="BB380">
        <v>57</v>
      </c>
      <c r="BC380">
        <v>73</v>
      </c>
      <c r="BD380" t="s">
        <v>74</v>
      </c>
      <c r="BE380" t="s">
        <v>7358</v>
      </c>
      <c r="BF380" t="str">
        <f>HYPERLINK("http://dx.doi.org/10.1016/j.dsr.2011.11.007","http://dx.doi.org/10.1016/j.dsr.2011.11.007")</f>
        <v>http://dx.doi.org/10.1016/j.dsr.2011.11.007</v>
      </c>
      <c r="BG380" t="s">
        <v>74</v>
      </c>
      <c r="BH380" t="s">
        <v>74</v>
      </c>
      <c r="BI380">
        <v>17</v>
      </c>
      <c r="BJ380" t="s">
        <v>350</v>
      </c>
      <c r="BK380" t="s">
        <v>99</v>
      </c>
      <c r="BL380" t="s">
        <v>350</v>
      </c>
      <c r="BM380" t="s">
        <v>7359</v>
      </c>
      <c r="BN380" t="s">
        <v>74</v>
      </c>
      <c r="BO380" t="s">
        <v>156</v>
      </c>
      <c r="BP380" t="s">
        <v>74</v>
      </c>
      <c r="BQ380" t="s">
        <v>74</v>
      </c>
      <c r="BR380" t="s">
        <v>101</v>
      </c>
      <c r="BS380" t="s">
        <v>7360</v>
      </c>
      <c r="BT380" t="str">
        <f>HYPERLINK("https%3A%2F%2Fwww.webofscience.com%2Fwos%2Fwoscc%2Ffull-record%2FWOS:000301888000006","View Full Record in Web of Science")</f>
        <v>View Full Record in Web of Science</v>
      </c>
    </row>
    <row r="381" spans="1:72" x14ac:dyDescent="0.15">
      <c r="A381" t="s">
        <v>72</v>
      </c>
      <c r="B381" t="s">
        <v>7361</v>
      </c>
      <c r="C381" t="s">
        <v>74</v>
      </c>
      <c r="D381" t="s">
        <v>74</v>
      </c>
      <c r="E381" t="s">
        <v>74</v>
      </c>
      <c r="F381" t="s">
        <v>7362</v>
      </c>
      <c r="G381" t="s">
        <v>74</v>
      </c>
      <c r="H381" t="s">
        <v>74</v>
      </c>
      <c r="I381" t="s">
        <v>7363</v>
      </c>
      <c r="J381" t="s">
        <v>7364</v>
      </c>
      <c r="K381" t="s">
        <v>74</v>
      </c>
      <c r="L381" t="s">
        <v>74</v>
      </c>
      <c r="M381" t="s">
        <v>78</v>
      </c>
      <c r="N381" t="s">
        <v>79</v>
      </c>
      <c r="O381" t="s">
        <v>74</v>
      </c>
      <c r="P381" t="s">
        <v>74</v>
      </c>
      <c r="Q381" t="s">
        <v>74</v>
      </c>
      <c r="R381" t="s">
        <v>74</v>
      </c>
      <c r="S381" t="s">
        <v>74</v>
      </c>
      <c r="T381" t="s">
        <v>7365</v>
      </c>
      <c r="U381" t="s">
        <v>7366</v>
      </c>
      <c r="V381" t="s">
        <v>7367</v>
      </c>
      <c r="W381" t="s">
        <v>7368</v>
      </c>
      <c r="X381" t="s">
        <v>7369</v>
      </c>
      <c r="Y381" t="s">
        <v>7370</v>
      </c>
      <c r="Z381" t="s">
        <v>7371</v>
      </c>
      <c r="AA381" t="s">
        <v>7372</v>
      </c>
      <c r="AB381" t="s">
        <v>7373</v>
      </c>
      <c r="AC381" t="s">
        <v>7374</v>
      </c>
      <c r="AD381" t="s">
        <v>7375</v>
      </c>
      <c r="AE381" t="s">
        <v>7376</v>
      </c>
      <c r="AF381" t="s">
        <v>74</v>
      </c>
      <c r="AG381">
        <v>47</v>
      </c>
      <c r="AH381">
        <v>7</v>
      </c>
      <c r="AI381">
        <v>7</v>
      </c>
      <c r="AJ381">
        <v>0</v>
      </c>
      <c r="AK381">
        <v>16</v>
      </c>
      <c r="AL381" t="s">
        <v>935</v>
      </c>
      <c r="AM381" t="s">
        <v>369</v>
      </c>
      <c r="AN381" t="s">
        <v>936</v>
      </c>
      <c r="AO381" t="s">
        <v>7377</v>
      </c>
      <c r="AP381" t="s">
        <v>7378</v>
      </c>
      <c r="AQ381" t="s">
        <v>74</v>
      </c>
      <c r="AR381" t="s">
        <v>7364</v>
      </c>
      <c r="AS381" t="s">
        <v>7379</v>
      </c>
      <c r="AT381" t="s">
        <v>6892</v>
      </c>
      <c r="AU381">
        <v>2012</v>
      </c>
      <c r="AV381">
        <v>15</v>
      </c>
      <c r="AW381" t="s">
        <v>74</v>
      </c>
      <c r="AX381" t="s">
        <v>74</v>
      </c>
      <c r="AY381" t="s">
        <v>74</v>
      </c>
      <c r="AZ381" t="s">
        <v>74</v>
      </c>
      <c r="BA381" t="s">
        <v>74</v>
      </c>
      <c r="BB381">
        <v>100</v>
      </c>
      <c r="BC381">
        <v>108</v>
      </c>
      <c r="BD381" t="s">
        <v>74</v>
      </c>
      <c r="BE381" t="s">
        <v>7380</v>
      </c>
      <c r="BF381" t="str">
        <f>HYPERLINK("http://dx.doi.org/10.1016/j.hal.2011.12.004","http://dx.doi.org/10.1016/j.hal.2011.12.004")</f>
        <v>http://dx.doi.org/10.1016/j.hal.2011.12.004</v>
      </c>
      <c r="BG381" t="s">
        <v>74</v>
      </c>
      <c r="BH381" t="s">
        <v>74</v>
      </c>
      <c r="BI381">
        <v>9</v>
      </c>
      <c r="BJ381" t="s">
        <v>588</v>
      </c>
      <c r="BK381" t="s">
        <v>99</v>
      </c>
      <c r="BL381" t="s">
        <v>588</v>
      </c>
      <c r="BM381" t="s">
        <v>7381</v>
      </c>
      <c r="BN381" t="s">
        <v>74</v>
      </c>
      <c r="BO381" t="s">
        <v>74</v>
      </c>
      <c r="BP381" t="s">
        <v>74</v>
      </c>
      <c r="BQ381" t="s">
        <v>74</v>
      </c>
      <c r="BR381" t="s">
        <v>101</v>
      </c>
      <c r="BS381" t="s">
        <v>7382</v>
      </c>
      <c r="BT381" t="str">
        <f>HYPERLINK("https%3A%2F%2Fwww.webofscience.com%2Fwos%2Fwoscc%2Ffull-record%2FWOS:000302042100012","View Full Record in Web of Science")</f>
        <v>View Full Record in Web of Science</v>
      </c>
    </row>
    <row r="382" spans="1:72" x14ac:dyDescent="0.15">
      <c r="A382" t="s">
        <v>72</v>
      </c>
      <c r="B382" t="s">
        <v>7383</v>
      </c>
      <c r="C382" t="s">
        <v>74</v>
      </c>
      <c r="D382" t="s">
        <v>74</v>
      </c>
      <c r="E382" t="s">
        <v>74</v>
      </c>
      <c r="F382" t="s">
        <v>7384</v>
      </c>
      <c r="G382" t="s">
        <v>74</v>
      </c>
      <c r="H382" t="s">
        <v>74</v>
      </c>
      <c r="I382" t="s">
        <v>7385</v>
      </c>
      <c r="J382" t="s">
        <v>950</v>
      </c>
      <c r="K382" t="s">
        <v>74</v>
      </c>
      <c r="L382" t="s">
        <v>74</v>
      </c>
      <c r="M382" t="s">
        <v>78</v>
      </c>
      <c r="N382" t="s">
        <v>79</v>
      </c>
      <c r="O382" t="s">
        <v>74</v>
      </c>
      <c r="P382" t="s">
        <v>74</v>
      </c>
      <c r="Q382" t="s">
        <v>74</v>
      </c>
      <c r="R382" t="s">
        <v>74</v>
      </c>
      <c r="S382" t="s">
        <v>74</v>
      </c>
      <c r="T382" t="s">
        <v>7386</v>
      </c>
      <c r="U382" t="s">
        <v>7387</v>
      </c>
      <c r="V382" t="s">
        <v>7388</v>
      </c>
      <c r="W382" t="s">
        <v>7389</v>
      </c>
      <c r="X382" t="s">
        <v>977</v>
      </c>
      <c r="Y382" t="s">
        <v>7390</v>
      </c>
      <c r="Z382" t="s">
        <v>7391</v>
      </c>
      <c r="AA382" t="s">
        <v>74</v>
      </c>
      <c r="AB382" t="s">
        <v>74</v>
      </c>
      <c r="AC382" t="s">
        <v>74</v>
      </c>
      <c r="AD382" t="s">
        <v>74</v>
      </c>
      <c r="AE382" t="s">
        <v>74</v>
      </c>
      <c r="AF382" t="s">
        <v>74</v>
      </c>
      <c r="AG382">
        <v>20</v>
      </c>
      <c r="AH382">
        <v>8</v>
      </c>
      <c r="AI382">
        <v>8</v>
      </c>
      <c r="AJ382">
        <v>0</v>
      </c>
      <c r="AK382">
        <v>4</v>
      </c>
      <c r="AL382" t="s">
        <v>277</v>
      </c>
      <c r="AM382" t="s">
        <v>278</v>
      </c>
      <c r="AN382" t="s">
        <v>279</v>
      </c>
      <c r="AO382" t="s">
        <v>962</v>
      </c>
      <c r="AP382" t="s">
        <v>74</v>
      </c>
      <c r="AQ382" t="s">
        <v>74</v>
      </c>
      <c r="AR382" t="s">
        <v>964</v>
      </c>
      <c r="AS382" t="s">
        <v>965</v>
      </c>
      <c r="AT382" t="s">
        <v>6892</v>
      </c>
      <c r="AU382">
        <v>2012</v>
      </c>
      <c r="AV382">
        <v>77</v>
      </c>
      <c r="AW382" t="s">
        <v>74</v>
      </c>
      <c r="AX382" t="s">
        <v>74</v>
      </c>
      <c r="AY382" t="s">
        <v>74</v>
      </c>
      <c r="AZ382" t="s">
        <v>74</v>
      </c>
      <c r="BA382" t="s">
        <v>74</v>
      </c>
      <c r="BB382">
        <v>40</v>
      </c>
      <c r="BC382">
        <v>45</v>
      </c>
      <c r="BD382" t="s">
        <v>74</v>
      </c>
      <c r="BE382" t="s">
        <v>7392</v>
      </c>
      <c r="BF382" t="str">
        <f>HYPERLINK("http://dx.doi.org/10.1016/j.jastp.2011.11.007","http://dx.doi.org/10.1016/j.jastp.2011.11.007")</f>
        <v>http://dx.doi.org/10.1016/j.jastp.2011.11.007</v>
      </c>
      <c r="BG382" t="s">
        <v>74</v>
      </c>
      <c r="BH382" t="s">
        <v>74</v>
      </c>
      <c r="BI382">
        <v>6</v>
      </c>
      <c r="BJ382" t="s">
        <v>967</v>
      </c>
      <c r="BK382" t="s">
        <v>99</v>
      </c>
      <c r="BL382" t="s">
        <v>967</v>
      </c>
      <c r="BM382" t="s">
        <v>7393</v>
      </c>
      <c r="BN382" t="s">
        <v>74</v>
      </c>
      <c r="BO382" t="s">
        <v>74</v>
      </c>
      <c r="BP382" t="s">
        <v>74</v>
      </c>
      <c r="BQ382" t="s">
        <v>74</v>
      </c>
      <c r="BR382" t="s">
        <v>101</v>
      </c>
      <c r="BS382" t="s">
        <v>7394</v>
      </c>
      <c r="BT382" t="str">
        <f>HYPERLINK("https%3A%2F%2Fwww.webofscience.com%2Fwos%2Fwoscc%2Ffull-record%2FWOS:000302108300004","View Full Record in Web of Science")</f>
        <v>View Full Record in Web of Science</v>
      </c>
    </row>
    <row r="383" spans="1:72" x14ac:dyDescent="0.15">
      <c r="A383" t="s">
        <v>72</v>
      </c>
      <c r="B383" t="s">
        <v>1629</v>
      </c>
      <c r="C383" t="s">
        <v>74</v>
      </c>
      <c r="D383" t="s">
        <v>74</v>
      </c>
      <c r="E383" t="s">
        <v>74</v>
      </c>
      <c r="F383" t="s">
        <v>1630</v>
      </c>
      <c r="G383" t="s">
        <v>74</v>
      </c>
      <c r="H383" t="s">
        <v>74</v>
      </c>
      <c r="I383" t="s">
        <v>7395</v>
      </c>
      <c r="J383" t="s">
        <v>1632</v>
      </c>
      <c r="K383" t="s">
        <v>74</v>
      </c>
      <c r="L383" t="s">
        <v>74</v>
      </c>
      <c r="M383" t="s">
        <v>78</v>
      </c>
      <c r="N383" t="s">
        <v>79</v>
      </c>
      <c r="O383" t="s">
        <v>74</v>
      </c>
      <c r="P383" t="s">
        <v>74</v>
      </c>
      <c r="Q383" t="s">
        <v>74</v>
      </c>
      <c r="R383" t="s">
        <v>74</v>
      </c>
      <c r="S383" t="s">
        <v>74</v>
      </c>
      <c r="T383" t="s">
        <v>74</v>
      </c>
      <c r="U383" t="s">
        <v>7396</v>
      </c>
      <c r="V383" t="s">
        <v>7397</v>
      </c>
      <c r="W383" t="s">
        <v>7398</v>
      </c>
      <c r="X383" t="s">
        <v>1636</v>
      </c>
      <c r="Y383" t="s">
        <v>7399</v>
      </c>
      <c r="Z383" t="s">
        <v>1638</v>
      </c>
      <c r="AA383" t="s">
        <v>1639</v>
      </c>
      <c r="AB383" t="s">
        <v>1640</v>
      </c>
      <c r="AC383" t="s">
        <v>7400</v>
      </c>
      <c r="AD383" t="s">
        <v>7401</v>
      </c>
      <c r="AE383" t="s">
        <v>7402</v>
      </c>
      <c r="AF383" t="s">
        <v>74</v>
      </c>
      <c r="AG383">
        <v>77</v>
      </c>
      <c r="AH383">
        <v>19</v>
      </c>
      <c r="AI383">
        <v>21</v>
      </c>
      <c r="AJ383">
        <v>1</v>
      </c>
      <c r="AK383">
        <v>38</v>
      </c>
      <c r="AL383" t="s">
        <v>1644</v>
      </c>
      <c r="AM383" t="s">
        <v>1645</v>
      </c>
      <c r="AN383" t="s">
        <v>1646</v>
      </c>
      <c r="AO383" t="s">
        <v>1647</v>
      </c>
      <c r="AP383" t="s">
        <v>1648</v>
      </c>
      <c r="AQ383" t="s">
        <v>74</v>
      </c>
      <c r="AR383" t="s">
        <v>1649</v>
      </c>
      <c r="AS383" t="s">
        <v>1650</v>
      </c>
      <c r="AT383" t="s">
        <v>6917</v>
      </c>
      <c r="AU383">
        <v>2012</v>
      </c>
      <c r="AV383">
        <v>85</v>
      </c>
      <c r="AW383">
        <v>2</v>
      </c>
      <c r="AX383" t="s">
        <v>74</v>
      </c>
      <c r="AY383" t="s">
        <v>74</v>
      </c>
      <c r="AZ383" t="s">
        <v>74</v>
      </c>
      <c r="BA383" t="s">
        <v>74</v>
      </c>
      <c r="BB383">
        <v>134</v>
      </c>
      <c r="BC383">
        <v>147</v>
      </c>
      <c r="BD383" t="s">
        <v>74</v>
      </c>
      <c r="BE383" t="s">
        <v>7403</v>
      </c>
      <c r="BF383" t="str">
        <f>HYPERLINK("http://dx.doi.org/10.1086/664948","http://dx.doi.org/10.1086/664948")</f>
        <v>http://dx.doi.org/10.1086/664948</v>
      </c>
      <c r="BG383" t="s">
        <v>74</v>
      </c>
      <c r="BH383" t="s">
        <v>74</v>
      </c>
      <c r="BI383">
        <v>14</v>
      </c>
      <c r="BJ383" t="s">
        <v>1653</v>
      </c>
      <c r="BK383" t="s">
        <v>99</v>
      </c>
      <c r="BL383" t="s">
        <v>1653</v>
      </c>
      <c r="BM383" t="s">
        <v>7404</v>
      </c>
      <c r="BN383">
        <v>22418706</v>
      </c>
      <c r="BO383" t="s">
        <v>328</v>
      </c>
      <c r="BP383" t="s">
        <v>74</v>
      </c>
      <c r="BQ383" t="s">
        <v>74</v>
      </c>
      <c r="BR383" t="s">
        <v>101</v>
      </c>
      <c r="BS383" t="s">
        <v>7405</v>
      </c>
      <c r="BT383" t="str">
        <f>HYPERLINK("https%3A%2F%2Fwww.webofscience.com%2Fwos%2Fwoscc%2Ffull-record%2FWOS:000301734400003","View Full Record in Web of Science")</f>
        <v>View Full Record in Web of Science</v>
      </c>
    </row>
    <row r="384" spans="1:72" x14ac:dyDescent="0.15">
      <c r="A384" t="s">
        <v>72</v>
      </c>
      <c r="B384" t="s">
        <v>7406</v>
      </c>
      <c r="C384" t="s">
        <v>74</v>
      </c>
      <c r="D384" t="s">
        <v>74</v>
      </c>
      <c r="E384" t="s">
        <v>74</v>
      </c>
      <c r="F384" t="s">
        <v>7407</v>
      </c>
      <c r="G384" t="s">
        <v>74</v>
      </c>
      <c r="H384" t="s">
        <v>74</v>
      </c>
      <c r="I384" t="s">
        <v>7408</v>
      </c>
      <c r="J384" t="s">
        <v>7409</v>
      </c>
      <c r="K384" t="s">
        <v>74</v>
      </c>
      <c r="L384" t="s">
        <v>74</v>
      </c>
      <c r="M384" t="s">
        <v>78</v>
      </c>
      <c r="N384" t="s">
        <v>79</v>
      </c>
      <c r="O384" t="s">
        <v>74</v>
      </c>
      <c r="P384" t="s">
        <v>74</v>
      </c>
      <c r="Q384" t="s">
        <v>74</v>
      </c>
      <c r="R384" t="s">
        <v>74</v>
      </c>
      <c r="S384" t="s">
        <v>74</v>
      </c>
      <c r="T384" t="s">
        <v>7410</v>
      </c>
      <c r="U384" t="s">
        <v>7411</v>
      </c>
      <c r="V384" t="s">
        <v>7412</v>
      </c>
      <c r="W384" t="s">
        <v>7413</v>
      </c>
      <c r="X384" t="s">
        <v>7414</v>
      </c>
      <c r="Y384" t="s">
        <v>7415</v>
      </c>
      <c r="Z384" t="s">
        <v>7416</v>
      </c>
      <c r="AA384" t="s">
        <v>74</v>
      </c>
      <c r="AB384" t="s">
        <v>7417</v>
      </c>
      <c r="AC384" t="s">
        <v>7418</v>
      </c>
      <c r="AD384" t="s">
        <v>7419</v>
      </c>
      <c r="AE384" t="s">
        <v>7420</v>
      </c>
      <c r="AF384" t="s">
        <v>74</v>
      </c>
      <c r="AG384">
        <v>51</v>
      </c>
      <c r="AH384">
        <v>4</v>
      </c>
      <c r="AI384">
        <v>4</v>
      </c>
      <c r="AJ384">
        <v>1</v>
      </c>
      <c r="AK384">
        <v>18</v>
      </c>
      <c r="AL384" t="s">
        <v>7421</v>
      </c>
      <c r="AM384" t="s">
        <v>7422</v>
      </c>
      <c r="AN384" t="s">
        <v>7423</v>
      </c>
      <c r="AO384" t="s">
        <v>7424</v>
      </c>
      <c r="AP384" t="s">
        <v>7425</v>
      </c>
      <c r="AQ384" t="s">
        <v>74</v>
      </c>
      <c r="AR384" t="s">
        <v>7426</v>
      </c>
      <c r="AS384" t="s">
        <v>7427</v>
      </c>
      <c r="AT384" t="s">
        <v>6892</v>
      </c>
      <c r="AU384">
        <v>2012</v>
      </c>
      <c r="AV384">
        <v>76</v>
      </c>
      <c r="AW384">
        <v>1</v>
      </c>
      <c r="AX384" t="s">
        <v>74</v>
      </c>
      <c r="AY384" t="s">
        <v>74</v>
      </c>
      <c r="AZ384" t="s">
        <v>74</v>
      </c>
      <c r="BA384" t="s">
        <v>74</v>
      </c>
      <c r="BB384">
        <v>49</v>
      </c>
      <c r="BC384">
        <v>57</v>
      </c>
      <c r="BD384" t="s">
        <v>74</v>
      </c>
      <c r="BE384" t="s">
        <v>7428</v>
      </c>
      <c r="BF384" t="str">
        <f>HYPERLINK("http://dx.doi.org/10.3989/scimar.03203.16D","http://dx.doi.org/10.3989/scimar.03203.16D")</f>
        <v>http://dx.doi.org/10.3989/scimar.03203.16D</v>
      </c>
      <c r="BG384" t="s">
        <v>74</v>
      </c>
      <c r="BH384" t="s">
        <v>74</v>
      </c>
      <c r="BI384">
        <v>9</v>
      </c>
      <c r="BJ384" t="s">
        <v>588</v>
      </c>
      <c r="BK384" t="s">
        <v>99</v>
      </c>
      <c r="BL384" t="s">
        <v>588</v>
      </c>
      <c r="BM384" t="s">
        <v>7429</v>
      </c>
      <c r="BN384" t="s">
        <v>74</v>
      </c>
      <c r="BO384" t="s">
        <v>7430</v>
      </c>
      <c r="BP384" t="s">
        <v>74</v>
      </c>
      <c r="BQ384" t="s">
        <v>74</v>
      </c>
      <c r="BR384" t="s">
        <v>101</v>
      </c>
      <c r="BS384" t="s">
        <v>7431</v>
      </c>
      <c r="BT384" t="str">
        <f>HYPERLINK("https%3A%2F%2Fwww.webofscience.com%2Fwos%2Fwoscc%2Ffull-record%2FWOS:000301806800006","View Full Record in Web of Science")</f>
        <v>View Full Record in Web of Science</v>
      </c>
    </row>
    <row r="385" spans="1:72" x14ac:dyDescent="0.15">
      <c r="A385" t="s">
        <v>72</v>
      </c>
      <c r="B385" t="s">
        <v>7432</v>
      </c>
      <c r="C385" t="s">
        <v>74</v>
      </c>
      <c r="D385" t="s">
        <v>74</v>
      </c>
      <c r="E385" t="s">
        <v>74</v>
      </c>
      <c r="F385" t="s">
        <v>7433</v>
      </c>
      <c r="G385" t="s">
        <v>74</v>
      </c>
      <c r="H385" t="s">
        <v>74</v>
      </c>
      <c r="I385" t="s">
        <v>7434</v>
      </c>
      <c r="J385" t="s">
        <v>7435</v>
      </c>
      <c r="K385" t="s">
        <v>74</v>
      </c>
      <c r="L385" t="s">
        <v>74</v>
      </c>
      <c r="M385" t="s">
        <v>78</v>
      </c>
      <c r="N385" t="s">
        <v>79</v>
      </c>
      <c r="O385" t="s">
        <v>74</v>
      </c>
      <c r="P385" t="s">
        <v>74</v>
      </c>
      <c r="Q385" t="s">
        <v>74</v>
      </c>
      <c r="R385" t="s">
        <v>74</v>
      </c>
      <c r="S385" t="s">
        <v>74</v>
      </c>
      <c r="T385" t="s">
        <v>7436</v>
      </c>
      <c r="U385" t="s">
        <v>7437</v>
      </c>
      <c r="V385" t="s">
        <v>7438</v>
      </c>
      <c r="W385" t="s">
        <v>7439</v>
      </c>
      <c r="X385" t="s">
        <v>74</v>
      </c>
      <c r="Y385" t="s">
        <v>7440</v>
      </c>
      <c r="Z385" t="s">
        <v>7441</v>
      </c>
      <c r="AA385" t="s">
        <v>74</v>
      </c>
      <c r="AB385" t="s">
        <v>74</v>
      </c>
      <c r="AC385" t="s">
        <v>74</v>
      </c>
      <c r="AD385" t="s">
        <v>74</v>
      </c>
      <c r="AE385" t="s">
        <v>74</v>
      </c>
      <c r="AF385" t="s">
        <v>74</v>
      </c>
      <c r="AG385">
        <v>15</v>
      </c>
      <c r="AH385">
        <v>1</v>
      </c>
      <c r="AI385">
        <v>1</v>
      </c>
      <c r="AJ385">
        <v>0</v>
      </c>
      <c r="AK385">
        <v>4</v>
      </c>
      <c r="AL385" t="s">
        <v>7442</v>
      </c>
      <c r="AM385" t="s">
        <v>7443</v>
      </c>
      <c r="AN385" t="s">
        <v>7444</v>
      </c>
      <c r="AO385" t="s">
        <v>7445</v>
      </c>
      <c r="AP385" t="s">
        <v>74</v>
      </c>
      <c r="AQ385" t="s">
        <v>74</v>
      </c>
      <c r="AR385" t="s">
        <v>7446</v>
      </c>
      <c r="AS385" t="s">
        <v>7447</v>
      </c>
      <c r="AT385" t="s">
        <v>6892</v>
      </c>
      <c r="AU385">
        <v>2012</v>
      </c>
      <c r="AV385">
        <v>47</v>
      </c>
      <c r="AW385">
        <v>1</v>
      </c>
      <c r="AX385" t="s">
        <v>74</v>
      </c>
      <c r="AY385" t="s">
        <v>74</v>
      </c>
      <c r="AZ385" t="s">
        <v>74</v>
      </c>
      <c r="BA385" t="s">
        <v>74</v>
      </c>
      <c r="BB385">
        <v>101</v>
      </c>
      <c r="BC385">
        <v>116</v>
      </c>
      <c r="BD385" t="s">
        <v>74</v>
      </c>
      <c r="BE385" t="s">
        <v>7448</v>
      </c>
      <c r="BF385" t="str">
        <f>HYPERLINK("http://dx.doi.org/10.1556/AGeod.47.2012.1.9","http://dx.doi.org/10.1556/AGeod.47.2012.1.9")</f>
        <v>http://dx.doi.org/10.1556/AGeod.47.2012.1.9</v>
      </c>
      <c r="BG385" t="s">
        <v>74</v>
      </c>
      <c r="BH385" t="s">
        <v>74</v>
      </c>
      <c r="BI385">
        <v>16</v>
      </c>
      <c r="BJ385" t="s">
        <v>1134</v>
      </c>
      <c r="BK385" t="s">
        <v>99</v>
      </c>
      <c r="BL385" t="s">
        <v>1134</v>
      </c>
      <c r="BM385" t="s">
        <v>7449</v>
      </c>
      <c r="BN385" t="s">
        <v>74</v>
      </c>
      <c r="BO385" t="s">
        <v>74</v>
      </c>
      <c r="BP385" t="s">
        <v>74</v>
      </c>
      <c r="BQ385" t="s">
        <v>74</v>
      </c>
      <c r="BR385" t="s">
        <v>101</v>
      </c>
      <c r="BS385" t="s">
        <v>7450</v>
      </c>
      <c r="BT385" t="str">
        <f>HYPERLINK("https%3A%2F%2Fwww.webofscience.com%2Fwos%2Fwoscc%2Ffull-record%2FWOS:000301500800009","View Full Record in Web of Science")</f>
        <v>View Full Record in Web of Science</v>
      </c>
    </row>
    <row r="386" spans="1:72" x14ac:dyDescent="0.15">
      <c r="A386" t="s">
        <v>72</v>
      </c>
      <c r="B386" t="s">
        <v>7451</v>
      </c>
      <c r="C386" t="s">
        <v>74</v>
      </c>
      <c r="D386" t="s">
        <v>74</v>
      </c>
      <c r="E386" t="s">
        <v>74</v>
      </c>
      <c r="F386" t="s">
        <v>7452</v>
      </c>
      <c r="G386" t="s">
        <v>74</v>
      </c>
      <c r="H386" t="s">
        <v>74</v>
      </c>
      <c r="I386" t="s">
        <v>7453</v>
      </c>
      <c r="J386" t="s">
        <v>7454</v>
      </c>
      <c r="K386" t="s">
        <v>74</v>
      </c>
      <c r="L386" t="s">
        <v>74</v>
      </c>
      <c r="M386" t="s">
        <v>78</v>
      </c>
      <c r="N386" t="s">
        <v>79</v>
      </c>
      <c r="O386" t="s">
        <v>74</v>
      </c>
      <c r="P386" t="s">
        <v>74</v>
      </c>
      <c r="Q386" t="s">
        <v>74</v>
      </c>
      <c r="R386" t="s">
        <v>74</v>
      </c>
      <c r="S386" t="s">
        <v>74</v>
      </c>
      <c r="T386" t="s">
        <v>7455</v>
      </c>
      <c r="U386" t="s">
        <v>7456</v>
      </c>
      <c r="V386" t="s">
        <v>7457</v>
      </c>
      <c r="W386" t="s">
        <v>7458</v>
      </c>
      <c r="X386" t="s">
        <v>7459</v>
      </c>
      <c r="Y386" t="s">
        <v>7460</v>
      </c>
      <c r="Z386" t="s">
        <v>7461</v>
      </c>
      <c r="AA386" t="s">
        <v>7462</v>
      </c>
      <c r="AB386" t="s">
        <v>7463</v>
      </c>
      <c r="AC386" t="s">
        <v>7464</v>
      </c>
      <c r="AD386" t="s">
        <v>7464</v>
      </c>
      <c r="AE386" t="s">
        <v>7465</v>
      </c>
      <c r="AF386" t="s">
        <v>74</v>
      </c>
      <c r="AG386">
        <v>63</v>
      </c>
      <c r="AH386">
        <v>69</v>
      </c>
      <c r="AI386">
        <v>74</v>
      </c>
      <c r="AJ386">
        <v>3</v>
      </c>
      <c r="AK386">
        <v>109</v>
      </c>
      <c r="AL386" t="s">
        <v>655</v>
      </c>
      <c r="AM386" t="s">
        <v>1442</v>
      </c>
      <c r="AN386" t="s">
        <v>1443</v>
      </c>
      <c r="AO386" t="s">
        <v>7466</v>
      </c>
      <c r="AP386" t="s">
        <v>7467</v>
      </c>
      <c r="AQ386" t="s">
        <v>74</v>
      </c>
      <c r="AR386" t="s">
        <v>7468</v>
      </c>
      <c r="AS386" t="s">
        <v>7469</v>
      </c>
      <c r="AT386" t="s">
        <v>6892</v>
      </c>
      <c r="AU386">
        <v>2012</v>
      </c>
      <c r="AV386">
        <v>14</v>
      </c>
      <c r="AW386">
        <v>3</v>
      </c>
      <c r="AX386" t="s">
        <v>74</v>
      </c>
      <c r="AY386" t="s">
        <v>74</v>
      </c>
      <c r="AZ386" t="s">
        <v>74</v>
      </c>
      <c r="BA386" t="s">
        <v>74</v>
      </c>
      <c r="BB386">
        <v>567</v>
      </c>
      <c r="BC386">
        <v>577</v>
      </c>
      <c r="BD386" t="s">
        <v>74</v>
      </c>
      <c r="BE386" t="s">
        <v>7470</v>
      </c>
      <c r="BF386" t="str">
        <f>HYPERLINK("http://dx.doi.org/10.1007/s10530-011-0098-4","http://dx.doi.org/10.1007/s10530-011-0098-4")</f>
        <v>http://dx.doi.org/10.1007/s10530-011-0098-4</v>
      </c>
      <c r="BG386" t="s">
        <v>74</v>
      </c>
      <c r="BH386" t="s">
        <v>74</v>
      </c>
      <c r="BI386">
        <v>11</v>
      </c>
      <c r="BJ386" t="s">
        <v>2320</v>
      </c>
      <c r="BK386" t="s">
        <v>99</v>
      </c>
      <c r="BL386" t="s">
        <v>1784</v>
      </c>
      <c r="BM386" t="s">
        <v>7471</v>
      </c>
      <c r="BN386" t="s">
        <v>74</v>
      </c>
      <c r="BO386" t="s">
        <v>74</v>
      </c>
      <c r="BP386" t="s">
        <v>74</v>
      </c>
      <c r="BQ386" t="s">
        <v>74</v>
      </c>
      <c r="BR386" t="s">
        <v>101</v>
      </c>
      <c r="BS386" t="s">
        <v>7472</v>
      </c>
      <c r="BT386" t="str">
        <f>HYPERLINK("https%3A%2F%2Fwww.webofscience.com%2Fwos%2Fwoscc%2Ffull-record%2FWOS:000301445100008","View Full Record in Web of Science")</f>
        <v>View Full Record in Web of Science</v>
      </c>
    </row>
    <row r="387" spans="1:72" x14ac:dyDescent="0.15">
      <c r="A387" t="s">
        <v>72</v>
      </c>
      <c r="B387" t="s">
        <v>7473</v>
      </c>
      <c r="C387" t="s">
        <v>74</v>
      </c>
      <c r="D387" t="s">
        <v>74</v>
      </c>
      <c r="E387" t="s">
        <v>74</v>
      </c>
      <c r="F387" t="s">
        <v>7474</v>
      </c>
      <c r="G387" t="s">
        <v>74</v>
      </c>
      <c r="H387" t="s">
        <v>74</v>
      </c>
      <c r="I387" t="s">
        <v>7475</v>
      </c>
      <c r="J387" t="s">
        <v>1490</v>
      </c>
      <c r="K387" t="s">
        <v>74</v>
      </c>
      <c r="L387" t="s">
        <v>74</v>
      </c>
      <c r="M387" t="s">
        <v>78</v>
      </c>
      <c r="N387" t="s">
        <v>79</v>
      </c>
      <c r="O387" t="s">
        <v>74</v>
      </c>
      <c r="P387" t="s">
        <v>74</v>
      </c>
      <c r="Q387" t="s">
        <v>74</v>
      </c>
      <c r="R387" t="s">
        <v>74</v>
      </c>
      <c r="S387" t="s">
        <v>74</v>
      </c>
      <c r="T387" t="s">
        <v>7476</v>
      </c>
      <c r="U387" t="s">
        <v>7477</v>
      </c>
      <c r="V387" t="s">
        <v>7478</v>
      </c>
      <c r="W387" t="s">
        <v>7479</v>
      </c>
      <c r="X387" t="s">
        <v>7480</v>
      </c>
      <c r="Y387" t="s">
        <v>7481</v>
      </c>
      <c r="Z387" t="s">
        <v>7482</v>
      </c>
      <c r="AA387" t="s">
        <v>7483</v>
      </c>
      <c r="AB387" t="s">
        <v>7484</v>
      </c>
      <c r="AC387" t="s">
        <v>7485</v>
      </c>
      <c r="AD387" t="s">
        <v>7486</v>
      </c>
      <c r="AE387" t="s">
        <v>7487</v>
      </c>
      <c r="AF387" t="s">
        <v>74</v>
      </c>
      <c r="AG387">
        <v>28</v>
      </c>
      <c r="AH387">
        <v>18</v>
      </c>
      <c r="AI387">
        <v>22</v>
      </c>
      <c r="AJ387">
        <v>4</v>
      </c>
      <c r="AK387">
        <v>63</v>
      </c>
      <c r="AL387" t="s">
        <v>1083</v>
      </c>
      <c r="AM387" t="s">
        <v>1084</v>
      </c>
      <c r="AN387" t="s">
        <v>1085</v>
      </c>
      <c r="AO387" t="s">
        <v>1503</v>
      </c>
      <c r="AP387" t="s">
        <v>74</v>
      </c>
      <c r="AQ387" t="s">
        <v>74</v>
      </c>
      <c r="AR387" t="s">
        <v>1505</v>
      </c>
      <c r="AS387" t="s">
        <v>1506</v>
      </c>
      <c r="AT387" t="s">
        <v>6892</v>
      </c>
      <c r="AU387">
        <v>2012</v>
      </c>
      <c r="AV387">
        <v>57</v>
      </c>
      <c r="AW387">
        <v>9</v>
      </c>
      <c r="AX387" t="s">
        <v>74</v>
      </c>
      <c r="AY387" t="s">
        <v>74</v>
      </c>
      <c r="AZ387" t="s">
        <v>74</v>
      </c>
      <c r="BA387" t="s">
        <v>74</v>
      </c>
      <c r="BB387">
        <v>992</v>
      </c>
      <c r="BC387">
        <v>996</v>
      </c>
      <c r="BD387" t="s">
        <v>74</v>
      </c>
      <c r="BE387" t="s">
        <v>7488</v>
      </c>
      <c r="BF387" t="str">
        <f>HYPERLINK("http://dx.doi.org/10.1007/s11434-011-4969-y","http://dx.doi.org/10.1007/s11434-011-4969-y")</f>
        <v>http://dx.doi.org/10.1007/s11434-011-4969-y</v>
      </c>
      <c r="BG387" t="s">
        <v>74</v>
      </c>
      <c r="BH387" t="s">
        <v>74</v>
      </c>
      <c r="BI387">
        <v>5</v>
      </c>
      <c r="BJ387" t="s">
        <v>153</v>
      </c>
      <c r="BK387" t="s">
        <v>99</v>
      </c>
      <c r="BL387" t="s">
        <v>154</v>
      </c>
      <c r="BM387" t="s">
        <v>7489</v>
      </c>
      <c r="BN387" t="s">
        <v>74</v>
      </c>
      <c r="BO387" t="s">
        <v>217</v>
      </c>
      <c r="BP387" t="s">
        <v>74</v>
      </c>
      <c r="BQ387" t="s">
        <v>74</v>
      </c>
      <c r="BR387" t="s">
        <v>101</v>
      </c>
      <c r="BS387" t="s">
        <v>7490</v>
      </c>
      <c r="BT387" t="str">
        <f>HYPERLINK("https%3A%2F%2Fwww.webofscience.com%2Fwos%2Fwoscc%2Ffull-record%2FWOS:000301441800006","View Full Record in Web of Science")</f>
        <v>View Full Record in Web of Science</v>
      </c>
    </row>
    <row r="388" spans="1:72" x14ac:dyDescent="0.15">
      <c r="A388" t="s">
        <v>72</v>
      </c>
      <c r="B388" t="s">
        <v>7491</v>
      </c>
      <c r="C388" t="s">
        <v>74</v>
      </c>
      <c r="D388" t="s">
        <v>74</v>
      </c>
      <c r="E388" t="s">
        <v>74</v>
      </c>
      <c r="F388" t="s">
        <v>7492</v>
      </c>
      <c r="G388" t="s">
        <v>74</v>
      </c>
      <c r="H388" t="s">
        <v>74</v>
      </c>
      <c r="I388" t="s">
        <v>7493</v>
      </c>
      <c r="J388" t="s">
        <v>7494</v>
      </c>
      <c r="K388" t="s">
        <v>74</v>
      </c>
      <c r="L388" t="s">
        <v>74</v>
      </c>
      <c r="M388" t="s">
        <v>78</v>
      </c>
      <c r="N388" t="s">
        <v>79</v>
      </c>
      <c r="O388" t="s">
        <v>74</v>
      </c>
      <c r="P388" t="s">
        <v>74</v>
      </c>
      <c r="Q388" t="s">
        <v>74</v>
      </c>
      <c r="R388" t="s">
        <v>74</v>
      </c>
      <c r="S388" t="s">
        <v>74</v>
      </c>
      <c r="T388" t="s">
        <v>7495</v>
      </c>
      <c r="U388" t="s">
        <v>7496</v>
      </c>
      <c r="V388" t="s">
        <v>7497</v>
      </c>
      <c r="W388" t="s">
        <v>7498</v>
      </c>
      <c r="X388" t="s">
        <v>7499</v>
      </c>
      <c r="Y388" t="s">
        <v>7500</v>
      </c>
      <c r="Z388" t="s">
        <v>7501</v>
      </c>
      <c r="AA388" t="s">
        <v>7502</v>
      </c>
      <c r="AB388" t="s">
        <v>7503</v>
      </c>
      <c r="AC388" t="s">
        <v>7504</v>
      </c>
      <c r="AD388" t="s">
        <v>7505</v>
      </c>
      <c r="AE388" t="s">
        <v>7506</v>
      </c>
      <c r="AF388" t="s">
        <v>74</v>
      </c>
      <c r="AG388">
        <v>93</v>
      </c>
      <c r="AH388">
        <v>24</v>
      </c>
      <c r="AI388">
        <v>27</v>
      </c>
      <c r="AJ388">
        <v>1</v>
      </c>
      <c r="AK388">
        <v>44</v>
      </c>
      <c r="AL388" t="s">
        <v>277</v>
      </c>
      <c r="AM388" t="s">
        <v>278</v>
      </c>
      <c r="AN388" t="s">
        <v>279</v>
      </c>
      <c r="AO388" t="s">
        <v>7507</v>
      </c>
      <c r="AP388" t="s">
        <v>7508</v>
      </c>
      <c r="AQ388" t="s">
        <v>74</v>
      </c>
      <c r="AR388" t="s">
        <v>7509</v>
      </c>
      <c r="AS388" t="s">
        <v>7510</v>
      </c>
      <c r="AT388" t="s">
        <v>6991</v>
      </c>
      <c r="AU388">
        <v>2012</v>
      </c>
      <c r="AV388">
        <v>35</v>
      </c>
      <c r="AW388" t="s">
        <v>74</v>
      </c>
      <c r="AX388" t="s">
        <v>74</v>
      </c>
      <c r="AY388" t="s">
        <v>74</v>
      </c>
      <c r="AZ388" t="s">
        <v>74</v>
      </c>
      <c r="BA388" t="s">
        <v>74</v>
      </c>
      <c r="BB388">
        <v>53</v>
      </c>
      <c r="BC388">
        <v>63</v>
      </c>
      <c r="BD388" t="s">
        <v>74</v>
      </c>
      <c r="BE388" t="s">
        <v>7511</v>
      </c>
      <c r="BF388" t="str">
        <f>HYPERLINK("http://dx.doi.org/10.1016/j.csr.2011.12.008","http://dx.doi.org/10.1016/j.csr.2011.12.008")</f>
        <v>http://dx.doi.org/10.1016/j.csr.2011.12.008</v>
      </c>
      <c r="BG388" t="s">
        <v>74</v>
      </c>
      <c r="BH388" t="s">
        <v>74</v>
      </c>
      <c r="BI388">
        <v>11</v>
      </c>
      <c r="BJ388" t="s">
        <v>350</v>
      </c>
      <c r="BK388" t="s">
        <v>99</v>
      </c>
      <c r="BL388" t="s">
        <v>350</v>
      </c>
      <c r="BM388" t="s">
        <v>7512</v>
      </c>
      <c r="BN388" t="s">
        <v>74</v>
      </c>
      <c r="BO388" t="s">
        <v>74</v>
      </c>
      <c r="BP388" t="s">
        <v>74</v>
      </c>
      <c r="BQ388" t="s">
        <v>74</v>
      </c>
      <c r="BR388" t="s">
        <v>101</v>
      </c>
      <c r="BS388" t="s">
        <v>7513</v>
      </c>
      <c r="BT388" t="str">
        <f>HYPERLINK("https%3A%2F%2Fwww.webofscience.com%2Fwos%2Fwoscc%2Ffull-record%2FWOS:000301616600005","View Full Record in Web of Science")</f>
        <v>View Full Record in Web of Science</v>
      </c>
    </row>
    <row r="389" spans="1:72" x14ac:dyDescent="0.15">
      <c r="A389" t="s">
        <v>72</v>
      </c>
      <c r="B389" t="s">
        <v>7514</v>
      </c>
      <c r="C389" t="s">
        <v>74</v>
      </c>
      <c r="D389" t="s">
        <v>74</v>
      </c>
      <c r="E389" t="s">
        <v>74</v>
      </c>
      <c r="F389" t="s">
        <v>7515</v>
      </c>
      <c r="G389" t="s">
        <v>74</v>
      </c>
      <c r="H389" t="s">
        <v>74</v>
      </c>
      <c r="I389" t="s">
        <v>7516</v>
      </c>
      <c r="J389" t="s">
        <v>7517</v>
      </c>
      <c r="K389" t="s">
        <v>74</v>
      </c>
      <c r="L389" t="s">
        <v>74</v>
      </c>
      <c r="M389" t="s">
        <v>78</v>
      </c>
      <c r="N389" t="s">
        <v>79</v>
      </c>
      <c r="O389" t="s">
        <v>74</v>
      </c>
      <c r="P389" t="s">
        <v>74</v>
      </c>
      <c r="Q389" t="s">
        <v>74</v>
      </c>
      <c r="R389" t="s">
        <v>74</v>
      </c>
      <c r="S389" t="s">
        <v>74</v>
      </c>
      <c r="T389" t="s">
        <v>7518</v>
      </c>
      <c r="U389" t="s">
        <v>7519</v>
      </c>
      <c r="V389" t="s">
        <v>7520</v>
      </c>
      <c r="W389" t="s">
        <v>7521</v>
      </c>
      <c r="X389" t="s">
        <v>7522</v>
      </c>
      <c r="Y389" t="s">
        <v>7523</v>
      </c>
      <c r="Z389" t="s">
        <v>7524</v>
      </c>
      <c r="AA389" t="s">
        <v>7525</v>
      </c>
      <c r="AB389" t="s">
        <v>7526</v>
      </c>
      <c r="AC389" t="s">
        <v>7527</v>
      </c>
      <c r="AD389" t="s">
        <v>7528</v>
      </c>
      <c r="AE389" t="s">
        <v>7529</v>
      </c>
      <c r="AF389" t="s">
        <v>74</v>
      </c>
      <c r="AG389">
        <v>49</v>
      </c>
      <c r="AH389">
        <v>22</v>
      </c>
      <c r="AI389">
        <v>32</v>
      </c>
      <c r="AJ389">
        <v>8</v>
      </c>
      <c r="AK389">
        <v>81</v>
      </c>
      <c r="AL389" t="s">
        <v>7530</v>
      </c>
      <c r="AM389" t="s">
        <v>7531</v>
      </c>
      <c r="AN389" t="s">
        <v>7532</v>
      </c>
      <c r="AO389" t="s">
        <v>7533</v>
      </c>
      <c r="AP389" t="s">
        <v>74</v>
      </c>
      <c r="AQ389" t="s">
        <v>74</v>
      </c>
      <c r="AR389" t="s">
        <v>7534</v>
      </c>
      <c r="AS389" t="s">
        <v>7535</v>
      </c>
      <c r="AT389" t="s">
        <v>6892</v>
      </c>
      <c r="AU389">
        <v>2012</v>
      </c>
      <c r="AV389">
        <v>34</v>
      </c>
      <c r="AW389" t="s">
        <v>74</v>
      </c>
      <c r="AX389">
        <v>1</v>
      </c>
      <c r="AY389" t="s">
        <v>74</v>
      </c>
      <c r="AZ389" t="s">
        <v>74</v>
      </c>
      <c r="BA389" t="s">
        <v>74</v>
      </c>
      <c r="BB389">
        <v>1</v>
      </c>
      <c r="BC389">
        <v>8</v>
      </c>
      <c r="BD389" t="s">
        <v>74</v>
      </c>
      <c r="BE389" t="s">
        <v>7536</v>
      </c>
      <c r="BF389" t="str">
        <f>HYPERLINK("http://dx.doi.org/10.1179/1743282011Y.0000000043","http://dx.doi.org/10.1179/1743282011Y.0000000043")</f>
        <v>http://dx.doi.org/10.1179/1743282011Y.0000000043</v>
      </c>
      <c r="BG389" t="s">
        <v>74</v>
      </c>
      <c r="BH389" t="s">
        <v>74</v>
      </c>
      <c r="BI389">
        <v>8</v>
      </c>
      <c r="BJ389" t="s">
        <v>396</v>
      </c>
      <c r="BK389" t="s">
        <v>99</v>
      </c>
      <c r="BL389" t="s">
        <v>396</v>
      </c>
      <c r="BM389" t="s">
        <v>7537</v>
      </c>
      <c r="BN389" t="s">
        <v>74</v>
      </c>
      <c r="BO389" t="s">
        <v>74</v>
      </c>
      <c r="BP389" t="s">
        <v>74</v>
      </c>
      <c r="BQ389" t="s">
        <v>74</v>
      </c>
      <c r="BR389" t="s">
        <v>101</v>
      </c>
      <c r="BS389" t="s">
        <v>7538</v>
      </c>
      <c r="BT389" t="str">
        <f>HYPERLINK("https%3A%2F%2Fwww.webofscience.com%2Fwos%2Fwoscc%2Ffull-record%2FWOS:000301410300001","View Full Record in Web of Science")</f>
        <v>View Full Record in Web of Science</v>
      </c>
    </row>
    <row r="390" spans="1:72" x14ac:dyDescent="0.15">
      <c r="A390" t="s">
        <v>72</v>
      </c>
      <c r="B390" t="s">
        <v>7539</v>
      </c>
      <c r="C390" t="s">
        <v>74</v>
      </c>
      <c r="D390" t="s">
        <v>74</v>
      </c>
      <c r="E390" t="s">
        <v>74</v>
      </c>
      <c r="F390" t="s">
        <v>7540</v>
      </c>
      <c r="G390" t="s">
        <v>74</v>
      </c>
      <c r="H390" t="s">
        <v>74</v>
      </c>
      <c r="I390" t="s">
        <v>7541</v>
      </c>
      <c r="J390" t="s">
        <v>7542</v>
      </c>
      <c r="K390" t="s">
        <v>74</v>
      </c>
      <c r="L390" t="s">
        <v>74</v>
      </c>
      <c r="M390" t="s">
        <v>78</v>
      </c>
      <c r="N390" t="s">
        <v>79</v>
      </c>
      <c r="O390" t="s">
        <v>74</v>
      </c>
      <c r="P390" t="s">
        <v>74</v>
      </c>
      <c r="Q390" t="s">
        <v>74</v>
      </c>
      <c r="R390" t="s">
        <v>74</v>
      </c>
      <c r="S390" t="s">
        <v>74</v>
      </c>
      <c r="T390" t="s">
        <v>7543</v>
      </c>
      <c r="U390" t="s">
        <v>7544</v>
      </c>
      <c r="V390" t="s">
        <v>7545</v>
      </c>
      <c r="W390" t="s">
        <v>7546</v>
      </c>
      <c r="X390" t="s">
        <v>7547</v>
      </c>
      <c r="Y390" t="s">
        <v>7548</v>
      </c>
      <c r="Z390" t="s">
        <v>7549</v>
      </c>
      <c r="AA390" t="s">
        <v>7550</v>
      </c>
      <c r="AB390" t="s">
        <v>7551</v>
      </c>
      <c r="AC390" t="s">
        <v>7552</v>
      </c>
      <c r="AD390" t="s">
        <v>5605</v>
      </c>
      <c r="AE390" t="s">
        <v>7553</v>
      </c>
      <c r="AF390" t="s">
        <v>74</v>
      </c>
      <c r="AG390">
        <v>38</v>
      </c>
      <c r="AH390">
        <v>1</v>
      </c>
      <c r="AI390">
        <v>2</v>
      </c>
      <c r="AJ390">
        <v>0</v>
      </c>
      <c r="AK390">
        <v>8</v>
      </c>
      <c r="AL390" t="s">
        <v>368</v>
      </c>
      <c r="AM390" t="s">
        <v>369</v>
      </c>
      <c r="AN390" t="s">
        <v>370</v>
      </c>
      <c r="AO390" t="s">
        <v>7554</v>
      </c>
      <c r="AP390" t="s">
        <v>7555</v>
      </c>
      <c r="AQ390" t="s">
        <v>74</v>
      </c>
      <c r="AR390" t="s">
        <v>7556</v>
      </c>
      <c r="AS390" t="s">
        <v>7557</v>
      </c>
      <c r="AT390" t="s">
        <v>6892</v>
      </c>
      <c r="AU390">
        <v>2012</v>
      </c>
      <c r="AV390">
        <v>5</v>
      </c>
      <c r="AW390" t="s">
        <v>74</v>
      </c>
      <c r="AX390" t="s">
        <v>74</v>
      </c>
      <c r="AY390" t="s">
        <v>74</v>
      </c>
      <c r="AZ390" t="s">
        <v>74</v>
      </c>
      <c r="BA390" t="s">
        <v>74</v>
      </c>
      <c r="BB390">
        <v>35</v>
      </c>
      <c r="BC390">
        <v>41</v>
      </c>
      <c r="BD390" t="s">
        <v>74</v>
      </c>
      <c r="BE390" t="s">
        <v>7558</v>
      </c>
      <c r="BF390" t="str">
        <f>HYPERLINK("http://dx.doi.org/10.1016/j.margen.2011.09.001","http://dx.doi.org/10.1016/j.margen.2011.09.001")</f>
        <v>http://dx.doi.org/10.1016/j.margen.2011.09.001</v>
      </c>
      <c r="BG390" t="s">
        <v>74</v>
      </c>
      <c r="BH390" t="s">
        <v>74</v>
      </c>
      <c r="BI390">
        <v>7</v>
      </c>
      <c r="BJ390" t="s">
        <v>7559</v>
      </c>
      <c r="BK390" t="s">
        <v>99</v>
      </c>
      <c r="BL390" t="s">
        <v>7559</v>
      </c>
      <c r="BM390" t="s">
        <v>7560</v>
      </c>
      <c r="BN390">
        <v>22325720</v>
      </c>
      <c r="BO390" t="s">
        <v>74</v>
      </c>
      <c r="BP390" t="s">
        <v>74</v>
      </c>
      <c r="BQ390" t="s">
        <v>74</v>
      </c>
      <c r="BR390" t="s">
        <v>101</v>
      </c>
      <c r="BS390" t="s">
        <v>7561</v>
      </c>
      <c r="BT390" t="str">
        <f>HYPERLINK("https%3A%2F%2Fwww.webofscience.com%2Fwos%2Fwoscc%2Ffull-record%2FWOS:000301700900006","View Full Record in Web of Science")</f>
        <v>View Full Record in Web of Science</v>
      </c>
    </row>
    <row r="391" spans="1:72" x14ac:dyDescent="0.15">
      <c r="A391" t="s">
        <v>72</v>
      </c>
      <c r="B391" t="s">
        <v>7562</v>
      </c>
      <c r="C391" t="s">
        <v>74</v>
      </c>
      <c r="D391" t="s">
        <v>74</v>
      </c>
      <c r="E391" t="s">
        <v>74</v>
      </c>
      <c r="F391" t="s">
        <v>7563</v>
      </c>
      <c r="G391" t="s">
        <v>74</v>
      </c>
      <c r="H391" t="s">
        <v>74</v>
      </c>
      <c r="I391" t="s">
        <v>7564</v>
      </c>
      <c r="J391" t="s">
        <v>7542</v>
      </c>
      <c r="K391" t="s">
        <v>74</v>
      </c>
      <c r="L391" t="s">
        <v>74</v>
      </c>
      <c r="M391" t="s">
        <v>78</v>
      </c>
      <c r="N391" t="s">
        <v>79</v>
      </c>
      <c r="O391" t="s">
        <v>74</v>
      </c>
      <c r="P391" t="s">
        <v>74</v>
      </c>
      <c r="Q391" t="s">
        <v>74</v>
      </c>
      <c r="R391" t="s">
        <v>74</v>
      </c>
      <c r="S391" t="s">
        <v>74</v>
      </c>
      <c r="T391" t="s">
        <v>7565</v>
      </c>
      <c r="U391" t="s">
        <v>7566</v>
      </c>
      <c r="V391" t="s">
        <v>7567</v>
      </c>
      <c r="W391" t="s">
        <v>7568</v>
      </c>
      <c r="X391" t="s">
        <v>7569</v>
      </c>
      <c r="Y391" t="s">
        <v>7570</v>
      </c>
      <c r="Z391" t="s">
        <v>7571</v>
      </c>
      <c r="AA391" t="s">
        <v>74</v>
      </c>
      <c r="AB391" t="s">
        <v>74</v>
      </c>
      <c r="AC391" t="s">
        <v>7572</v>
      </c>
      <c r="AD391" t="s">
        <v>7573</v>
      </c>
      <c r="AE391" t="s">
        <v>7574</v>
      </c>
      <c r="AF391" t="s">
        <v>74</v>
      </c>
      <c r="AG391">
        <v>23</v>
      </c>
      <c r="AH391">
        <v>11</v>
      </c>
      <c r="AI391">
        <v>12</v>
      </c>
      <c r="AJ391">
        <v>1</v>
      </c>
      <c r="AK391">
        <v>31</v>
      </c>
      <c r="AL391" t="s">
        <v>935</v>
      </c>
      <c r="AM391" t="s">
        <v>369</v>
      </c>
      <c r="AN391" t="s">
        <v>936</v>
      </c>
      <c r="AO391" t="s">
        <v>7554</v>
      </c>
      <c r="AP391" t="s">
        <v>7555</v>
      </c>
      <c r="AQ391" t="s">
        <v>74</v>
      </c>
      <c r="AR391" t="s">
        <v>7556</v>
      </c>
      <c r="AS391" t="s">
        <v>7557</v>
      </c>
      <c r="AT391" t="s">
        <v>6892</v>
      </c>
      <c r="AU391">
        <v>2012</v>
      </c>
      <c r="AV391">
        <v>5</v>
      </c>
      <c r="AW391" t="s">
        <v>74</v>
      </c>
      <c r="AX391" t="s">
        <v>74</v>
      </c>
      <c r="AY391" t="s">
        <v>74</v>
      </c>
      <c r="AZ391" t="s">
        <v>74</v>
      </c>
      <c r="BA391" t="s">
        <v>74</v>
      </c>
      <c r="BB391">
        <v>59</v>
      </c>
      <c r="BC391">
        <v>64</v>
      </c>
      <c r="BD391" t="s">
        <v>74</v>
      </c>
      <c r="BE391" t="s">
        <v>7575</v>
      </c>
      <c r="BF391" t="str">
        <f>HYPERLINK("http://dx.doi.org/10.1016/j.margen.2011.11.001","http://dx.doi.org/10.1016/j.margen.2011.11.001")</f>
        <v>http://dx.doi.org/10.1016/j.margen.2011.11.001</v>
      </c>
      <c r="BG391" t="s">
        <v>74</v>
      </c>
      <c r="BH391" t="s">
        <v>74</v>
      </c>
      <c r="BI391">
        <v>6</v>
      </c>
      <c r="BJ391" t="s">
        <v>7559</v>
      </c>
      <c r="BK391" t="s">
        <v>99</v>
      </c>
      <c r="BL391" t="s">
        <v>7559</v>
      </c>
      <c r="BM391" t="s">
        <v>7560</v>
      </c>
      <c r="BN391">
        <v>22325723</v>
      </c>
      <c r="BO391" t="s">
        <v>74</v>
      </c>
      <c r="BP391" t="s">
        <v>74</v>
      </c>
      <c r="BQ391" t="s">
        <v>74</v>
      </c>
      <c r="BR391" t="s">
        <v>101</v>
      </c>
      <c r="BS391" t="s">
        <v>7576</v>
      </c>
      <c r="BT391" t="str">
        <f>HYPERLINK("https%3A%2F%2Fwww.webofscience.com%2Fwos%2Fwoscc%2Ffull-record%2FWOS:000301700900009","View Full Record in Web of Science")</f>
        <v>View Full Record in Web of Science</v>
      </c>
    </row>
    <row r="392" spans="1:72" x14ac:dyDescent="0.15">
      <c r="A392" t="s">
        <v>72</v>
      </c>
      <c r="B392" t="s">
        <v>7577</v>
      </c>
      <c r="C392" t="s">
        <v>74</v>
      </c>
      <c r="D392" t="s">
        <v>74</v>
      </c>
      <c r="E392" t="s">
        <v>74</v>
      </c>
      <c r="F392" t="s">
        <v>7578</v>
      </c>
      <c r="G392" t="s">
        <v>74</v>
      </c>
      <c r="H392" t="s">
        <v>74</v>
      </c>
      <c r="I392" t="s">
        <v>7579</v>
      </c>
      <c r="J392" t="s">
        <v>2303</v>
      </c>
      <c r="K392" t="s">
        <v>74</v>
      </c>
      <c r="L392" t="s">
        <v>74</v>
      </c>
      <c r="M392" t="s">
        <v>78</v>
      </c>
      <c r="N392" t="s">
        <v>79</v>
      </c>
      <c r="O392" t="s">
        <v>74</v>
      </c>
      <c r="P392" t="s">
        <v>74</v>
      </c>
      <c r="Q392" t="s">
        <v>74</v>
      </c>
      <c r="R392" t="s">
        <v>74</v>
      </c>
      <c r="S392" t="s">
        <v>74</v>
      </c>
      <c r="T392" t="s">
        <v>7580</v>
      </c>
      <c r="U392" t="s">
        <v>7581</v>
      </c>
      <c r="V392" t="s">
        <v>7582</v>
      </c>
      <c r="W392" t="s">
        <v>7583</v>
      </c>
      <c r="X392" t="s">
        <v>7584</v>
      </c>
      <c r="Y392" t="s">
        <v>7585</v>
      </c>
      <c r="Z392" t="s">
        <v>7586</v>
      </c>
      <c r="AA392" t="s">
        <v>7587</v>
      </c>
      <c r="AB392" t="s">
        <v>7588</v>
      </c>
      <c r="AC392" t="s">
        <v>7589</v>
      </c>
      <c r="AD392" t="s">
        <v>7590</v>
      </c>
      <c r="AE392" t="s">
        <v>7591</v>
      </c>
      <c r="AF392" t="s">
        <v>74</v>
      </c>
      <c r="AG392">
        <v>48</v>
      </c>
      <c r="AH392">
        <v>5</v>
      </c>
      <c r="AI392">
        <v>5</v>
      </c>
      <c r="AJ392">
        <v>0</v>
      </c>
      <c r="AK392">
        <v>22</v>
      </c>
      <c r="AL392" t="s">
        <v>655</v>
      </c>
      <c r="AM392" t="s">
        <v>656</v>
      </c>
      <c r="AN392" t="s">
        <v>657</v>
      </c>
      <c r="AO392" t="s">
        <v>2316</v>
      </c>
      <c r="AP392" t="s">
        <v>74</v>
      </c>
      <c r="AQ392" t="s">
        <v>74</v>
      </c>
      <c r="AR392" t="s">
        <v>2317</v>
      </c>
      <c r="AS392" t="s">
        <v>2318</v>
      </c>
      <c r="AT392" t="s">
        <v>6892</v>
      </c>
      <c r="AU392">
        <v>2012</v>
      </c>
      <c r="AV392">
        <v>35</v>
      </c>
      <c r="AW392">
        <v>3</v>
      </c>
      <c r="AX392" t="s">
        <v>74</v>
      </c>
      <c r="AY392" t="s">
        <v>74</v>
      </c>
      <c r="AZ392" t="s">
        <v>74</v>
      </c>
      <c r="BA392" t="s">
        <v>74</v>
      </c>
      <c r="BB392">
        <v>369</v>
      </c>
      <c r="BC392">
        <v>386</v>
      </c>
      <c r="BD392" t="s">
        <v>74</v>
      </c>
      <c r="BE392" t="s">
        <v>7592</v>
      </c>
      <c r="BF392" t="str">
        <f>HYPERLINK("http://dx.doi.org/10.1007/s00300-011-1083-1","http://dx.doi.org/10.1007/s00300-011-1083-1")</f>
        <v>http://dx.doi.org/10.1007/s00300-011-1083-1</v>
      </c>
      <c r="BG392" t="s">
        <v>74</v>
      </c>
      <c r="BH392" t="s">
        <v>74</v>
      </c>
      <c r="BI392">
        <v>18</v>
      </c>
      <c r="BJ392" t="s">
        <v>2320</v>
      </c>
      <c r="BK392" t="s">
        <v>99</v>
      </c>
      <c r="BL392" t="s">
        <v>1784</v>
      </c>
      <c r="BM392" t="s">
        <v>7593</v>
      </c>
      <c r="BN392" t="s">
        <v>74</v>
      </c>
      <c r="BO392" t="s">
        <v>74</v>
      </c>
      <c r="BP392" t="s">
        <v>74</v>
      </c>
      <c r="BQ392" t="s">
        <v>74</v>
      </c>
      <c r="BR392" t="s">
        <v>101</v>
      </c>
      <c r="BS392" t="s">
        <v>7594</v>
      </c>
      <c r="BT392" t="str">
        <f>HYPERLINK("https%3A%2F%2Fwww.webofscience.com%2Fwos%2Fwoscc%2Ffull-record%2FWOS:000301452600005","View Full Record in Web of Science")</f>
        <v>View Full Record in Web of Science</v>
      </c>
    </row>
    <row r="393" spans="1:72" x14ac:dyDescent="0.15">
      <c r="A393" t="s">
        <v>72</v>
      </c>
      <c r="B393" t="s">
        <v>7595</v>
      </c>
      <c r="C393" t="s">
        <v>74</v>
      </c>
      <c r="D393" t="s">
        <v>74</v>
      </c>
      <c r="E393" t="s">
        <v>74</v>
      </c>
      <c r="F393" t="s">
        <v>7596</v>
      </c>
      <c r="G393" t="s">
        <v>74</v>
      </c>
      <c r="H393" t="s">
        <v>74</v>
      </c>
      <c r="I393" t="s">
        <v>7597</v>
      </c>
      <c r="J393" t="s">
        <v>2303</v>
      </c>
      <c r="K393" t="s">
        <v>74</v>
      </c>
      <c r="L393" t="s">
        <v>74</v>
      </c>
      <c r="M393" t="s">
        <v>78</v>
      </c>
      <c r="N393" t="s">
        <v>79</v>
      </c>
      <c r="O393" t="s">
        <v>74</v>
      </c>
      <c r="P393" t="s">
        <v>74</v>
      </c>
      <c r="Q393" t="s">
        <v>74</v>
      </c>
      <c r="R393" t="s">
        <v>74</v>
      </c>
      <c r="S393" t="s">
        <v>74</v>
      </c>
      <c r="T393" t="s">
        <v>7598</v>
      </c>
      <c r="U393" t="s">
        <v>7599</v>
      </c>
      <c r="V393" t="s">
        <v>7600</v>
      </c>
      <c r="W393" t="s">
        <v>7601</v>
      </c>
      <c r="X393" t="s">
        <v>7602</v>
      </c>
      <c r="Y393" t="s">
        <v>7603</v>
      </c>
      <c r="Z393" t="s">
        <v>7604</v>
      </c>
      <c r="AA393" t="s">
        <v>7605</v>
      </c>
      <c r="AB393" t="s">
        <v>7606</v>
      </c>
      <c r="AC393" t="s">
        <v>7607</v>
      </c>
      <c r="AD393" t="s">
        <v>7608</v>
      </c>
      <c r="AE393" t="s">
        <v>7609</v>
      </c>
      <c r="AF393" t="s">
        <v>74</v>
      </c>
      <c r="AG393">
        <v>56</v>
      </c>
      <c r="AH393">
        <v>16</v>
      </c>
      <c r="AI393">
        <v>16</v>
      </c>
      <c r="AJ393">
        <v>0</v>
      </c>
      <c r="AK393">
        <v>50</v>
      </c>
      <c r="AL393" t="s">
        <v>655</v>
      </c>
      <c r="AM393" t="s">
        <v>656</v>
      </c>
      <c r="AN393" t="s">
        <v>657</v>
      </c>
      <c r="AO393" t="s">
        <v>2316</v>
      </c>
      <c r="AP393" t="s">
        <v>2338</v>
      </c>
      <c r="AQ393" t="s">
        <v>74</v>
      </c>
      <c r="AR393" t="s">
        <v>2317</v>
      </c>
      <c r="AS393" t="s">
        <v>2318</v>
      </c>
      <c r="AT393" t="s">
        <v>6892</v>
      </c>
      <c r="AU393">
        <v>2012</v>
      </c>
      <c r="AV393">
        <v>35</v>
      </c>
      <c r="AW393">
        <v>3</v>
      </c>
      <c r="AX393" t="s">
        <v>74</v>
      </c>
      <c r="AY393" t="s">
        <v>74</v>
      </c>
      <c r="AZ393" t="s">
        <v>74</v>
      </c>
      <c r="BA393" t="s">
        <v>74</v>
      </c>
      <c r="BB393">
        <v>413</v>
      </c>
      <c r="BC393">
        <v>424</v>
      </c>
      <c r="BD393" t="s">
        <v>74</v>
      </c>
      <c r="BE393" t="s">
        <v>7610</v>
      </c>
      <c r="BF393" t="str">
        <f>HYPERLINK("http://dx.doi.org/10.1007/s00300-011-1089-8","http://dx.doi.org/10.1007/s00300-011-1089-8")</f>
        <v>http://dx.doi.org/10.1007/s00300-011-1089-8</v>
      </c>
      <c r="BG393" t="s">
        <v>74</v>
      </c>
      <c r="BH393" t="s">
        <v>74</v>
      </c>
      <c r="BI393">
        <v>12</v>
      </c>
      <c r="BJ393" t="s">
        <v>2320</v>
      </c>
      <c r="BK393" t="s">
        <v>99</v>
      </c>
      <c r="BL393" t="s">
        <v>1784</v>
      </c>
      <c r="BM393" t="s">
        <v>7593</v>
      </c>
      <c r="BN393" t="s">
        <v>74</v>
      </c>
      <c r="BO393" t="s">
        <v>74</v>
      </c>
      <c r="BP393" t="s">
        <v>74</v>
      </c>
      <c r="BQ393" t="s">
        <v>74</v>
      </c>
      <c r="BR393" t="s">
        <v>101</v>
      </c>
      <c r="BS393" t="s">
        <v>7611</v>
      </c>
      <c r="BT393" t="str">
        <f>HYPERLINK("https%3A%2F%2Fwww.webofscience.com%2Fwos%2Fwoscc%2Ffull-record%2FWOS:000301452600008","View Full Record in Web of Science")</f>
        <v>View Full Record in Web of Science</v>
      </c>
    </row>
    <row r="394" spans="1:72" x14ac:dyDescent="0.15">
      <c r="A394" t="s">
        <v>72</v>
      </c>
      <c r="B394" t="s">
        <v>7612</v>
      </c>
      <c r="C394" t="s">
        <v>74</v>
      </c>
      <c r="D394" t="s">
        <v>74</v>
      </c>
      <c r="E394" t="s">
        <v>74</v>
      </c>
      <c r="F394" t="s">
        <v>7613</v>
      </c>
      <c r="G394" t="s">
        <v>74</v>
      </c>
      <c r="H394" t="s">
        <v>74</v>
      </c>
      <c r="I394" t="s">
        <v>7614</v>
      </c>
      <c r="J394" t="s">
        <v>2303</v>
      </c>
      <c r="K394" t="s">
        <v>74</v>
      </c>
      <c r="L394" t="s">
        <v>74</v>
      </c>
      <c r="M394" t="s">
        <v>78</v>
      </c>
      <c r="N394" t="s">
        <v>79</v>
      </c>
      <c r="O394" t="s">
        <v>74</v>
      </c>
      <c r="P394" t="s">
        <v>74</v>
      </c>
      <c r="Q394" t="s">
        <v>74</v>
      </c>
      <c r="R394" t="s">
        <v>74</v>
      </c>
      <c r="S394" t="s">
        <v>74</v>
      </c>
      <c r="T394" t="s">
        <v>7615</v>
      </c>
      <c r="U394" t="s">
        <v>7616</v>
      </c>
      <c r="V394" t="s">
        <v>7617</v>
      </c>
      <c r="W394" t="s">
        <v>7618</v>
      </c>
      <c r="X394" t="s">
        <v>7619</v>
      </c>
      <c r="Y394" t="s">
        <v>7620</v>
      </c>
      <c r="Z394" t="s">
        <v>7621</v>
      </c>
      <c r="AA394" t="s">
        <v>7622</v>
      </c>
      <c r="AB394" t="s">
        <v>7623</v>
      </c>
      <c r="AC394" t="s">
        <v>7624</v>
      </c>
      <c r="AD394" t="s">
        <v>7625</v>
      </c>
      <c r="AE394" t="s">
        <v>7626</v>
      </c>
      <c r="AF394" t="s">
        <v>74</v>
      </c>
      <c r="AG394">
        <v>59</v>
      </c>
      <c r="AH394">
        <v>26</v>
      </c>
      <c r="AI394">
        <v>29</v>
      </c>
      <c r="AJ394">
        <v>1</v>
      </c>
      <c r="AK394">
        <v>49</v>
      </c>
      <c r="AL394" t="s">
        <v>655</v>
      </c>
      <c r="AM394" t="s">
        <v>656</v>
      </c>
      <c r="AN394" t="s">
        <v>1908</v>
      </c>
      <c r="AO394" t="s">
        <v>2316</v>
      </c>
      <c r="AP394" t="s">
        <v>2338</v>
      </c>
      <c r="AQ394" t="s">
        <v>74</v>
      </c>
      <c r="AR394" t="s">
        <v>2317</v>
      </c>
      <c r="AS394" t="s">
        <v>2318</v>
      </c>
      <c r="AT394" t="s">
        <v>6892</v>
      </c>
      <c r="AU394">
        <v>2012</v>
      </c>
      <c r="AV394">
        <v>35</v>
      </c>
      <c r="AW394">
        <v>3</v>
      </c>
      <c r="AX394" t="s">
        <v>74</v>
      </c>
      <c r="AY394" t="s">
        <v>74</v>
      </c>
      <c r="AZ394" t="s">
        <v>74</v>
      </c>
      <c r="BA394" t="s">
        <v>74</v>
      </c>
      <c r="BB394">
        <v>455</v>
      </c>
      <c r="BC394">
        <v>461</v>
      </c>
      <c r="BD394" t="s">
        <v>74</v>
      </c>
      <c r="BE394" t="s">
        <v>7627</v>
      </c>
      <c r="BF394" t="str">
        <f>HYPERLINK("http://dx.doi.org/10.1007/s00300-011-1074-2","http://dx.doi.org/10.1007/s00300-011-1074-2")</f>
        <v>http://dx.doi.org/10.1007/s00300-011-1074-2</v>
      </c>
      <c r="BG394" t="s">
        <v>74</v>
      </c>
      <c r="BH394" t="s">
        <v>74</v>
      </c>
      <c r="BI394">
        <v>7</v>
      </c>
      <c r="BJ394" t="s">
        <v>2320</v>
      </c>
      <c r="BK394" t="s">
        <v>99</v>
      </c>
      <c r="BL394" t="s">
        <v>1784</v>
      </c>
      <c r="BM394" t="s">
        <v>7593</v>
      </c>
      <c r="BN394" t="s">
        <v>74</v>
      </c>
      <c r="BO394" t="s">
        <v>74</v>
      </c>
      <c r="BP394" t="s">
        <v>74</v>
      </c>
      <c r="BQ394" t="s">
        <v>74</v>
      </c>
      <c r="BR394" t="s">
        <v>101</v>
      </c>
      <c r="BS394" t="s">
        <v>7628</v>
      </c>
      <c r="BT394" t="str">
        <f>HYPERLINK("https%3A%2F%2Fwww.webofscience.com%2Fwos%2Fwoscc%2Ffull-record%2FWOS:000301452600012","View Full Record in Web of Science")</f>
        <v>View Full Record in Web of Science</v>
      </c>
    </row>
    <row r="395" spans="1:72" x14ac:dyDescent="0.15">
      <c r="A395" t="s">
        <v>72</v>
      </c>
      <c r="B395" t="s">
        <v>7629</v>
      </c>
      <c r="C395" t="s">
        <v>74</v>
      </c>
      <c r="D395" t="s">
        <v>74</v>
      </c>
      <c r="E395" t="s">
        <v>74</v>
      </c>
      <c r="F395" t="s">
        <v>7630</v>
      </c>
      <c r="G395" t="s">
        <v>74</v>
      </c>
      <c r="H395" t="s">
        <v>74</v>
      </c>
      <c r="I395" t="s">
        <v>7631</v>
      </c>
      <c r="J395" t="s">
        <v>2303</v>
      </c>
      <c r="K395" t="s">
        <v>74</v>
      </c>
      <c r="L395" t="s">
        <v>74</v>
      </c>
      <c r="M395" t="s">
        <v>78</v>
      </c>
      <c r="N395" t="s">
        <v>79</v>
      </c>
      <c r="O395" t="s">
        <v>74</v>
      </c>
      <c r="P395" t="s">
        <v>74</v>
      </c>
      <c r="Q395" t="s">
        <v>74</v>
      </c>
      <c r="R395" t="s">
        <v>74</v>
      </c>
      <c r="S395" t="s">
        <v>74</v>
      </c>
      <c r="T395" t="s">
        <v>7632</v>
      </c>
      <c r="U395" t="s">
        <v>7633</v>
      </c>
      <c r="V395" t="s">
        <v>7634</v>
      </c>
      <c r="W395" t="s">
        <v>7635</v>
      </c>
      <c r="X395" t="s">
        <v>7636</v>
      </c>
      <c r="Y395" t="s">
        <v>7637</v>
      </c>
      <c r="Z395" t="s">
        <v>7638</v>
      </c>
      <c r="AA395" t="s">
        <v>7639</v>
      </c>
      <c r="AB395" t="s">
        <v>7640</v>
      </c>
      <c r="AC395" t="s">
        <v>7641</v>
      </c>
      <c r="AD395" t="s">
        <v>7642</v>
      </c>
      <c r="AE395" t="s">
        <v>7643</v>
      </c>
      <c r="AF395" t="s">
        <v>74</v>
      </c>
      <c r="AG395">
        <v>31</v>
      </c>
      <c r="AH395">
        <v>6</v>
      </c>
      <c r="AI395">
        <v>6</v>
      </c>
      <c r="AJ395">
        <v>8</v>
      </c>
      <c r="AK395">
        <v>64</v>
      </c>
      <c r="AL395" t="s">
        <v>655</v>
      </c>
      <c r="AM395" t="s">
        <v>656</v>
      </c>
      <c r="AN395" t="s">
        <v>657</v>
      </c>
      <c r="AO395" t="s">
        <v>2316</v>
      </c>
      <c r="AP395" t="s">
        <v>2338</v>
      </c>
      <c r="AQ395" t="s">
        <v>74</v>
      </c>
      <c r="AR395" t="s">
        <v>2317</v>
      </c>
      <c r="AS395" t="s">
        <v>2318</v>
      </c>
      <c r="AT395" t="s">
        <v>6892</v>
      </c>
      <c r="AU395">
        <v>2012</v>
      </c>
      <c r="AV395">
        <v>35</v>
      </c>
      <c r="AW395">
        <v>3</v>
      </c>
      <c r="AX395" t="s">
        <v>74</v>
      </c>
      <c r="AY395" t="s">
        <v>74</v>
      </c>
      <c r="AZ395" t="s">
        <v>74</v>
      </c>
      <c r="BA395" t="s">
        <v>74</v>
      </c>
      <c r="BB395">
        <v>463</v>
      </c>
      <c r="BC395">
        <v>468</v>
      </c>
      <c r="BD395" t="s">
        <v>74</v>
      </c>
      <c r="BE395" t="s">
        <v>7644</v>
      </c>
      <c r="BF395" t="str">
        <f>HYPERLINK("http://dx.doi.org/10.1007/s00300-011-1076-0","http://dx.doi.org/10.1007/s00300-011-1076-0")</f>
        <v>http://dx.doi.org/10.1007/s00300-011-1076-0</v>
      </c>
      <c r="BG395" t="s">
        <v>74</v>
      </c>
      <c r="BH395" t="s">
        <v>74</v>
      </c>
      <c r="BI395">
        <v>6</v>
      </c>
      <c r="BJ395" t="s">
        <v>2320</v>
      </c>
      <c r="BK395" t="s">
        <v>99</v>
      </c>
      <c r="BL395" t="s">
        <v>1784</v>
      </c>
      <c r="BM395" t="s">
        <v>7593</v>
      </c>
      <c r="BN395" t="s">
        <v>74</v>
      </c>
      <c r="BO395" t="s">
        <v>74</v>
      </c>
      <c r="BP395" t="s">
        <v>74</v>
      </c>
      <c r="BQ395" t="s">
        <v>74</v>
      </c>
      <c r="BR395" t="s">
        <v>101</v>
      </c>
      <c r="BS395" t="s">
        <v>7645</v>
      </c>
      <c r="BT395" t="str">
        <f>HYPERLINK("https%3A%2F%2Fwww.webofscience.com%2Fwos%2Fwoscc%2Ffull-record%2FWOS:000301452600013","View Full Record in Web of Science")</f>
        <v>View Full Record in Web of Science</v>
      </c>
    </row>
    <row r="396" spans="1:72" x14ac:dyDescent="0.15">
      <c r="A396" t="s">
        <v>72</v>
      </c>
      <c r="B396" t="s">
        <v>7646</v>
      </c>
      <c r="C396" t="s">
        <v>74</v>
      </c>
      <c r="D396" t="s">
        <v>74</v>
      </c>
      <c r="E396" t="s">
        <v>74</v>
      </c>
      <c r="F396" t="s">
        <v>7647</v>
      </c>
      <c r="G396" t="s">
        <v>74</v>
      </c>
      <c r="H396" t="s">
        <v>74</v>
      </c>
      <c r="I396" t="s">
        <v>7648</v>
      </c>
      <c r="J396" t="s">
        <v>2303</v>
      </c>
      <c r="K396" t="s">
        <v>74</v>
      </c>
      <c r="L396" t="s">
        <v>74</v>
      </c>
      <c r="M396" t="s">
        <v>78</v>
      </c>
      <c r="N396" t="s">
        <v>79</v>
      </c>
      <c r="O396" t="s">
        <v>74</v>
      </c>
      <c r="P396" t="s">
        <v>74</v>
      </c>
      <c r="Q396" t="s">
        <v>74</v>
      </c>
      <c r="R396" t="s">
        <v>74</v>
      </c>
      <c r="S396" t="s">
        <v>74</v>
      </c>
      <c r="T396" t="s">
        <v>7649</v>
      </c>
      <c r="U396" t="s">
        <v>7650</v>
      </c>
      <c r="V396" t="s">
        <v>7651</v>
      </c>
      <c r="W396" t="s">
        <v>7652</v>
      </c>
      <c r="X396" t="s">
        <v>7653</v>
      </c>
      <c r="Y396" t="s">
        <v>7654</v>
      </c>
      <c r="Z396" t="s">
        <v>7655</v>
      </c>
      <c r="AA396" t="s">
        <v>7656</v>
      </c>
      <c r="AB396" t="s">
        <v>7657</v>
      </c>
      <c r="AC396" t="s">
        <v>7658</v>
      </c>
      <c r="AD396" t="s">
        <v>7659</v>
      </c>
      <c r="AE396" t="s">
        <v>7660</v>
      </c>
      <c r="AF396" t="s">
        <v>74</v>
      </c>
      <c r="AG396">
        <v>56</v>
      </c>
      <c r="AH396">
        <v>0</v>
      </c>
      <c r="AI396">
        <v>2</v>
      </c>
      <c r="AJ396">
        <v>0</v>
      </c>
      <c r="AK396">
        <v>12</v>
      </c>
      <c r="AL396" t="s">
        <v>655</v>
      </c>
      <c r="AM396" t="s">
        <v>656</v>
      </c>
      <c r="AN396" t="s">
        <v>657</v>
      </c>
      <c r="AO396" t="s">
        <v>2316</v>
      </c>
      <c r="AP396" t="s">
        <v>74</v>
      </c>
      <c r="AQ396" t="s">
        <v>74</v>
      </c>
      <c r="AR396" t="s">
        <v>2317</v>
      </c>
      <c r="AS396" t="s">
        <v>2318</v>
      </c>
      <c r="AT396" t="s">
        <v>6892</v>
      </c>
      <c r="AU396">
        <v>2012</v>
      </c>
      <c r="AV396">
        <v>35</v>
      </c>
      <c r="AW396">
        <v>3</v>
      </c>
      <c r="AX396" t="s">
        <v>74</v>
      </c>
      <c r="AY396" t="s">
        <v>74</v>
      </c>
      <c r="AZ396" t="s">
        <v>74</v>
      </c>
      <c r="BA396" t="s">
        <v>74</v>
      </c>
      <c r="BB396">
        <v>469</v>
      </c>
      <c r="BC396">
        <v>473</v>
      </c>
      <c r="BD396" t="s">
        <v>74</v>
      </c>
      <c r="BE396" t="s">
        <v>7661</v>
      </c>
      <c r="BF396" t="str">
        <f>HYPERLINK("http://dx.doi.org/10.1007/s00300-011-1082-2","http://dx.doi.org/10.1007/s00300-011-1082-2")</f>
        <v>http://dx.doi.org/10.1007/s00300-011-1082-2</v>
      </c>
      <c r="BG396" t="s">
        <v>74</v>
      </c>
      <c r="BH396" t="s">
        <v>74</v>
      </c>
      <c r="BI396">
        <v>5</v>
      </c>
      <c r="BJ396" t="s">
        <v>2320</v>
      </c>
      <c r="BK396" t="s">
        <v>99</v>
      </c>
      <c r="BL396" t="s">
        <v>1784</v>
      </c>
      <c r="BM396" t="s">
        <v>7593</v>
      </c>
      <c r="BN396" t="s">
        <v>74</v>
      </c>
      <c r="BO396" t="s">
        <v>74</v>
      </c>
      <c r="BP396" t="s">
        <v>74</v>
      </c>
      <c r="BQ396" t="s">
        <v>74</v>
      </c>
      <c r="BR396" t="s">
        <v>101</v>
      </c>
      <c r="BS396" t="s">
        <v>7662</v>
      </c>
      <c r="BT396" t="str">
        <f>HYPERLINK("https%3A%2F%2Fwww.webofscience.com%2Fwos%2Fwoscc%2Ffull-record%2FWOS:000301452600014","View Full Record in Web of Science")</f>
        <v>View Full Record in Web of Science</v>
      </c>
    </row>
    <row r="397" spans="1:72" x14ac:dyDescent="0.15">
      <c r="A397" t="s">
        <v>72</v>
      </c>
      <c r="B397" t="s">
        <v>7663</v>
      </c>
      <c r="C397" t="s">
        <v>74</v>
      </c>
      <c r="D397" t="s">
        <v>74</v>
      </c>
      <c r="E397" t="s">
        <v>74</v>
      </c>
      <c r="F397" t="s">
        <v>7664</v>
      </c>
      <c r="G397" t="s">
        <v>74</v>
      </c>
      <c r="H397" t="s">
        <v>74</v>
      </c>
      <c r="I397" t="s">
        <v>7665</v>
      </c>
      <c r="J397" t="s">
        <v>1288</v>
      </c>
      <c r="K397" t="s">
        <v>74</v>
      </c>
      <c r="L397" t="s">
        <v>74</v>
      </c>
      <c r="M397" t="s">
        <v>78</v>
      </c>
      <c r="N397" t="s">
        <v>1073</v>
      </c>
      <c r="O397" t="s">
        <v>74</v>
      </c>
      <c r="P397" t="s">
        <v>74</v>
      </c>
      <c r="Q397" t="s">
        <v>74</v>
      </c>
      <c r="R397" t="s">
        <v>74</v>
      </c>
      <c r="S397" t="s">
        <v>74</v>
      </c>
      <c r="T397" t="s">
        <v>7666</v>
      </c>
      <c r="U397" t="s">
        <v>7667</v>
      </c>
      <c r="V397" t="s">
        <v>7668</v>
      </c>
      <c r="W397" t="s">
        <v>7669</v>
      </c>
      <c r="X397" t="s">
        <v>7670</v>
      </c>
      <c r="Y397" t="s">
        <v>7671</v>
      </c>
      <c r="Z397" t="s">
        <v>7672</v>
      </c>
      <c r="AA397" t="s">
        <v>74</v>
      </c>
      <c r="AB397" t="s">
        <v>7673</v>
      </c>
      <c r="AC397" t="s">
        <v>7674</v>
      </c>
      <c r="AD397" t="s">
        <v>7675</v>
      </c>
      <c r="AE397" t="s">
        <v>7676</v>
      </c>
      <c r="AF397" t="s">
        <v>74</v>
      </c>
      <c r="AG397">
        <v>66</v>
      </c>
      <c r="AH397">
        <v>16</v>
      </c>
      <c r="AI397">
        <v>20</v>
      </c>
      <c r="AJ397">
        <v>5</v>
      </c>
      <c r="AK397">
        <v>104</v>
      </c>
      <c r="AL397" t="s">
        <v>1301</v>
      </c>
      <c r="AM397" t="s">
        <v>604</v>
      </c>
      <c r="AN397" t="s">
        <v>1302</v>
      </c>
      <c r="AO397" t="s">
        <v>1303</v>
      </c>
      <c r="AP397" t="s">
        <v>1304</v>
      </c>
      <c r="AQ397" t="s">
        <v>74</v>
      </c>
      <c r="AR397" t="s">
        <v>1288</v>
      </c>
      <c r="AS397" t="s">
        <v>1305</v>
      </c>
      <c r="AT397" t="s">
        <v>6892</v>
      </c>
      <c r="AU397">
        <v>2012</v>
      </c>
      <c r="AV397">
        <v>16</v>
      </c>
      <c r="AW397">
        <v>2</v>
      </c>
      <c r="AX397" t="s">
        <v>74</v>
      </c>
      <c r="AY397" t="s">
        <v>74</v>
      </c>
      <c r="AZ397" t="s">
        <v>74</v>
      </c>
      <c r="BA397" t="s">
        <v>74</v>
      </c>
      <c r="BB397">
        <v>167</v>
      </c>
      <c r="BC397">
        <v>176</v>
      </c>
      <c r="BD397" t="s">
        <v>74</v>
      </c>
      <c r="BE397" t="s">
        <v>7677</v>
      </c>
      <c r="BF397" t="str">
        <f>HYPERLINK("http://dx.doi.org/10.1007/s00792-011-0423-y","http://dx.doi.org/10.1007/s00792-011-0423-y")</f>
        <v>http://dx.doi.org/10.1007/s00792-011-0423-y</v>
      </c>
      <c r="BG397" t="s">
        <v>74</v>
      </c>
      <c r="BH397" t="s">
        <v>74</v>
      </c>
      <c r="BI397">
        <v>10</v>
      </c>
      <c r="BJ397" t="s">
        <v>1307</v>
      </c>
      <c r="BK397" t="s">
        <v>99</v>
      </c>
      <c r="BL397" t="s">
        <v>1307</v>
      </c>
      <c r="BM397" t="s">
        <v>7678</v>
      </c>
      <c r="BN397">
        <v>22212655</v>
      </c>
      <c r="BO397" t="s">
        <v>74</v>
      </c>
      <c r="BP397" t="s">
        <v>74</v>
      </c>
      <c r="BQ397" t="s">
        <v>74</v>
      </c>
      <c r="BR397" t="s">
        <v>101</v>
      </c>
      <c r="BS397" t="s">
        <v>7679</v>
      </c>
      <c r="BT397" t="str">
        <f>HYPERLINK("https%3A%2F%2Fwww.webofscience.com%2Fwos%2Fwoscc%2Ffull-record%2FWOS:000301182300001","View Full Record in Web of Science")</f>
        <v>View Full Record in Web of Science</v>
      </c>
    </row>
    <row r="398" spans="1:72" x14ac:dyDescent="0.15">
      <c r="A398" t="s">
        <v>72</v>
      </c>
      <c r="B398" t="s">
        <v>7680</v>
      </c>
      <c r="C398" t="s">
        <v>74</v>
      </c>
      <c r="D398" t="s">
        <v>74</v>
      </c>
      <c r="E398" t="s">
        <v>74</v>
      </c>
      <c r="F398" t="s">
        <v>7681</v>
      </c>
      <c r="G398" t="s">
        <v>74</v>
      </c>
      <c r="H398" t="s">
        <v>74</v>
      </c>
      <c r="I398" t="s">
        <v>7682</v>
      </c>
      <c r="J398" t="s">
        <v>1288</v>
      </c>
      <c r="K398" t="s">
        <v>74</v>
      </c>
      <c r="L398" t="s">
        <v>74</v>
      </c>
      <c r="M398" t="s">
        <v>78</v>
      </c>
      <c r="N398" t="s">
        <v>79</v>
      </c>
      <c r="O398" t="s">
        <v>74</v>
      </c>
      <c r="P398" t="s">
        <v>74</v>
      </c>
      <c r="Q398" t="s">
        <v>74</v>
      </c>
      <c r="R398" t="s">
        <v>74</v>
      </c>
      <c r="S398" t="s">
        <v>74</v>
      </c>
      <c r="T398" t="s">
        <v>7683</v>
      </c>
      <c r="U398" t="s">
        <v>7684</v>
      </c>
      <c r="V398" t="s">
        <v>7685</v>
      </c>
      <c r="W398" t="s">
        <v>7686</v>
      </c>
      <c r="X398" t="s">
        <v>7687</v>
      </c>
      <c r="Y398" t="s">
        <v>7688</v>
      </c>
      <c r="Z398" t="s">
        <v>7689</v>
      </c>
      <c r="AA398" t="s">
        <v>7690</v>
      </c>
      <c r="AB398" t="s">
        <v>74</v>
      </c>
      <c r="AC398" t="s">
        <v>7691</v>
      </c>
      <c r="AD398" t="s">
        <v>7692</v>
      </c>
      <c r="AE398" t="s">
        <v>7693</v>
      </c>
      <c r="AF398" t="s">
        <v>74</v>
      </c>
      <c r="AG398">
        <v>46</v>
      </c>
      <c r="AH398">
        <v>28</v>
      </c>
      <c r="AI398">
        <v>31</v>
      </c>
      <c r="AJ398">
        <v>0</v>
      </c>
      <c r="AK398">
        <v>24</v>
      </c>
      <c r="AL398" t="s">
        <v>1301</v>
      </c>
      <c r="AM398" t="s">
        <v>604</v>
      </c>
      <c r="AN398" t="s">
        <v>1302</v>
      </c>
      <c r="AO398" t="s">
        <v>1303</v>
      </c>
      <c r="AP398" t="s">
        <v>1304</v>
      </c>
      <c r="AQ398" t="s">
        <v>74</v>
      </c>
      <c r="AR398" t="s">
        <v>1288</v>
      </c>
      <c r="AS398" t="s">
        <v>1305</v>
      </c>
      <c r="AT398" t="s">
        <v>6892</v>
      </c>
      <c r="AU398">
        <v>2012</v>
      </c>
      <c r="AV398">
        <v>16</v>
      </c>
      <c r="AW398">
        <v>2</v>
      </c>
      <c r="AX398" t="s">
        <v>74</v>
      </c>
      <c r="AY398" t="s">
        <v>74</v>
      </c>
      <c r="AZ398" t="s">
        <v>74</v>
      </c>
      <c r="BA398" t="s">
        <v>74</v>
      </c>
      <c r="BB398">
        <v>193</v>
      </c>
      <c r="BC398">
        <v>203</v>
      </c>
      <c r="BD398" t="s">
        <v>74</v>
      </c>
      <c r="BE398" t="s">
        <v>7694</v>
      </c>
      <c r="BF398" t="str">
        <f>HYPERLINK("http://dx.doi.org/10.1007/s00792-011-0419-7","http://dx.doi.org/10.1007/s00792-011-0419-7")</f>
        <v>http://dx.doi.org/10.1007/s00792-011-0419-7</v>
      </c>
      <c r="BG398" t="s">
        <v>74</v>
      </c>
      <c r="BH398" t="s">
        <v>74</v>
      </c>
      <c r="BI398">
        <v>11</v>
      </c>
      <c r="BJ398" t="s">
        <v>1307</v>
      </c>
      <c r="BK398" t="s">
        <v>99</v>
      </c>
      <c r="BL398" t="s">
        <v>1307</v>
      </c>
      <c r="BM398" t="s">
        <v>7678</v>
      </c>
      <c r="BN398">
        <v>22212653</v>
      </c>
      <c r="BO398" t="s">
        <v>74</v>
      </c>
      <c r="BP398" t="s">
        <v>74</v>
      </c>
      <c r="BQ398" t="s">
        <v>74</v>
      </c>
      <c r="BR398" t="s">
        <v>101</v>
      </c>
      <c r="BS398" t="s">
        <v>7695</v>
      </c>
      <c r="BT398" t="str">
        <f>HYPERLINK("https%3A%2F%2Fwww.webofscience.com%2Fwos%2Fwoscc%2Ffull-record%2FWOS:000301182300003","View Full Record in Web of Science")</f>
        <v>View Full Record in Web of Science</v>
      </c>
    </row>
    <row r="399" spans="1:72" x14ac:dyDescent="0.15">
      <c r="A399" t="s">
        <v>72</v>
      </c>
      <c r="B399" t="s">
        <v>7696</v>
      </c>
      <c r="C399" t="s">
        <v>74</v>
      </c>
      <c r="D399" t="s">
        <v>74</v>
      </c>
      <c r="E399" t="s">
        <v>74</v>
      </c>
      <c r="F399" t="s">
        <v>7697</v>
      </c>
      <c r="G399" t="s">
        <v>74</v>
      </c>
      <c r="H399" t="s">
        <v>74</v>
      </c>
      <c r="I399" t="s">
        <v>7698</v>
      </c>
      <c r="J399" t="s">
        <v>1288</v>
      </c>
      <c r="K399" t="s">
        <v>74</v>
      </c>
      <c r="L399" t="s">
        <v>74</v>
      </c>
      <c r="M399" t="s">
        <v>78</v>
      </c>
      <c r="N399" t="s">
        <v>79</v>
      </c>
      <c r="O399" t="s">
        <v>74</v>
      </c>
      <c r="P399" t="s">
        <v>74</v>
      </c>
      <c r="Q399" t="s">
        <v>74</v>
      </c>
      <c r="R399" t="s">
        <v>74</v>
      </c>
      <c r="S399" t="s">
        <v>74</v>
      </c>
      <c r="T399" t="s">
        <v>7699</v>
      </c>
      <c r="U399" t="s">
        <v>7700</v>
      </c>
      <c r="V399" t="s">
        <v>7701</v>
      </c>
      <c r="W399" t="s">
        <v>7702</v>
      </c>
      <c r="X399" t="s">
        <v>7703</v>
      </c>
      <c r="Y399" t="s">
        <v>7704</v>
      </c>
      <c r="Z399" t="s">
        <v>7705</v>
      </c>
      <c r="AA399" t="s">
        <v>7706</v>
      </c>
      <c r="AB399" t="s">
        <v>7707</v>
      </c>
      <c r="AC399" t="s">
        <v>7708</v>
      </c>
      <c r="AD399" t="s">
        <v>7709</v>
      </c>
      <c r="AE399" t="s">
        <v>7710</v>
      </c>
      <c r="AF399" t="s">
        <v>74</v>
      </c>
      <c r="AG399">
        <v>45</v>
      </c>
      <c r="AH399">
        <v>11</v>
      </c>
      <c r="AI399">
        <v>13</v>
      </c>
      <c r="AJ399">
        <v>1</v>
      </c>
      <c r="AK399">
        <v>23</v>
      </c>
      <c r="AL399" t="s">
        <v>1301</v>
      </c>
      <c r="AM399" t="s">
        <v>604</v>
      </c>
      <c r="AN399" t="s">
        <v>1302</v>
      </c>
      <c r="AO399" t="s">
        <v>1303</v>
      </c>
      <c r="AP399" t="s">
        <v>1304</v>
      </c>
      <c r="AQ399" t="s">
        <v>74</v>
      </c>
      <c r="AR399" t="s">
        <v>1288</v>
      </c>
      <c r="AS399" t="s">
        <v>1305</v>
      </c>
      <c r="AT399" t="s">
        <v>6892</v>
      </c>
      <c r="AU399">
        <v>2012</v>
      </c>
      <c r="AV399">
        <v>16</v>
      </c>
      <c r="AW399">
        <v>2</v>
      </c>
      <c r="AX399" t="s">
        <v>74</v>
      </c>
      <c r="AY399" t="s">
        <v>74</v>
      </c>
      <c r="AZ399" t="s">
        <v>74</v>
      </c>
      <c r="BA399" t="s">
        <v>74</v>
      </c>
      <c r="BB399">
        <v>345</v>
      </c>
      <c r="BC399">
        <v>354</v>
      </c>
      <c r="BD399" t="s">
        <v>74</v>
      </c>
      <c r="BE399" t="s">
        <v>7711</v>
      </c>
      <c r="BF399" t="str">
        <f>HYPERLINK("http://dx.doi.org/10.1007/s00792-012-0434-3","http://dx.doi.org/10.1007/s00792-012-0434-3")</f>
        <v>http://dx.doi.org/10.1007/s00792-012-0434-3</v>
      </c>
      <c r="BG399" t="s">
        <v>74</v>
      </c>
      <c r="BH399" t="s">
        <v>74</v>
      </c>
      <c r="BI399">
        <v>10</v>
      </c>
      <c r="BJ399" t="s">
        <v>1307</v>
      </c>
      <c r="BK399" t="s">
        <v>99</v>
      </c>
      <c r="BL399" t="s">
        <v>1307</v>
      </c>
      <c r="BM399" t="s">
        <v>7678</v>
      </c>
      <c r="BN399" t="s">
        <v>74</v>
      </c>
      <c r="BO399" t="s">
        <v>74</v>
      </c>
      <c r="BP399" t="s">
        <v>74</v>
      </c>
      <c r="BQ399" t="s">
        <v>74</v>
      </c>
      <c r="BR399" t="s">
        <v>101</v>
      </c>
      <c r="BS399" t="s">
        <v>7712</v>
      </c>
      <c r="BT399" t="str">
        <f>HYPERLINK("https%3A%2F%2Fwww.webofscience.com%2Fwos%2Fwoscc%2Ffull-record%2FWOS:000301182300017","View Full Record in Web of Science")</f>
        <v>View Full Record in Web of Science</v>
      </c>
    </row>
    <row r="400" spans="1:72" x14ac:dyDescent="0.15">
      <c r="A400" t="s">
        <v>72</v>
      </c>
      <c r="B400" t="s">
        <v>7713</v>
      </c>
      <c r="C400" t="s">
        <v>74</v>
      </c>
      <c r="D400" t="s">
        <v>74</v>
      </c>
      <c r="E400" t="s">
        <v>74</v>
      </c>
      <c r="F400" t="s">
        <v>7714</v>
      </c>
      <c r="G400" t="s">
        <v>74</v>
      </c>
      <c r="H400" t="s">
        <v>74</v>
      </c>
      <c r="I400" t="s">
        <v>7715</v>
      </c>
      <c r="J400" t="s">
        <v>7716</v>
      </c>
      <c r="K400" t="s">
        <v>74</v>
      </c>
      <c r="L400" t="s">
        <v>74</v>
      </c>
      <c r="M400" t="s">
        <v>78</v>
      </c>
      <c r="N400" t="s">
        <v>79</v>
      </c>
      <c r="O400" t="s">
        <v>74</v>
      </c>
      <c r="P400" t="s">
        <v>74</v>
      </c>
      <c r="Q400" t="s">
        <v>74</v>
      </c>
      <c r="R400" t="s">
        <v>74</v>
      </c>
      <c r="S400" t="s">
        <v>74</v>
      </c>
      <c r="T400" t="s">
        <v>7717</v>
      </c>
      <c r="U400" t="s">
        <v>7718</v>
      </c>
      <c r="V400" t="s">
        <v>7719</v>
      </c>
      <c r="W400" t="s">
        <v>7720</v>
      </c>
      <c r="X400" t="s">
        <v>2368</v>
      </c>
      <c r="Y400" t="s">
        <v>7721</v>
      </c>
      <c r="Z400" t="s">
        <v>7722</v>
      </c>
      <c r="AA400" t="s">
        <v>74</v>
      </c>
      <c r="AB400" t="s">
        <v>7723</v>
      </c>
      <c r="AC400" t="s">
        <v>7724</v>
      </c>
      <c r="AD400" t="s">
        <v>7725</v>
      </c>
      <c r="AE400" t="s">
        <v>7726</v>
      </c>
      <c r="AF400" t="s">
        <v>74</v>
      </c>
      <c r="AG400">
        <v>31</v>
      </c>
      <c r="AH400">
        <v>4</v>
      </c>
      <c r="AI400">
        <v>5</v>
      </c>
      <c r="AJ400">
        <v>0</v>
      </c>
      <c r="AK400">
        <v>21</v>
      </c>
      <c r="AL400" t="s">
        <v>935</v>
      </c>
      <c r="AM400" t="s">
        <v>369</v>
      </c>
      <c r="AN400" t="s">
        <v>936</v>
      </c>
      <c r="AO400" t="s">
        <v>7727</v>
      </c>
      <c r="AP400" t="s">
        <v>7728</v>
      </c>
      <c r="AQ400" t="s">
        <v>74</v>
      </c>
      <c r="AR400" t="s">
        <v>7729</v>
      </c>
      <c r="AS400" t="s">
        <v>7730</v>
      </c>
      <c r="AT400" t="s">
        <v>6892</v>
      </c>
      <c r="AU400">
        <v>2012</v>
      </c>
      <c r="AV400">
        <v>115</v>
      </c>
      <c r="AW400" t="s">
        <v>74</v>
      </c>
      <c r="AX400" t="s">
        <v>74</v>
      </c>
      <c r="AY400" t="s">
        <v>74</v>
      </c>
      <c r="AZ400" t="s">
        <v>74</v>
      </c>
      <c r="BA400" t="s">
        <v>74</v>
      </c>
      <c r="BB400">
        <v>14</v>
      </c>
      <c r="BC400">
        <v>23</v>
      </c>
      <c r="BD400" t="s">
        <v>74</v>
      </c>
      <c r="BE400" t="s">
        <v>7731</v>
      </c>
      <c r="BF400" t="str">
        <f>HYPERLINK("http://dx.doi.org/10.1016/j.fishres.2011.11.005","http://dx.doi.org/10.1016/j.fishres.2011.11.005")</f>
        <v>http://dx.doi.org/10.1016/j.fishres.2011.11.005</v>
      </c>
      <c r="BG400" t="s">
        <v>74</v>
      </c>
      <c r="BH400" t="s">
        <v>74</v>
      </c>
      <c r="BI400">
        <v>10</v>
      </c>
      <c r="BJ400" t="s">
        <v>609</v>
      </c>
      <c r="BK400" t="s">
        <v>99</v>
      </c>
      <c r="BL400" t="s">
        <v>609</v>
      </c>
      <c r="BM400" t="s">
        <v>7732</v>
      </c>
      <c r="BN400" t="s">
        <v>74</v>
      </c>
      <c r="BO400" t="s">
        <v>74</v>
      </c>
      <c r="BP400" t="s">
        <v>74</v>
      </c>
      <c r="BQ400" t="s">
        <v>74</v>
      </c>
      <c r="BR400" t="s">
        <v>101</v>
      </c>
      <c r="BS400" t="s">
        <v>7733</v>
      </c>
      <c r="BT400" t="str">
        <f>HYPERLINK("https%3A%2F%2Fwww.webofscience.com%2Fwos%2Fwoscc%2Ffull-record%2FWOS:000301203900002","View Full Record in Web of Science")</f>
        <v>View Full Record in Web of Science</v>
      </c>
    </row>
    <row r="401" spans="1:72" x14ac:dyDescent="0.15">
      <c r="A401" t="s">
        <v>72</v>
      </c>
      <c r="B401" t="s">
        <v>7734</v>
      </c>
      <c r="C401" t="s">
        <v>74</v>
      </c>
      <c r="D401" t="s">
        <v>74</v>
      </c>
      <c r="E401" t="s">
        <v>74</v>
      </c>
      <c r="F401" t="s">
        <v>7735</v>
      </c>
      <c r="G401" t="s">
        <v>74</v>
      </c>
      <c r="H401" t="s">
        <v>74</v>
      </c>
      <c r="I401" t="s">
        <v>7736</v>
      </c>
      <c r="J401" t="s">
        <v>7737</v>
      </c>
      <c r="K401" t="s">
        <v>74</v>
      </c>
      <c r="L401" t="s">
        <v>74</v>
      </c>
      <c r="M401" t="s">
        <v>78</v>
      </c>
      <c r="N401" t="s">
        <v>79</v>
      </c>
      <c r="O401" t="s">
        <v>74</v>
      </c>
      <c r="P401" t="s">
        <v>74</v>
      </c>
      <c r="Q401" t="s">
        <v>74</v>
      </c>
      <c r="R401" t="s">
        <v>74</v>
      </c>
      <c r="S401" t="s">
        <v>74</v>
      </c>
      <c r="T401" t="s">
        <v>74</v>
      </c>
      <c r="U401" t="s">
        <v>7738</v>
      </c>
      <c r="V401" t="s">
        <v>7739</v>
      </c>
      <c r="W401" t="s">
        <v>7740</v>
      </c>
      <c r="X401" t="s">
        <v>7741</v>
      </c>
      <c r="Y401" t="s">
        <v>7742</v>
      </c>
      <c r="Z401" t="s">
        <v>7743</v>
      </c>
      <c r="AA401" t="s">
        <v>7744</v>
      </c>
      <c r="AB401" t="s">
        <v>7745</v>
      </c>
      <c r="AC401" t="s">
        <v>7746</v>
      </c>
      <c r="AD401" t="s">
        <v>7747</v>
      </c>
      <c r="AE401" t="s">
        <v>7748</v>
      </c>
      <c r="AF401" t="s">
        <v>74</v>
      </c>
      <c r="AG401">
        <v>89</v>
      </c>
      <c r="AH401">
        <v>33</v>
      </c>
      <c r="AI401">
        <v>37</v>
      </c>
      <c r="AJ401">
        <v>0</v>
      </c>
      <c r="AK401">
        <v>32</v>
      </c>
      <c r="AL401" t="s">
        <v>1419</v>
      </c>
      <c r="AM401" t="s">
        <v>737</v>
      </c>
      <c r="AN401" t="s">
        <v>1420</v>
      </c>
      <c r="AO401" t="s">
        <v>7749</v>
      </c>
      <c r="AP401" t="s">
        <v>7750</v>
      </c>
      <c r="AQ401" t="s">
        <v>74</v>
      </c>
      <c r="AR401" t="s">
        <v>7751</v>
      </c>
      <c r="AS401" t="s">
        <v>7752</v>
      </c>
      <c r="AT401" t="s">
        <v>6917</v>
      </c>
      <c r="AU401">
        <v>2012</v>
      </c>
      <c r="AV401">
        <v>124</v>
      </c>
      <c r="AW401" t="s">
        <v>374</v>
      </c>
      <c r="AX401" t="s">
        <v>74</v>
      </c>
      <c r="AY401" t="s">
        <v>74</v>
      </c>
      <c r="AZ401" t="s">
        <v>74</v>
      </c>
      <c r="BA401" t="s">
        <v>74</v>
      </c>
      <c r="BB401">
        <v>335</v>
      </c>
      <c r="BC401">
        <v>351</v>
      </c>
      <c r="BD401" t="s">
        <v>74</v>
      </c>
      <c r="BE401" t="s">
        <v>7753</v>
      </c>
      <c r="BF401" t="str">
        <f>HYPERLINK("http://dx.doi.org/10.1130/B30480.1","http://dx.doi.org/10.1130/B30480.1")</f>
        <v>http://dx.doi.org/10.1130/B30480.1</v>
      </c>
      <c r="BG401" t="s">
        <v>74</v>
      </c>
      <c r="BH401" t="s">
        <v>74</v>
      </c>
      <c r="BI401">
        <v>17</v>
      </c>
      <c r="BJ401" t="s">
        <v>194</v>
      </c>
      <c r="BK401" t="s">
        <v>99</v>
      </c>
      <c r="BL401" t="s">
        <v>195</v>
      </c>
      <c r="BM401" t="s">
        <v>7754</v>
      </c>
      <c r="BN401" t="s">
        <v>74</v>
      </c>
      <c r="BO401" t="s">
        <v>74</v>
      </c>
      <c r="BP401" t="s">
        <v>74</v>
      </c>
      <c r="BQ401" t="s">
        <v>74</v>
      </c>
      <c r="BR401" t="s">
        <v>101</v>
      </c>
      <c r="BS401" t="s">
        <v>7755</v>
      </c>
      <c r="BT401" t="str">
        <f>HYPERLINK("https%3A%2F%2Fwww.webofscience.com%2Fwos%2Fwoscc%2Ffull-record%2FWOS:000300926500005","View Full Record in Web of Science")</f>
        <v>View Full Record in Web of Science</v>
      </c>
    </row>
    <row r="402" spans="1:72" x14ac:dyDescent="0.15">
      <c r="A402" t="s">
        <v>72</v>
      </c>
      <c r="B402" t="s">
        <v>7756</v>
      </c>
      <c r="C402" t="s">
        <v>74</v>
      </c>
      <c r="D402" t="s">
        <v>74</v>
      </c>
      <c r="E402" t="s">
        <v>74</v>
      </c>
      <c r="F402" t="s">
        <v>7757</v>
      </c>
      <c r="G402" t="s">
        <v>74</v>
      </c>
      <c r="H402" t="s">
        <v>74</v>
      </c>
      <c r="I402" t="s">
        <v>7758</v>
      </c>
      <c r="J402" t="s">
        <v>7759</v>
      </c>
      <c r="K402" t="s">
        <v>74</v>
      </c>
      <c r="L402" t="s">
        <v>74</v>
      </c>
      <c r="M402" t="s">
        <v>78</v>
      </c>
      <c r="N402" t="s">
        <v>79</v>
      </c>
      <c r="O402" t="s">
        <v>74</v>
      </c>
      <c r="P402" t="s">
        <v>74</v>
      </c>
      <c r="Q402" t="s">
        <v>74</v>
      </c>
      <c r="R402" t="s">
        <v>74</v>
      </c>
      <c r="S402" t="s">
        <v>74</v>
      </c>
      <c r="T402" t="s">
        <v>74</v>
      </c>
      <c r="U402" t="s">
        <v>7760</v>
      </c>
      <c r="V402" t="s">
        <v>7761</v>
      </c>
      <c r="W402" t="s">
        <v>7762</v>
      </c>
      <c r="X402" t="s">
        <v>7763</v>
      </c>
      <c r="Y402" t="s">
        <v>7764</v>
      </c>
      <c r="Z402" t="s">
        <v>7765</v>
      </c>
      <c r="AA402" t="s">
        <v>74</v>
      </c>
      <c r="AB402" t="s">
        <v>74</v>
      </c>
      <c r="AC402" t="s">
        <v>74</v>
      </c>
      <c r="AD402" t="s">
        <v>74</v>
      </c>
      <c r="AE402" t="s">
        <v>74</v>
      </c>
      <c r="AF402" t="s">
        <v>74</v>
      </c>
      <c r="AG402">
        <v>30</v>
      </c>
      <c r="AH402">
        <v>8</v>
      </c>
      <c r="AI402">
        <v>8</v>
      </c>
      <c r="AJ402">
        <v>0</v>
      </c>
      <c r="AK402">
        <v>21</v>
      </c>
      <c r="AL402" t="s">
        <v>7766</v>
      </c>
      <c r="AM402" t="s">
        <v>1112</v>
      </c>
      <c r="AN402" t="s">
        <v>7767</v>
      </c>
      <c r="AO402" t="s">
        <v>7768</v>
      </c>
      <c r="AP402" t="s">
        <v>7769</v>
      </c>
      <c r="AQ402" t="s">
        <v>74</v>
      </c>
      <c r="AR402" t="s">
        <v>7770</v>
      </c>
      <c r="AS402" t="s">
        <v>7771</v>
      </c>
      <c r="AT402" t="s">
        <v>6892</v>
      </c>
      <c r="AU402">
        <v>2012</v>
      </c>
      <c r="AV402">
        <v>14</v>
      </c>
      <c r="AW402">
        <v>3</v>
      </c>
      <c r="AX402" t="s">
        <v>74</v>
      </c>
      <c r="AY402" t="s">
        <v>74</v>
      </c>
      <c r="AZ402" t="s">
        <v>74</v>
      </c>
      <c r="BA402" t="s">
        <v>74</v>
      </c>
      <c r="BB402">
        <v>845</v>
      </c>
      <c r="BC402">
        <v>851</v>
      </c>
      <c r="BD402" t="s">
        <v>74</v>
      </c>
      <c r="BE402" t="s">
        <v>7772</v>
      </c>
      <c r="BF402" t="str">
        <f>HYPERLINK("http://dx.doi.org/10.1039/c2em10838k","http://dx.doi.org/10.1039/c2em10838k")</f>
        <v>http://dx.doi.org/10.1039/c2em10838k</v>
      </c>
      <c r="BG402" t="s">
        <v>74</v>
      </c>
      <c r="BH402" t="s">
        <v>74</v>
      </c>
      <c r="BI402">
        <v>7</v>
      </c>
      <c r="BJ402" t="s">
        <v>7773</v>
      </c>
      <c r="BK402" t="s">
        <v>99</v>
      </c>
      <c r="BL402" t="s">
        <v>7774</v>
      </c>
      <c r="BM402" t="s">
        <v>7775</v>
      </c>
      <c r="BN402">
        <v>22249772</v>
      </c>
      <c r="BO402" t="s">
        <v>74</v>
      </c>
      <c r="BP402" t="s">
        <v>74</v>
      </c>
      <c r="BQ402" t="s">
        <v>74</v>
      </c>
      <c r="BR402" t="s">
        <v>101</v>
      </c>
      <c r="BS402" t="s">
        <v>7776</v>
      </c>
      <c r="BT402" t="str">
        <f>HYPERLINK("https%3A%2F%2Fwww.webofscience.com%2Fwos%2Fwoscc%2Ffull-record%2FWOS:000300875100012","View Full Record in Web of Science")</f>
        <v>View Full Record in Web of Science</v>
      </c>
    </row>
    <row r="403" spans="1:72" x14ac:dyDescent="0.15">
      <c r="A403" t="s">
        <v>72</v>
      </c>
      <c r="B403" t="s">
        <v>7777</v>
      </c>
      <c r="C403" t="s">
        <v>74</v>
      </c>
      <c r="D403" t="s">
        <v>74</v>
      </c>
      <c r="E403" t="s">
        <v>74</v>
      </c>
      <c r="F403" t="s">
        <v>7778</v>
      </c>
      <c r="G403" t="s">
        <v>74</v>
      </c>
      <c r="H403" t="s">
        <v>74</v>
      </c>
      <c r="I403" t="s">
        <v>7779</v>
      </c>
      <c r="J403" t="s">
        <v>7780</v>
      </c>
      <c r="K403" t="s">
        <v>74</v>
      </c>
      <c r="L403" t="s">
        <v>74</v>
      </c>
      <c r="M403" t="s">
        <v>78</v>
      </c>
      <c r="N403" t="s">
        <v>79</v>
      </c>
      <c r="O403" t="s">
        <v>74</v>
      </c>
      <c r="P403" t="s">
        <v>74</v>
      </c>
      <c r="Q403" t="s">
        <v>74</v>
      </c>
      <c r="R403" t="s">
        <v>74</v>
      </c>
      <c r="S403" t="s">
        <v>74</v>
      </c>
      <c r="T403" t="s">
        <v>7781</v>
      </c>
      <c r="U403" t="s">
        <v>7782</v>
      </c>
      <c r="V403" t="s">
        <v>7783</v>
      </c>
      <c r="W403" t="s">
        <v>7784</v>
      </c>
      <c r="X403" t="s">
        <v>7785</v>
      </c>
      <c r="Y403" t="s">
        <v>7786</v>
      </c>
      <c r="Z403" t="s">
        <v>7787</v>
      </c>
      <c r="AA403" t="s">
        <v>7788</v>
      </c>
      <c r="AB403" t="s">
        <v>7789</v>
      </c>
      <c r="AC403" t="s">
        <v>7790</v>
      </c>
      <c r="AD403" t="s">
        <v>7790</v>
      </c>
      <c r="AE403" t="s">
        <v>7791</v>
      </c>
      <c r="AF403" t="s">
        <v>74</v>
      </c>
      <c r="AG403">
        <v>31</v>
      </c>
      <c r="AH403">
        <v>38</v>
      </c>
      <c r="AI403">
        <v>44</v>
      </c>
      <c r="AJ403">
        <v>1</v>
      </c>
      <c r="AK403">
        <v>81</v>
      </c>
      <c r="AL403" t="s">
        <v>7792</v>
      </c>
      <c r="AM403" t="s">
        <v>7793</v>
      </c>
      <c r="AN403" t="s">
        <v>7794</v>
      </c>
      <c r="AO403" t="s">
        <v>7795</v>
      </c>
      <c r="AP403" t="s">
        <v>74</v>
      </c>
      <c r="AQ403" t="s">
        <v>74</v>
      </c>
      <c r="AR403" t="s">
        <v>7796</v>
      </c>
      <c r="AS403" t="s">
        <v>7797</v>
      </c>
      <c r="AT403" t="s">
        <v>6892</v>
      </c>
      <c r="AU403">
        <v>2012</v>
      </c>
      <c r="AV403">
        <v>29</v>
      </c>
      <c r="AW403">
        <v>3</v>
      </c>
      <c r="AX403" t="s">
        <v>74</v>
      </c>
      <c r="AY403" t="s">
        <v>74</v>
      </c>
      <c r="AZ403" t="s">
        <v>74</v>
      </c>
      <c r="BA403" t="s">
        <v>74</v>
      </c>
      <c r="BB403">
        <v>329</v>
      </c>
      <c r="BC403">
        <v>336</v>
      </c>
      <c r="BD403" t="s">
        <v>74</v>
      </c>
      <c r="BE403" t="s">
        <v>7798</v>
      </c>
      <c r="BF403" t="str">
        <f>HYPERLINK("http://dx.doi.org/10.1007/s11814-011-0186-2","http://dx.doi.org/10.1007/s11814-011-0186-2")</f>
        <v>http://dx.doi.org/10.1007/s11814-011-0186-2</v>
      </c>
      <c r="BG403" t="s">
        <v>74</v>
      </c>
      <c r="BH403" t="s">
        <v>74</v>
      </c>
      <c r="BI403">
        <v>8</v>
      </c>
      <c r="BJ403" t="s">
        <v>7799</v>
      </c>
      <c r="BK403" t="s">
        <v>99</v>
      </c>
      <c r="BL403" t="s">
        <v>7800</v>
      </c>
      <c r="BM403" t="s">
        <v>7801</v>
      </c>
      <c r="BN403" t="s">
        <v>74</v>
      </c>
      <c r="BO403" t="s">
        <v>74</v>
      </c>
      <c r="BP403" t="s">
        <v>74</v>
      </c>
      <c r="BQ403" t="s">
        <v>74</v>
      </c>
      <c r="BR403" t="s">
        <v>101</v>
      </c>
      <c r="BS403" t="s">
        <v>7802</v>
      </c>
      <c r="BT403" t="str">
        <f>HYPERLINK("https%3A%2F%2Fwww.webofscience.com%2Fwos%2Fwoscc%2Ffull-record%2FWOS:000301169500008","View Full Record in Web of Science")</f>
        <v>View Full Record in Web of Science</v>
      </c>
    </row>
    <row r="404" spans="1:72" x14ac:dyDescent="0.15">
      <c r="A404" t="s">
        <v>72</v>
      </c>
      <c r="B404" t="s">
        <v>7803</v>
      </c>
      <c r="C404" t="s">
        <v>74</v>
      </c>
      <c r="D404" t="s">
        <v>74</v>
      </c>
      <c r="E404" t="s">
        <v>74</v>
      </c>
      <c r="F404" t="s">
        <v>7804</v>
      </c>
      <c r="G404" t="s">
        <v>74</v>
      </c>
      <c r="H404" t="s">
        <v>74</v>
      </c>
      <c r="I404" t="s">
        <v>7805</v>
      </c>
      <c r="J404" t="s">
        <v>7806</v>
      </c>
      <c r="K404" t="s">
        <v>74</v>
      </c>
      <c r="L404" t="s">
        <v>74</v>
      </c>
      <c r="M404" t="s">
        <v>78</v>
      </c>
      <c r="N404" t="s">
        <v>79</v>
      </c>
      <c r="O404" t="s">
        <v>74</v>
      </c>
      <c r="P404" t="s">
        <v>74</v>
      </c>
      <c r="Q404" t="s">
        <v>74</v>
      </c>
      <c r="R404" t="s">
        <v>74</v>
      </c>
      <c r="S404" t="s">
        <v>74</v>
      </c>
      <c r="T404" t="s">
        <v>7807</v>
      </c>
      <c r="U404" t="s">
        <v>7808</v>
      </c>
      <c r="V404" t="s">
        <v>7809</v>
      </c>
      <c r="W404" t="s">
        <v>7810</v>
      </c>
      <c r="X404" t="s">
        <v>7811</v>
      </c>
      <c r="Y404" t="s">
        <v>7812</v>
      </c>
      <c r="Z404" t="s">
        <v>7813</v>
      </c>
      <c r="AA404" t="s">
        <v>7814</v>
      </c>
      <c r="AB404" t="s">
        <v>7815</v>
      </c>
      <c r="AC404" t="s">
        <v>7816</v>
      </c>
      <c r="AD404" t="s">
        <v>7817</v>
      </c>
      <c r="AE404" t="s">
        <v>7818</v>
      </c>
      <c r="AF404" t="s">
        <v>74</v>
      </c>
      <c r="AG404">
        <v>59</v>
      </c>
      <c r="AH404">
        <v>9</v>
      </c>
      <c r="AI404">
        <v>10</v>
      </c>
      <c r="AJ404">
        <v>0</v>
      </c>
      <c r="AK404">
        <v>16</v>
      </c>
      <c r="AL404" t="s">
        <v>1620</v>
      </c>
      <c r="AM404" t="s">
        <v>278</v>
      </c>
      <c r="AN404" t="s">
        <v>1621</v>
      </c>
      <c r="AO404" t="s">
        <v>7819</v>
      </c>
      <c r="AP404" t="s">
        <v>7820</v>
      </c>
      <c r="AQ404" t="s">
        <v>74</v>
      </c>
      <c r="AR404" t="s">
        <v>7821</v>
      </c>
      <c r="AS404" t="s">
        <v>7822</v>
      </c>
      <c r="AT404" t="s">
        <v>6892</v>
      </c>
      <c r="AU404">
        <v>2012</v>
      </c>
      <c r="AV404">
        <v>29</v>
      </c>
      <c r="AW404">
        <v>3</v>
      </c>
      <c r="AX404" t="s">
        <v>74</v>
      </c>
      <c r="AY404" t="s">
        <v>74</v>
      </c>
      <c r="AZ404" t="s">
        <v>74</v>
      </c>
      <c r="BA404" t="s">
        <v>74</v>
      </c>
      <c r="BB404">
        <v>1071</v>
      </c>
      <c r="BC404">
        <v>1080</v>
      </c>
      <c r="BD404" t="s">
        <v>74</v>
      </c>
      <c r="BE404" t="s">
        <v>7823</v>
      </c>
      <c r="BF404" t="str">
        <f>HYPERLINK("http://dx.doi.org/10.1093/molbev/msr278","http://dx.doi.org/10.1093/molbev/msr278")</f>
        <v>http://dx.doi.org/10.1093/molbev/msr278</v>
      </c>
      <c r="BG404" t="s">
        <v>74</v>
      </c>
      <c r="BH404" t="s">
        <v>74</v>
      </c>
      <c r="BI404">
        <v>10</v>
      </c>
      <c r="BJ404" t="s">
        <v>7824</v>
      </c>
      <c r="BK404" t="s">
        <v>99</v>
      </c>
      <c r="BL404" t="s">
        <v>7824</v>
      </c>
      <c r="BM404" t="s">
        <v>7825</v>
      </c>
      <c r="BN404">
        <v>22075115</v>
      </c>
      <c r="BO404" t="s">
        <v>217</v>
      </c>
      <c r="BP404" t="s">
        <v>74</v>
      </c>
      <c r="BQ404" t="s">
        <v>74</v>
      </c>
      <c r="BR404" t="s">
        <v>101</v>
      </c>
      <c r="BS404" t="s">
        <v>7826</v>
      </c>
      <c r="BT404" t="str">
        <f>HYPERLINK("https%3A%2F%2Fwww.webofscience.com%2Fwos%2Fwoscc%2Ffull-record%2FWOS:000300496800017","View Full Record in Web of Science")</f>
        <v>View Full Record in Web of Science</v>
      </c>
    </row>
    <row r="405" spans="1:72" x14ac:dyDescent="0.15">
      <c r="A405" t="s">
        <v>72</v>
      </c>
      <c r="B405" t="s">
        <v>7827</v>
      </c>
      <c r="C405" t="s">
        <v>74</v>
      </c>
      <c r="D405" t="s">
        <v>74</v>
      </c>
      <c r="E405" t="s">
        <v>74</v>
      </c>
      <c r="F405" t="s">
        <v>7828</v>
      </c>
      <c r="G405" t="s">
        <v>74</v>
      </c>
      <c r="H405" t="s">
        <v>74</v>
      </c>
      <c r="I405" t="s">
        <v>7829</v>
      </c>
      <c r="J405" t="s">
        <v>7830</v>
      </c>
      <c r="K405" t="s">
        <v>74</v>
      </c>
      <c r="L405" t="s">
        <v>74</v>
      </c>
      <c r="M405" t="s">
        <v>78</v>
      </c>
      <c r="N405" t="s">
        <v>79</v>
      </c>
      <c r="O405" t="s">
        <v>74</v>
      </c>
      <c r="P405" t="s">
        <v>74</v>
      </c>
      <c r="Q405" t="s">
        <v>74</v>
      </c>
      <c r="R405" t="s">
        <v>74</v>
      </c>
      <c r="S405" t="s">
        <v>74</v>
      </c>
      <c r="T405" t="s">
        <v>7831</v>
      </c>
      <c r="U405" t="s">
        <v>7832</v>
      </c>
      <c r="V405" t="s">
        <v>7833</v>
      </c>
      <c r="W405" t="s">
        <v>7834</v>
      </c>
      <c r="X405" t="s">
        <v>7835</v>
      </c>
      <c r="Y405" t="s">
        <v>7836</v>
      </c>
      <c r="Z405" t="s">
        <v>7837</v>
      </c>
      <c r="AA405" t="s">
        <v>7838</v>
      </c>
      <c r="AB405" t="s">
        <v>7839</v>
      </c>
      <c r="AC405" t="s">
        <v>7840</v>
      </c>
      <c r="AD405" t="s">
        <v>7841</v>
      </c>
      <c r="AE405" t="s">
        <v>7842</v>
      </c>
      <c r="AF405" t="s">
        <v>74</v>
      </c>
      <c r="AG405">
        <v>27</v>
      </c>
      <c r="AH405">
        <v>9</v>
      </c>
      <c r="AI405">
        <v>10</v>
      </c>
      <c r="AJ405">
        <v>1</v>
      </c>
      <c r="AK405">
        <v>16</v>
      </c>
      <c r="AL405" t="s">
        <v>935</v>
      </c>
      <c r="AM405" t="s">
        <v>369</v>
      </c>
      <c r="AN405" t="s">
        <v>936</v>
      </c>
      <c r="AO405" t="s">
        <v>7843</v>
      </c>
      <c r="AP405" t="s">
        <v>7844</v>
      </c>
      <c r="AQ405" t="s">
        <v>74</v>
      </c>
      <c r="AR405" t="s">
        <v>7845</v>
      </c>
      <c r="AS405" t="s">
        <v>7846</v>
      </c>
      <c r="AT405" t="s">
        <v>6892</v>
      </c>
      <c r="AU405">
        <v>2012</v>
      </c>
      <c r="AV405">
        <v>72</v>
      </c>
      <c r="AW405" t="s">
        <v>74</v>
      </c>
      <c r="AX405" t="s">
        <v>74</v>
      </c>
      <c r="AY405" t="s">
        <v>74</v>
      </c>
      <c r="AZ405" t="s">
        <v>74</v>
      </c>
      <c r="BA405" t="s">
        <v>74</v>
      </c>
      <c r="BB405">
        <v>23</v>
      </c>
      <c r="BC405">
        <v>32</v>
      </c>
      <c r="BD405" t="s">
        <v>74</v>
      </c>
      <c r="BE405" t="s">
        <v>7847</v>
      </c>
      <c r="BF405" t="str">
        <f>HYPERLINK("http://dx.doi.org/10.1016/j.coldregions.2011.10.012","http://dx.doi.org/10.1016/j.coldregions.2011.10.012")</f>
        <v>http://dx.doi.org/10.1016/j.coldregions.2011.10.012</v>
      </c>
      <c r="BG405" t="s">
        <v>74</v>
      </c>
      <c r="BH405" t="s">
        <v>74</v>
      </c>
      <c r="BI405">
        <v>10</v>
      </c>
      <c r="BJ405" t="s">
        <v>7848</v>
      </c>
      <c r="BK405" t="s">
        <v>99</v>
      </c>
      <c r="BL405" t="s">
        <v>7849</v>
      </c>
      <c r="BM405" t="s">
        <v>7850</v>
      </c>
      <c r="BN405" t="s">
        <v>74</v>
      </c>
      <c r="BO405" t="s">
        <v>74</v>
      </c>
      <c r="BP405" t="s">
        <v>74</v>
      </c>
      <c r="BQ405" t="s">
        <v>74</v>
      </c>
      <c r="BR405" t="s">
        <v>101</v>
      </c>
      <c r="BS405" t="s">
        <v>7851</v>
      </c>
      <c r="BT405" t="str">
        <f>HYPERLINK("https%3A%2F%2Fwww.webofscience.com%2Fwos%2Fwoscc%2Ffull-record%2FWOS:000301019900004","View Full Record in Web of Science")</f>
        <v>View Full Record in Web of Science</v>
      </c>
    </row>
    <row r="406" spans="1:72" x14ac:dyDescent="0.15">
      <c r="A406" t="s">
        <v>72</v>
      </c>
      <c r="B406" t="s">
        <v>7852</v>
      </c>
      <c r="C406" t="s">
        <v>74</v>
      </c>
      <c r="D406" t="s">
        <v>74</v>
      </c>
      <c r="E406" t="s">
        <v>74</v>
      </c>
      <c r="F406" t="s">
        <v>7853</v>
      </c>
      <c r="G406" t="s">
        <v>74</v>
      </c>
      <c r="H406" t="s">
        <v>74</v>
      </c>
      <c r="I406" t="s">
        <v>7854</v>
      </c>
      <c r="J406" t="s">
        <v>7855</v>
      </c>
      <c r="K406" t="s">
        <v>74</v>
      </c>
      <c r="L406" t="s">
        <v>74</v>
      </c>
      <c r="M406" t="s">
        <v>78</v>
      </c>
      <c r="N406" t="s">
        <v>79</v>
      </c>
      <c r="O406" t="s">
        <v>74</v>
      </c>
      <c r="P406" t="s">
        <v>74</v>
      </c>
      <c r="Q406" t="s">
        <v>74</v>
      </c>
      <c r="R406" t="s">
        <v>74</v>
      </c>
      <c r="S406" t="s">
        <v>74</v>
      </c>
      <c r="T406" t="s">
        <v>7856</v>
      </c>
      <c r="U406" t="s">
        <v>7857</v>
      </c>
      <c r="V406" t="s">
        <v>7858</v>
      </c>
      <c r="W406" t="s">
        <v>7859</v>
      </c>
      <c r="X406" t="s">
        <v>6782</v>
      </c>
      <c r="Y406" t="s">
        <v>7860</v>
      </c>
      <c r="Z406" t="s">
        <v>7861</v>
      </c>
      <c r="AA406" t="s">
        <v>7862</v>
      </c>
      <c r="AB406" t="s">
        <v>7863</v>
      </c>
      <c r="AC406" t="s">
        <v>74</v>
      </c>
      <c r="AD406" t="s">
        <v>74</v>
      </c>
      <c r="AE406" t="s">
        <v>74</v>
      </c>
      <c r="AF406" t="s">
        <v>74</v>
      </c>
      <c r="AG406">
        <v>44</v>
      </c>
      <c r="AH406">
        <v>28</v>
      </c>
      <c r="AI406">
        <v>31</v>
      </c>
      <c r="AJ406">
        <v>0</v>
      </c>
      <c r="AK406">
        <v>25</v>
      </c>
      <c r="AL406" t="s">
        <v>2414</v>
      </c>
      <c r="AM406" t="s">
        <v>2415</v>
      </c>
      <c r="AN406" t="s">
        <v>2416</v>
      </c>
      <c r="AO406" t="s">
        <v>7864</v>
      </c>
      <c r="AP406" t="s">
        <v>7865</v>
      </c>
      <c r="AQ406" t="s">
        <v>74</v>
      </c>
      <c r="AR406" t="s">
        <v>7866</v>
      </c>
      <c r="AS406" t="s">
        <v>7867</v>
      </c>
      <c r="AT406" t="s">
        <v>6892</v>
      </c>
      <c r="AU406">
        <v>2012</v>
      </c>
      <c r="AV406">
        <v>85</v>
      </c>
      <c r="AW406">
        <v>1</v>
      </c>
      <c r="AX406" t="s">
        <v>74</v>
      </c>
      <c r="AY406" t="s">
        <v>74</v>
      </c>
      <c r="AZ406" t="s">
        <v>74</v>
      </c>
      <c r="BA406" t="s">
        <v>74</v>
      </c>
      <c r="BB406">
        <v>89</v>
      </c>
      <c r="BC406">
        <v>100</v>
      </c>
      <c r="BD406" t="s">
        <v>74</v>
      </c>
      <c r="BE406" t="s">
        <v>7868</v>
      </c>
      <c r="BF406" t="str">
        <f>HYPERLINK("http://dx.doi.org/10.1007/s10340-011-0406-x","http://dx.doi.org/10.1007/s10340-011-0406-x")</f>
        <v>http://dx.doi.org/10.1007/s10340-011-0406-x</v>
      </c>
      <c r="BG406" t="s">
        <v>74</v>
      </c>
      <c r="BH406" t="s">
        <v>74</v>
      </c>
      <c r="BI406">
        <v>12</v>
      </c>
      <c r="BJ406" t="s">
        <v>7869</v>
      </c>
      <c r="BK406" t="s">
        <v>99</v>
      </c>
      <c r="BL406" t="s">
        <v>7869</v>
      </c>
      <c r="BM406" t="s">
        <v>7870</v>
      </c>
      <c r="BN406" t="s">
        <v>74</v>
      </c>
      <c r="BO406" t="s">
        <v>74</v>
      </c>
      <c r="BP406" t="s">
        <v>74</v>
      </c>
      <c r="BQ406" t="s">
        <v>74</v>
      </c>
      <c r="BR406" t="s">
        <v>101</v>
      </c>
      <c r="BS406" t="s">
        <v>7871</v>
      </c>
      <c r="BT406" t="str">
        <f>HYPERLINK("https%3A%2F%2Fwww.webofscience.com%2Fwos%2Fwoscc%2Ffull-record%2FWOS:000300785000012","View Full Record in Web of Science")</f>
        <v>View Full Record in Web of Science</v>
      </c>
    </row>
    <row r="407" spans="1:72" x14ac:dyDescent="0.15">
      <c r="A407" t="s">
        <v>72</v>
      </c>
      <c r="B407" t="s">
        <v>7872</v>
      </c>
      <c r="C407" t="s">
        <v>74</v>
      </c>
      <c r="D407" t="s">
        <v>74</v>
      </c>
      <c r="E407" t="s">
        <v>74</v>
      </c>
      <c r="F407" t="s">
        <v>7873</v>
      </c>
      <c r="G407" t="s">
        <v>74</v>
      </c>
      <c r="H407" t="s">
        <v>74</v>
      </c>
      <c r="I407" t="s">
        <v>7874</v>
      </c>
      <c r="J407" t="s">
        <v>4266</v>
      </c>
      <c r="K407" t="s">
        <v>74</v>
      </c>
      <c r="L407" t="s">
        <v>74</v>
      </c>
      <c r="M407" t="s">
        <v>78</v>
      </c>
      <c r="N407" t="s">
        <v>79</v>
      </c>
      <c r="O407" t="s">
        <v>74</v>
      </c>
      <c r="P407" t="s">
        <v>74</v>
      </c>
      <c r="Q407" t="s">
        <v>74</v>
      </c>
      <c r="R407" t="s">
        <v>74</v>
      </c>
      <c r="S407" t="s">
        <v>74</v>
      </c>
      <c r="T407" t="s">
        <v>74</v>
      </c>
      <c r="U407" t="s">
        <v>7875</v>
      </c>
      <c r="V407" t="s">
        <v>7876</v>
      </c>
      <c r="W407" t="s">
        <v>7877</v>
      </c>
      <c r="X407" t="s">
        <v>7878</v>
      </c>
      <c r="Y407" t="s">
        <v>7879</v>
      </c>
      <c r="Z407" t="s">
        <v>7880</v>
      </c>
      <c r="AA407" t="s">
        <v>74</v>
      </c>
      <c r="AB407" t="s">
        <v>74</v>
      </c>
      <c r="AC407" t="s">
        <v>7881</v>
      </c>
      <c r="AD407" t="s">
        <v>7882</v>
      </c>
      <c r="AE407" t="s">
        <v>7883</v>
      </c>
      <c r="AF407" t="s">
        <v>74</v>
      </c>
      <c r="AG407">
        <v>29</v>
      </c>
      <c r="AH407">
        <v>132</v>
      </c>
      <c r="AI407">
        <v>142</v>
      </c>
      <c r="AJ407">
        <v>0</v>
      </c>
      <c r="AK407">
        <v>22</v>
      </c>
      <c r="AL407" t="s">
        <v>997</v>
      </c>
      <c r="AM407" t="s">
        <v>998</v>
      </c>
      <c r="AN407" t="s">
        <v>999</v>
      </c>
      <c r="AO407" t="s">
        <v>4278</v>
      </c>
      <c r="AP407" t="s">
        <v>4279</v>
      </c>
      <c r="AQ407" t="s">
        <v>74</v>
      </c>
      <c r="AR407" t="s">
        <v>4280</v>
      </c>
      <c r="AS407" t="s">
        <v>4281</v>
      </c>
      <c r="AT407" t="s">
        <v>6892</v>
      </c>
      <c r="AU407">
        <v>2012</v>
      </c>
      <c r="AV407">
        <v>69</v>
      </c>
      <c r="AW407">
        <v>3</v>
      </c>
      <c r="AX407" t="s">
        <v>74</v>
      </c>
      <c r="AY407" t="s">
        <v>74</v>
      </c>
      <c r="AZ407" t="s">
        <v>74</v>
      </c>
      <c r="BA407" t="s">
        <v>74</v>
      </c>
      <c r="BB407">
        <v>802</v>
      </c>
      <c r="BC407">
        <v>818</v>
      </c>
      <c r="BD407" t="s">
        <v>74</v>
      </c>
      <c r="BE407" t="s">
        <v>7884</v>
      </c>
      <c r="BF407" t="str">
        <f>HYPERLINK("http://dx.doi.org/10.1175/JAS-D-11-0159.1","http://dx.doi.org/10.1175/JAS-D-11-0159.1")</f>
        <v>http://dx.doi.org/10.1175/JAS-D-11-0159.1</v>
      </c>
      <c r="BG407" t="s">
        <v>74</v>
      </c>
      <c r="BH407" t="s">
        <v>74</v>
      </c>
      <c r="BI407">
        <v>17</v>
      </c>
      <c r="BJ407" t="s">
        <v>128</v>
      </c>
      <c r="BK407" t="s">
        <v>99</v>
      </c>
      <c r="BL407" t="s">
        <v>128</v>
      </c>
      <c r="BM407" t="s">
        <v>7885</v>
      </c>
      <c r="BN407" t="s">
        <v>74</v>
      </c>
      <c r="BO407" t="s">
        <v>7886</v>
      </c>
      <c r="BP407" t="s">
        <v>74</v>
      </c>
      <c r="BQ407" t="s">
        <v>74</v>
      </c>
      <c r="BR407" t="s">
        <v>101</v>
      </c>
      <c r="BS407" t="s">
        <v>7887</v>
      </c>
      <c r="BT407" t="str">
        <f>HYPERLINK("https%3A%2F%2Fwww.webofscience.com%2Fwos%2Fwoscc%2Ffull-record%2FWOS:000300960700002","View Full Record in Web of Science")</f>
        <v>View Full Record in Web of Science</v>
      </c>
    </row>
    <row r="408" spans="1:72" x14ac:dyDescent="0.15">
      <c r="A408" t="s">
        <v>72</v>
      </c>
      <c r="B408" t="s">
        <v>7888</v>
      </c>
      <c r="C408" t="s">
        <v>74</v>
      </c>
      <c r="D408" t="s">
        <v>74</v>
      </c>
      <c r="E408" t="s">
        <v>74</v>
      </c>
      <c r="F408" t="s">
        <v>7889</v>
      </c>
      <c r="G408" t="s">
        <v>74</v>
      </c>
      <c r="H408" t="s">
        <v>74</v>
      </c>
      <c r="I408" t="s">
        <v>7890</v>
      </c>
      <c r="J408" t="s">
        <v>7891</v>
      </c>
      <c r="K408" t="s">
        <v>74</v>
      </c>
      <c r="L408" t="s">
        <v>74</v>
      </c>
      <c r="M408" t="s">
        <v>78</v>
      </c>
      <c r="N408" t="s">
        <v>79</v>
      </c>
      <c r="O408" t="s">
        <v>74</v>
      </c>
      <c r="P408" t="s">
        <v>74</v>
      </c>
      <c r="Q408" t="s">
        <v>74</v>
      </c>
      <c r="R408" t="s">
        <v>74</v>
      </c>
      <c r="S408" t="s">
        <v>74</v>
      </c>
      <c r="T408" t="s">
        <v>7892</v>
      </c>
      <c r="U408" t="s">
        <v>7893</v>
      </c>
      <c r="V408" t="s">
        <v>7894</v>
      </c>
      <c r="W408" t="s">
        <v>7895</v>
      </c>
      <c r="X408" t="s">
        <v>7896</v>
      </c>
      <c r="Y408" t="s">
        <v>7897</v>
      </c>
      <c r="Z408" t="s">
        <v>7898</v>
      </c>
      <c r="AA408" t="s">
        <v>74</v>
      </c>
      <c r="AB408" t="s">
        <v>7899</v>
      </c>
      <c r="AC408" t="s">
        <v>7900</v>
      </c>
      <c r="AD408" t="s">
        <v>7901</v>
      </c>
      <c r="AE408" t="s">
        <v>7902</v>
      </c>
      <c r="AF408" t="s">
        <v>74</v>
      </c>
      <c r="AG408">
        <v>55</v>
      </c>
      <c r="AH408">
        <v>27</v>
      </c>
      <c r="AI408">
        <v>30</v>
      </c>
      <c r="AJ408">
        <v>2</v>
      </c>
      <c r="AK408">
        <v>53</v>
      </c>
      <c r="AL408" t="s">
        <v>1595</v>
      </c>
      <c r="AM408" t="s">
        <v>278</v>
      </c>
      <c r="AN408" t="s">
        <v>1596</v>
      </c>
      <c r="AO408" t="s">
        <v>7903</v>
      </c>
      <c r="AP408" t="s">
        <v>7904</v>
      </c>
      <c r="AQ408" t="s">
        <v>74</v>
      </c>
      <c r="AR408" t="s">
        <v>7905</v>
      </c>
      <c r="AS408" t="s">
        <v>7906</v>
      </c>
      <c r="AT408" t="s">
        <v>6892</v>
      </c>
      <c r="AU408">
        <v>2012</v>
      </c>
      <c r="AV408">
        <v>47</v>
      </c>
      <c r="AW408">
        <v>3</v>
      </c>
      <c r="AX408" t="s">
        <v>74</v>
      </c>
      <c r="AY408" t="s">
        <v>74</v>
      </c>
      <c r="AZ408" t="s">
        <v>74</v>
      </c>
      <c r="BA408" t="s">
        <v>74</v>
      </c>
      <c r="BB408">
        <v>503</v>
      </c>
      <c r="BC408">
        <v>508</v>
      </c>
      <c r="BD408" t="s">
        <v>74</v>
      </c>
      <c r="BE408" t="s">
        <v>7907</v>
      </c>
      <c r="BF408" t="str">
        <f>HYPERLINK("http://dx.doi.org/10.1016/j.procbio.2011.12.009","http://dx.doi.org/10.1016/j.procbio.2011.12.009")</f>
        <v>http://dx.doi.org/10.1016/j.procbio.2011.12.009</v>
      </c>
      <c r="BG408" t="s">
        <v>74</v>
      </c>
      <c r="BH408" t="s">
        <v>74</v>
      </c>
      <c r="BI408">
        <v>6</v>
      </c>
      <c r="BJ408" t="s">
        <v>7908</v>
      </c>
      <c r="BK408" t="s">
        <v>99</v>
      </c>
      <c r="BL408" t="s">
        <v>7909</v>
      </c>
      <c r="BM408" t="s">
        <v>7910</v>
      </c>
      <c r="BN408" t="s">
        <v>74</v>
      </c>
      <c r="BO408" t="s">
        <v>74</v>
      </c>
      <c r="BP408" t="s">
        <v>74</v>
      </c>
      <c r="BQ408" t="s">
        <v>74</v>
      </c>
      <c r="BR408" t="s">
        <v>101</v>
      </c>
      <c r="BS408" t="s">
        <v>7911</v>
      </c>
      <c r="BT408" t="str">
        <f>HYPERLINK("https%3A%2F%2Fwww.webofscience.com%2Fwos%2Fwoscc%2Ffull-record%2FWOS:000300868700023","View Full Record in Web of Science")</f>
        <v>View Full Record in Web of Science</v>
      </c>
    </row>
    <row r="409" spans="1:72" x14ac:dyDescent="0.15">
      <c r="A409" t="s">
        <v>72</v>
      </c>
      <c r="B409" t="s">
        <v>7912</v>
      </c>
      <c r="C409" t="s">
        <v>74</v>
      </c>
      <c r="D409" t="s">
        <v>74</v>
      </c>
      <c r="E409" t="s">
        <v>74</v>
      </c>
      <c r="F409" t="s">
        <v>7913</v>
      </c>
      <c r="G409" t="s">
        <v>74</v>
      </c>
      <c r="H409" t="s">
        <v>74</v>
      </c>
      <c r="I409" t="s">
        <v>7914</v>
      </c>
      <c r="J409" t="s">
        <v>4621</v>
      </c>
      <c r="K409" t="s">
        <v>74</v>
      </c>
      <c r="L409" t="s">
        <v>74</v>
      </c>
      <c r="M409" t="s">
        <v>78</v>
      </c>
      <c r="N409" t="s">
        <v>79</v>
      </c>
      <c r="O409" t="s">
        <v>74</v>
      </c>
      <c r="P409" t="s">
        <v>74</v>
      </c>
      <c r="Q409" t="s">
        <v>74</v>
      </c>
      <c r="R409" t="s">
        <v>74</v>
      </c>
      <c r="S409" t="s">
        <v>74</v>
      </c>
      <c r="T409" t="s">
        <v>7915</v>
      </c>
      <c r="U409" t="s">
        <v>7916</v>
      </c>
      <c r="V409" t="s">
        <v>7917</v>
      </c>
      <c r="W409" t="s">
        <v>7918</v>
      </c>
      <c r="X409" t="s">
        <v>7919</v>
      </c>
      <c r="Y409" t="s">
        <v>7920</v>
      </c>
      <c r="Z409" t="s">
        <v>7921</v>
      </c>
      <c r="AA409" t="s">
        <v>7922</v>
      </c>
      <c r="AB409" t="s">
        <v>7923</v>
      </c>
      <c r="AC409" t="s">
        <v>7924</v>
      </c>
      <c r="AD409" t="s">
        <v>7924</v>
      </c>
      <c r="AE409" t="s">
        <v>7925</v>
      </c>
      <c r="AF409" t="s">
        <v>74</v>
      </c>
      <c r="AG409">
        <v>77</v>
      </c>
      <c r="AH409">
        <v>58</v>
      </c>
      <c r="AI409">
        <v>63</v>
      </c>
      <c r="AJ409">
        <v>0</v>
      </c>
      <c r="AK409">
        <v>65</v>
      </c>
      <c r="AL409" t="s">
        <v>4632</v>
      </c>
      <c r="AM409" t="s">
        <v>147</v>
      </c>
      <c r="AN409" t="s">
        <v>4633</v>
      </c>
      <c r="AO409" t="s">
        <v>4634</v>
      </c>
      <c r="AP409" t="s">
        <v>4635</v>
      </c>
      <c r="AQ409" t="s">
        <v>74</v>
      </c>
      <c r="AR409" t="s">
        <v>4636</v>
      </c>
      <c r="AS409" t="s">
        <v>4637</v>
      </c>
      <c r="AT409" t="s">
        <v>6892</v>
      </c>
      <c r="AU409">
        <v>2012</v>
      </c>
      <c r="AV409">
        <v>83</v>
      </c>
      <c r="AW409">
        <v>3</v>
      </c>
      <c r="AX409" t="s">
        <v>74</v>
      </c>
      <c r="AY409" t="s">
        <v>74</v>
      </c>
      <c r="AZ409" t="s">
        <v>74</v>
      </c>
      <c r="BA409" t="s">
        <v>74</v>
      </c>
      <c r="BB409">
        <v>691</v>
      </c>
      <c r="BC409">
        <v>701</v>
      </c>
      <c r="BD409" t="s">
        <v>74</v>
      </c>
      <c r="BE409" t="s">
        <v>7926</v>
      </c>
      <c r="BF409" t="str">
        <f>HYPERLINK("http://dx.doi.org/10.1016/j.anbehav.2011.12.015","http://dx.doi.org/10.1016/j.anbehav.2011.12.015")</f>
        <v>http://dx.doi.org/10.1016/j.anbehav.2011.12.015</v>
      </c>
      <c r="BG409" t="s">
        <v>74</v>
      </c>
      <c r="BH409" t="s">
        <v>74</v>
      </c>
      <c r="BI409">
        <v>11</v>
      </c>
      <c r="BJ409" t="s">
        <v>4639</v>
      </c>
      <c r="BK409" t="s">
        <v>99</v>
      </c>
      <c r="BL409" t="s">
        <v>4639</v>
      </c>
      <c r="BM409" t="s">
        <v>7927</v>
      </c>
      <c r="BN409" t="s">
        <v>74</v>
      </c>
      <c r="BO409" t="s">
        <v>74</v>
      </c>
      <c r="BP409" t="s">
        <v>74</v>
      </c>
      <c r="BQ409" t="s">
        <v>74</v>
      </c>
      <c r="BR409" t="s">
        <v>101</v>
      </c>
      <c r="BS409" t="s">
        <v>7928</v>
      </c>
      <c r="BT409" t="str">
        <f>HYPERLINK("https%3A%2F%2Fwww.webofscience.com%2Fwos%2Fwoscc%2Ffull-record%2FWOS:000300618100014","View Full Record in Web of Science")</f>
        <v>View Full Record in Web of Science</v>
      </c>
    </row>
    <row r="410" spans="1:72" x14ac:dyDescent="0.15">
      <c r="A410" t="s">
        <v>72</v>
      </c>
      <c r="B410" t="s">
        <v>7929</v>
      </c>
      <c r="C410" t="s">
        <v>74</v>
      </c>
      <c r="D410" t="s">
        <v>74</v>
      </c>
      <c r="E410" t="s">
        <v>74</v>
      </c>
      <c r="F410" t="s">
        <v>7930</v>
      </c>
      <c r="G410" t="s">
        <v>74</v>
      </c>
      <c r="H410" t="s">
        <v>74</v>
      </c>
      <c r="I410" t="s">
        <v>7931</v>
      </c>
      <c r="J410" t="s">
        <v>4411</v>
      </c>
      <c r="K410" t="s">
        <v>74</v>
      </c>
      <c r="L410" t="s">
        <v>74</v>
      </c>
      <c r="M410" t="s">
        <v>78</v>
      </c>
      <c r="N410" t="s">
        <v>79</v>
      </c>
      <c r="O410" t="s">
        <v>74</v>
      </c>
      <c r="P410" t="s">
        <v>74</v>
      </c>
      <c r="Q410" t="s">
        <v>74</v>
      </c>
      <c r="R410" t="s">
        <v>74</v>
      </c>
      <c r="S410" t="s">
        <v>74</v>
      </c>
      <c r="T410" t="s">
        <v>74</v>
      </c>
      <c r="U410" t="s">
        <v>7932</v>
      </c>
      <c r="V410" t="s">
        <v>7933</v>
      </c>
      <c r="W410" t="s">
        <v>7934</v>
      </c>
      <c r="X410" t="s">
        <v>7935</v>
      </c>
      <c r="Y410" t="s">
        <v>7936</v>
      </c>
      <c r="Z410" t="s">
        <v>7937</v>
      </c>
      <c r="AA410" t="s">
        <v>7938</v>
      </c>
      <c r="AB410" t="s">
        <v>7939</v>
      </c>
      <c r="AC410" t="s">
        <v>7940</v>
      </c>
      <c r="AD410" t="s">
        <v>7941</v>
      </c>
      <c r="AE410" t="s">
        <v>7942</v>
      </c>
      <c r="AF410" t="s">
        <v>74</v>
      </c>
      <c r="AG410">
        <v>19</v>
      </c>
      <c r="AH410">
        <v>44</v>
      </c>
      <c r="AI410">
        <v>55</v>
      </c>
      <c r="AJ410">
        <v>1</v>
      </c>
      <c r="AK410">
        <v>24</v>
      </c>
      <c r="AL410" t="s">
        <v>2030</v>
      </c>
      <c r="AM410" t="s">
        <v>119</v>
      </c>
      <c r="AN410" t="s">
        <v>2031</v>
      </c>
      <c r="AO410" t="s">
        <v>4421</v>
      </c>
      <c r="AP410" t="s">
        <v>7943</v>
      </c>
      <c r="AQ410" t="s">
        <v>74</v>
      </c>
      <c r="AR410" t="s">
        <v>4422</v>
      </c>
      <c r="AS410" t="s">
        <v>4423</v>
      </c>
      <c r="AT410" t="s">
        <v>6892</v>
      </c>
      <c r="AU410">
        <v>2012</v>
      </c>
      <c r="AV410">
        <v>78</v>
      </c>
      <c r="AW410">
        <v>6</v>
      </c>
      <c r="AX410" t="s">
        <v>74</v>
      </c>
      <c r="AY410" t="s">
        <v>74</v>
      </c>
      <c r="AZ410" t="s">
        <v>74</v>
      </c>
      <c r="BA410" t="s">
        <v>74</v>
      </c>
      <c r="BB410">
        <v>2056</v>
      </c>
      <c r="BC410">
        <v>2058</v>
      </c>
      <c r="BD410" t="s">
        <v>74</v>
      </c>
      <c r="BE410" t="s">
        <v>7944</v>
      </c>
      <c r="BF410" t="str">
        <f>HYPERLINK("http://dx.doi.org/10.1128/AEM.07320-11","http://dx.doi.org/10.1128/AEM.07320-11")</f>
        <v>http://dx.doi.org/10.1128/AEM.07320-11</v>
      </c>
      <c r="BG410" t="s">
        <v>74</v>
      </c>
      <c r="BH410" t="s">
        <v>74</v>
      </c>
      <c r="BI410">
        <v>3</v>
      </c>
      <c r="BJ410" t="s">
        <v>4425</v>
      </c>
      <c r="BK410" t="s">
        <v>99</v>
      </c>
      <c r="BL410" t="s">
        <v>4425</v>
      </c>
      <c r="BM410" t="s">
        <v>7945</v>
      </c>
      <c r="BN410">
        <v>22247146</v>
      </c>
      <c r="BO410" t="s">
        <v>822</v>
      </c>
      <c r="BP410" t="s">
        <v>74</v>
      </c>
      <c r="BQ410" t="s">
        <v>74</v>
      </c>
      <c r="BR410" t="s">
        <v>101</v>
      </c>
      <c r="BS410" t="s">
        <v>7946</v>
      </c>
      <c r="BT410" t="str">
        <f>HYPERLINK("https%3A%2F%2Fwww.webofscience.com%2Fwos%2Fwoscc%2Ffull-record%2FWOS:000300629800052","View Full Record in Web of Science")</f>
        <v>View Full Record in Web of Science</v>
      </c>
    </row>
    <row r="411" spans="1:72" x14ac:dyDescent="0.15">
      <c r="A411" t="s">
        <v>72</v>
      </c>
      <c r="B411" t="s">
        <v>7947</v>
      </c>
      <c r="C411" t="s">
        <v>74</v>
      </c>
      <c r="D411" t="s">
        <v>74</v>
      </c>
      <c r="E411" t="s">
        <v>74</v>
      </c>
      <c r="F411" t="s">
        <v>7948</v>
      </c>
      <c r="G411" t="s">
        <v>74</v>
      </c>
      <c r="H411" t="s">
        <v>74</v>
      </c>
      <c r="I411" t="s">
        <v>7949</v>
      </c>
      <c r="J411" t="s">
        <v>7950</v>
      </c>
      <c r="K411" t="s">
        <v>74</v>
      </c>
      <c r="L411" t="s">
        <v>74</v>
      </c>
      <c r="M411" t="s">
        <v>78</v>
      </c>
      <c r="N411" t="s">
        <v>873</v>
      </c>
      <c r="O411" t="s">
        <v>74</v>
      </c>
      <c r="P411" t="s">
        <v>74</v>
      </c>
      <c r="Q411" t="s">
        <v>74</v>
      </c>
      <c r="R411" t="s">
        <v>74</v>
      </c>
      <c r="S411" t="s">
        <v>74</v>
      </c>
      <c r="T411" t="s">
        <v>74</v>
      </c>
      <c r="U411" t="s">
        <v>74</v>
      </c>
      <c r="V411" t="s">
        <v>74</v>
      </c>
      <c r="W411" t="s">
        <v>7951</v>
      </c>
      <c r="X411" t="s">
        <v>7952</v>
      </c>
      <c r="Y411" t="s">
        <v>7953</v>
      </c>
      <c r="Z411" t="s">
        <v>7954</v>
      </c>
      <c r="AA411" t="s">
        <v>74</v>
      </c>
      <c r="AB411" t="s">
        <v>74</v>
      </c>
      <c r="AC411" t="s">
        <v>74</v>
      </c>
      <c r="AD411" t="s">
        <v>74</v>
      </c>
      <c r="AE411" t="s">
        <v>74</v>
      </c>
      <c r="AF411" t="s">
        <v>74</v>
      </c>
      <c r="AG411">
        <v>1</v>
      </c>
      <c r="AH411">
        <v>1</v>
      </c>
      <c r="AI411">
        <v>1</v>
      </c>
      <c r="AJ411">
        <v>0</v>
      </c>
      <c r="AK411">
        <v>5</v>
      </c>
      <c r="AL411" t="s">
        <v>368</v>
      </c>
      <c r="AM411" t="s">
        <v>369</v>
      </c>
      <c r="AN411" t="s">
        <v>370</v>
      </c>
      <c r="AO411" t="s">
        <v>7955</v>
      </c>
      <c r="AP411" t="s">
        <v>74</v>
      </c>
      <c r="AQ411" t="s">
        <v>74</v>
      </c>
      <c r="AR411" t="s">
        <v>7956</v>
      </c>
      <c r="AS411" t="s">
        <v>7957</v>
      </c>
      <c r="AT411" t="s">
        <v>6892</v>
      </c>
      <c r="AU411">
        <v>2012</v>
      </c>
      <c r="AV411">
        <v>101</v>
      </c>
      <c r="AW411" t="s">
        <v>74</v>
      </c>
      <c r="AX411" t="s">
        <v>74</v>
      </c>
      <c r="AY411" t="s">
        <v>74</v>
      </c>
      <c r="AZ411" t="s">
        <v>74</v>
      </c>
      <c r="BA411" t="s">
        <v>74</v>
      </c>
      <c r="BB411">
        <v>99</v>
      </c>
      <c r="BC411">
        <v>99</v>
      </c>
      <c r="BD411" t="s">
        <v>74</v>
      </c>
      <c r="BE411" t="s">
        <v>7958</v>
      </c>
      <c r="BF411" t="str">
        <f>HYPERLINK("http://dx.doi.org/10.1016/j.microc.2011.09.007","http://dx.doi.org/10.1016/j.microc.2011.09.007")</f>
        <v>http://dx.doi.org/10.1016/j.microc.2011.09.007</v>
      </c>
      <c r="BG411" t="s">
        <v>74</v>
      </c>
      <c r="BH411" t="s">
        <v>74</v>
      </c>
      <c r="BI411">
        <v>1</v>
      </c>
      <c r="BJ411" t="s">
        <v>7959</v>
      </c>
      <c r="BK411" t="s">
        <v>99</v>
      </c>
      <c r="BL411" t="s">
        <v>287</v>
      </c>
      <c r="BM411" t="s">
        <v>7960</v>
      </c>
      <c r="BN411" t="s">
        <v>74</v>
      </c>
      <c r="BO411" t="s">
        <v>74</v>
      </c>
      <c r="BP411" t="s">
        <v>74</v>
      </c>
      <c r="BQ411" t="s">
        <v>74</v>
      </c>
      <c r="BR411" t="s">
        <v>101</v>
      </c>
      <c r="BS411" t="s">
        <v>7961</v>
      </c>
      <c r="BT411" t="str">
        <f>HYPERLINK("https%3A%2F%2Fwww.webofscience.com%2Fwos%2Fwoscc%2Ffull-record%2FWOS:000300746900017","View Full Record in Web of Science")</f>
        <v>View Full Record in Web of Science</v>
      </c>
    </row>
    <row r="412" spans="1:72" x14ac:dyDescent="0.15">
      <c r="A412" t="s">
        <v>72</v>
      </c>
      <c r="B412" t="s">
        <v>7962</v>
      </c>
      <c r="C412" t="s">
        <v>74</v>
      </c>
      <c r="D412" t="s">
        <v>74</v>
      </c>
      <c r="E412" t="s">
        <v>74</v>
      </c>
      <c r="F412" t="s">
        <v>7963</v>
      </c>
      <c r="G412" t="s">
        <v>74</v>
      </c>
      <c r="H412" t="s">
        <v>74</v>
      </c>
      <c r="I412" t="s">
        <v>7964</v>
      </c>
      <c r="J412" t="s">
        <v>7965</v>
      </c>
      <c r="K412" t="s">
        <v>74</v>
      </c>
      <c r="L412" t="s">
        <v>74</v>
      </c>
      <c r="M412" t="s">
        <v>78</v>
      </c>
      <c r="N412" t="s">
        <v>79</v>
      </c>
      <c r="O412" t="s">
        <v>74</v>
      </c>
      <c r="P412" t="s">
        <v>74</v>
      </c>
      <c r="Q412" t="s">
        <v>74</v>
      </c>
      <c r="R412" t="s">
        <v>74</v>
      </c>
      <c r="S412" t="s">
        <v>74</v>
      </c>
      <c r="T412" t="s">
        <v>74</v>
      </c>
      <c r="U412" t="s">
        <v>7966</v>
      </c>
      <c r="V412" t="s">
        <v>7967</v>
      </c>
      <c r="W412" t="s">
        <v>7968</v>
      </c>
      <c r="X412" t="s">
        <v>7969</v>
      </c>
      <c r="Y412" t="s">
        <v>7970</v>
      </c>
      <c r="Z412" t="s">
        <v>7971</v>
      </c>
      <c r="AA412" t="s">
        <v>7972</v>
      </c>
      <c r="AB412" t="s">
        <v>7973</v>
      </c>
      <c r="AC412" t="s">
        <v>7974</v>
      </c>
      <c r="AD412" t="s">
        <v>7975</v>
      </c>
      <c r="AE412" t="s">
        <v>7976</v>
      </c>
      <c r="AF412" t="s">
        <v>74</v>
      </c>
      <c r="AG412">
        <v>42</v>
      </c>
      <c r="AH412">
        <v>18</v>
      </c>
      <c r="AI412">
        <v>18</v>
      </c>
      <c r="AJ412">
        <v>0</v>
      </c>
      <c r="AK412">
        <v>16</v>
      </c>
      <c r="AL412" t="s">
        <v>277</v>
      </c>
      <c r="AM412" t="s">
        <v>278</v>
      </c>
      <c r="AN412" t="s">
        <v>279</v>
      </c>
      <c r="AO412" t="s">
        <v>7977</v>
      </c>
      <c r="AP412" t="s">
        <v>74</v>
      </c>
      <c r="AQ412" t="s">
        <v>74</v>
      </c>
      <c r="AR412" t="s">
        <v>7978</v>
      </c>
      <c r="AS412" t="s">
        <v>7979</v>
      </c>
      <c r="AT412" t="s">
        <v>6892</v>
      </c>
      <c r="AU412">
        <v>2012</v>
      </c>
      <c r="AV412">
        <v>27</v>
      </c>
      <c r="AW412">
        <v>3</v>
      </c>
      <c r="AX412" t="s">
        <v>74</v>
      </c>
      <c r="AY412" t="s">
        <v>74</v>
      </c>
      <c r="AZ412" t="s">
        <v>74</v>
      </c>
      <c r="BA412" t="s">
        <v>74</v>
      </c>
      <c r="BB412">
        <v>796</v>
      </c>
      <c r="BC412">
        <v>805</v>
      </c>
      <c r="BD412" t="s">
        <v>74</v>
      </c>
      <c r="BE412" t="s">
        <v>7980</v>
      </c>
      <c r="BF412" t="str">
        <f>HYPERLINK("http://dx.doi.org/10.1016/j.apgeochem.2011.12.014","http://dx.doi.org/10.1016/j.apgeochem.2011.12.014")</f>
        <v>http://dx.doi.org/10.1016/j.apgeochem.2011.12.014</v>
      </c>
      <c r="BG412" t="s">
        <v>74</v>
      </c>
      <c r="BH412" t="s">
        <v>74</v>
      </c>
      <c r="BI412">
        <v>10</v>
      </c>
      <c r="BJ412" t="s">
        <v>1134</v>
      </c>
      <c r="BK412" t="s">
        <v>99</v>
      </c>
      <c r="BL412" t="s">
        <v>1134</v>
      </c>
      <c r="BM412" t="s">
        <v>7981</v>
      </c>
      <c r="BN412" t="s">
        <v>74</v>
      </c>
      <c r="BO412" t="s">
        <v>74</v>
      </c>
      <c r="BP412" t="s">
        <v>74</v>
      </c>
      <c r="BQ412" t="s">
        <v>74</v>
      </c>
      <c r="BR412" t="s">
        <v>101</v>
      </c>
      <c r="BS412" t="s">
        <v>7982</v>
      </c>
      <c r="BT412" t="str">
        <f>HYPERLINK("https%3A%2F%2Fwww.webofscience.com%2Fwos%2Fwoscc%2Ffull-record%2FWOS:000300403400022","View Full Record in Web of Science")</f>
        <v>View Full Record in Web of Science</v>
      </c>
    </row>
    <row r="413" spans="1:72" x14ac:dyDescent="0.15">
      <c r="A413" t="s">
        <v>72</v>
      </c>
      <c r="B413" t="s">
        <v>7983</v>
      </c>
      <c r="C413" t="s">
        <v>74</v>
      </c>
      <c r="D413" t="s">
        <v>74</v>
      </c>
      <c r="E413" t="s">
        <v>74</v>
      </c>
      <c r="F413" t="s">
        <v>7984</v>
      </c>
      <c r="G413" t="s">
        <v>74</v>
      </c>
      <c r="H413" t="s">
        <v>74</v>
      </c>
      <c r="I413" t="s">
        <v>7985</v>
      </c>
      <c r="J413" t="s">
        <v>7986</v>
      </c>
      <c r="K413" t="s">
        <v>74</v>
      </c>
      <c r="L413" t="s">
        <v>74</v>
      </c>
      <c r="M413" t="s">
        <v>78</v>
      </c>
      <c r="N413" t="s">
        <v>79</v>
      </c>
      <c r="O413" t="s">
        <v>74</v>
      </c>
      <c r="P413" t="s">
        <v>74</v>
      </c>
      <c r="Q413" t="s">
        <v>74</v>
      </c>
      <c r="R413" t="s">
        <v>74</v>
      </c>
      <c r="S413" t="s">
        <v>74</v>
      </c>
      <c r="T413" t="s">
        <v>7987</v>
      </c>
      <c r="U413" t="s">
        <v>7988</v>
      </c>
      <c r="V413" t="s">
        <v>7989</v>
      </c>
      <c r="W413" t="s">
        <v>7990</v>
      </c>
      <c r="X413" t="s">
        <v>7991</v>
      </c>
      <c r="Y413" t="s">
        <v>7992</v>
      </c>
      <c r="Z413" t="s">
        <v>7993</v>
      </c>
      <c r="AA413" t="s">
        <v>74</v>
      </c>
      <c r="AB413" t="s">
        <v>74</v>
      </c>
      <c r="AC413" t="s">
        <v>7994</v>
      </c>
      <c r="AD413" t="s">
        <v>7995</v>
      </c>
      <c r="AE413" t="s">
        <v>7996</v>
      </c>
      <c r="AF413" t="s">
        <v>74</v>
      </c>
      <c r="AG413">
        <v>41</v>
      </c>
      <c r="AH413">
        <v>8</v>
      </c>
      <c r="AI413">
        <v>9</v>
      </c>
      <c r="AJ413">
        <v>0</v>
      </c>
      <c r="AK413">
        <v>13</v>
      </c>
      <c r="AL413" t="s">
        <v>655</v>
      </c>
      <c r="AM413" t="s">
        <v>656</v>
      </c>
      <c r="AN413" t="s">
        <v>1908</v>
      </c>
      <c r="AO413" t="s">
        <v>7997</v>
      </c>
      <c r="AP413" t="s">
        <v>7998</v>
      </c>
      <c r="AQ413" t="s">
        <v>74</v>
      </c>
      <c r="AR413" t="s">
        <v>7999</v>
      </c>
      <c r="AS413" t="s">
        <v>8000</v>
      </c>
      <c r="AT413" t="s">
        <v>6892</v>
      </c>
      <c r="AU413">
        <v>2012</v>
      </c>
      <c r="AV413">
        <v>61</v>
      </c>
      <c r="AW413">
        <v>2</v>
      </c>
      <c r="AX413" t="s">
        <v>74</v>
      </c>
      <c r="AY413" t="s">
        <v>74</v>
      </c>
      <c r="AZ413" t="s">
        <v>74</v>
      </c>
      <c r="BA413" t="s">
        <v>74</v>
      </c>
      <c r="BB413">
        <v>337</v>
      </c>
      <c r="BC413">
        <v>349</v>
      </c>
      <c r="BD413" t="s">
        <v>74</v>
      </c>
      <c r="BE413" t="s">
        <v>8001</v>
      </c>
      <c r="BF413" t="str">
        <f>HYPERLINK("http://dx.doi.org/10.1007/s11069-011-9917-2","http://dx.doi.org/10.1007/s11069-011-9917-2")</f>
        <v>http://dx.doi.org/10.1007/s11069-011-9917-2</v>
      </c>
      <c r="BG413" t="s">
        <v>74</v>
      </c>
      <c r="BH413" t="s">
        <v>74</v>
      </c>
      <c r="BI413">
        <v>13</v>
      </c>
      <c r="BJ413" t="s">
        <v>8002</v>
      </c>
      <c r="BK413" t="s">
        <v>99</v>
      </c>
      <c r="BL413" t="s">
        <v>8003</v>
      </c>
      <c r="BM413" t="s">
        <v>8004</v>
      </c>
      <c r="BN413" t="s">
        <v>74</v>
      </c>
      <c r="BO413" t="s">
        <v>328</v>
      </c>
      <c r="BP413" t="s">
        <v>74</v>
      </c>
      <c r="BQ413" t="s">
        <v>74</v>
      </c>
      <c r="BR413" t="s">
        <v>101</v>
      </c>
      <c r="BS413" t="s">
        <v>8005</v>
      </c>
      <c r="BT413" t="str">
        <f>HYPERLINK("https%3A%2F%2Fwww.webofscience.com%2Fwos%2Fwoscc%2Ffull-record%2FWOS:000299955600003","View Full Record in Web of Science")</f>
        <v>View Full Record in Web of Science</v>
      </c>
    </row>
    <row r="414" spans="1:72" x14ac:dyDescent="0.15">
      <c r="A414" t="s">
        <v>72</v>
      </c>
      <c r="B414" t="s">
        <v>8006</v>
      </c>
      <c r="C414" t="s">
        <v>74</v>
      </c>
      <c r="D414" t="s">
        <v>74</v>
      </c>
      <c r="E414" t="s">
        <v>74</v>
      </c>
      <c r="F414" t="s">
        <v>8007</v>
      </c>
      <c r="G414" t="s">
        <v>74</v>
      </c>
      <c r="H414" t="s">
        <v>74</v>
      </c>
      <c r="I414" t="s">
        <v>8008</v>
      </c>
      <c r="J414" t="s">
        <v>8009</v>
      </c>
      <c r="K414" t="s">
        <v>74</v>
      </c>
      <c r="L414" t="s">
        <v>74</v>
      </c>
      <c r="M414" t="s">
        <v>78</v>
      </c>
      <c r="N414" t="s">
        <v>79</v>
      </c>
      <c r="O414" t="s">
        <v>74</v>
      </c>
      <c r="P414" t="s">
        <v>74</v>
      </c>
      <c r="Q414" t="s">
        <v>74</v>
      </c>
      <c r="R414" t="s">
        <v>74</v>
      </c>
      <c r="S414" t="s">
        <v>74</v>
      </c>
      <c r="T414" t="s">
        <v>8010</v>
      </c>
      <c r="U414" t="s">
        <v>8011</v>
      </c>
      <c r="V414" t="s">
        <v>8012</v>
      </c>
      <c r="W414" t="s">
        <v>8013</v>
      </c>
      <c r="X414" t="s">
        <v>977</v>
      </c>
      <c r="Y414" t="s">
        <v>7390</v>
      </c>
      <c r="Z414" t="s">
        <v>7391</v>
      </c>
      <c r="AA414" t="s">
        <v>8014</v>
      </c>
      <c r="AB414" t="s">
        <v>74</v>
      </c>
      <c r="AC414" t="s">
        <v>74</v>
      </c>
      <c r="AD414" t="s">
        <v>74</v>
      </c>
      <c r="AE414" t="s">
        <v>74</v>
      </c>
      <c r="AF414" t="s">
        <v>74</v>
      </c>
      <c r="AG414">
        <v>27</v>
      </c>
      <c r="AH414">
        <v>12</v>
      </c>
      <c r="AI414">
        <v>12</v>
      </c>
      <c r="AJ414">
        <v>0</v>
      </c>
      <c r="AK414">
        <v>4</v>
      </c>
      <c r="AL414" t="s">
        <v>1595</v>
      </c>
      <c r="AM414" t="s">
        <v>278</v>
      </c>
      <c r="AN414" t="s">
        <v>1596</v>
      </c>
      <c r="AO414" t="s">
        <v>8015</v>
      </c>
      <c r="AP414" t="s">
        <v>8016</v>
      </c>
      <c r="AQ414" t="s">
        <v>74</v>
      </c>
      <c r="AR414" t="s">
        <v>8017</v>
      </c>
      <c r="AS414" t="s">
        <v>8018</v>
      </c>
      <c r="AT414" t="s">
        <v>6991</v>
      </c>
      <c r="AU414">
        <v>2012</v>
      </c>
      <c r="AV414">
        <v>49</v>
      </c>
      <c r="AW414">
        <v>5</v>
      </c>
      <c r="AX414" t="s">
        <v>74</v>
      </c>
      <c r="AY414" t="s">
        <v>74</v>
      </c>
      <c r="AZ414" t="s">
        <v>74</v>
      </c>
      <c r="BA414" t="s">
        <v>74</v>
      </c>
      <c r="BB414">
        <v>872</v>
      </c>
      <c r="BC414">
        <v>882</v>
      </c>
      <c r="BD414" t="s">
        <v>74</v>
      </c>
      <c r="BE414" t="s">
        <v>8019</v>
      </c>
      <c r="BF414" t="str">
        <f>HYPERLINK("http://dx.doi.org/10.1016/j.asr.2011.12.011","http://dx.doi.org/10.1016/j.asr.2011.12.011")</f>
        <v>http://dx.doi.org/10.1016/j.asr.2011.12.011</v>
      </c>
      <c r="BG414" t="s">
        <v>74</v>
      </c>
      <c r="BH414" t="s">
        <v>74</v>
      </c>
      <c r="BI414">
        <v>11</v>
      </c>
      <c r="BJ414" t="s">
        <v>8020</v>
      </c>
      <c r="BK414" t="s">
        <v>99</v>
      </c>
      <c r="BL414" t="s">
        <v>8021</v>
      </c>
      <c r="BM414" t="s">
        <v>8022</v>
      </c>
      <c r="BN414" t="s">
        <v>74</v>
      </c>
      <c r="BO414" t="s">
        <v>74</v>
      </c>
      <c r="BP414" t="s">
        <v>74</v>
      </c>
      <c r="BQ414" t="s">
        <v>74</v>
      </c>
      <c r="BR414" t="s">
        <v>101</v>
      </c>
      <c r="BS414" t="s">
        <v>8023</v>
      </c>
      <c r="BT414" t="str">
        <f>HYPERLINK("https%3A%2F%2Fwww.webofscience.com%2Fwos%2Fwoscc%2Ffull-record%2FWOS:000301610600006","View Full Record in Web of Science")</f>
        <v>View Full Record in Web of Science</v>
      </c>
    </row>
    <row r="415" spans="1:72" x14ac:dyDescent="0.15">
      <c r="A415" t="s">
        <v>72</v>
      </c>
      <c r="B415" t="s">
        <v>8024</v>
      </c>
      <c r="C415" t="s">
        <v>74</v>
      </c>
      <c r="D415" t="s">
        <v>74</v>
      </c>
      <c r="E415" t="s">
        <v>74</v>
      </c>
      <c r="F415" t="s">
        <v>8025</v>
      </c>
      <c r="G415" t="s">
        <v>74</v>
      </c>
      <c r="H415" t="s">
        <v>74</v>
      </c>
      <c r="I415" t="s">
        <v>8026</v>
      </c>
      <c r="J415" t="s">
        <v>8027</v>
      </c>
      <c r="K415" t="s">
        <v>74</v>
      </c>
      <c r="L415" t="s">
        <v>74</v>
      </c>
      <c r="M415" t="s">
        <v>78</v>
      </c>
      <c r="N415" t="s">
        <v>79</v>
      </c>
      <c r="O415" t="s">
        <v>74</v>
      </c>
      <c r="P415" t="s">
        <v>74</v>
      </c>
      <c r="Q415" t="s">
        <v>74</v>
      </c>
      <c r="R415" t="s">
        <v>74</v>
      </c>
      <c r="S415" t="s">
        <v>74</v>
      </c>
      <c r="T415" t="s">
        <v>8028</v>
      </c>
      <c r="U415" t="s">
        <v>8029</v>
      </c>
      <c r="V415" t="s">
        <v>8030</v>
      </c>
      <c r="W415" t="s">
        <v>8031</v>
      </c>
      <c r="X415" t="s">
        <v>8032</v>
      </c>
      <c r="Y415" t="s">
        <v>8033</v>
      </c>
      <c r="Z415" t="s">
        <v>8034</v>
      </c>
      <c r="AA415" t="s">
        <v>8035</v>
      </c>
      <c r="AB415" t="s">
        <v>8036</v>
      </c>
      <c r="AC415" t="s">
        <v>8037</v>
      </c>
      <c r="AD415" t="s">
        <v>8038</v>
      </c>
      <c r="AE415" t="s">
        <v>8039</v>
      </c>
      <c r="AF415" t="s">
        <v>74</v>
      </c>
      <c r="AG415">
        <v>66</v>
      </c>
      <c r="AH415">
        <v>121</v>
      </c>
      <c r="AI415">
        <v>153</v>
      </c>
      <c r="AJ415">
        <v>4</v>
      </c>
      <c r="AK415">
        <v>106</v>
      </c>
      <c r="AL415" t="s">
        <v>1620</v>
      </c>
      <c r="AM415" t="s">
        <v>278</v>
      </c>
      <c r="AN415" t="s">
        <v>1621</v>
      </c>
      <c r="AO415" t="s">
        <v>8040</v>
      </c>
      <c r="AP415" t="s">
        <v>8041</v>
      </c>
      <c r="AQ415" t="s">
        <v>74</v>
      </c>
      <c r="AR415" t="s">
        <v>8027</v>
      </c>
      <c r="AS415" t="s">
        <v>8042</v>
      </c>
      <c r="AT415" t="s">
        <v>6892</v>
      </c>
      <c r="AU415">
        <v>2012</v>
      </c>
      <c r="AV415">
        <v>62</v>
      </c>
      <c r="AW415">
        <v>3</v>
      </c>
      <c r="AX415" t="s">
        <v>74</v>
      </c>
      <c r="AY415" t="s">
        <v>74</v>
      </c>
      <c r="AZ415" t="s">
        <v>74</v>
      </c>
      <c r="BA415" t="s">
        <v>74</v>
      </c>
      <c r="BB415">
        <v>226</v>
      </c>
      <c r="BC415">
        <v>236</v>
      </c>
      <c r="BD415" t="s">
        <v>74</v>
      </c>
      <c r="BE415" t="s">
        <v>8043</v>
      </c>
      <c r="BF415" t="str">
        <f>HYPERLINK("http://dx.doi.org/10.1525/bio.2012.62.3.4","http://dx.doi.org/10.1525/bio.2012.62.3.4")</f>
        <v>http://dx.doi.org/10.1525/bio.2012.62.3.4</v>
      </c>
      <c r="BG415" t="s">
        <v>74</v>
      </c>
      <c r="BH415" t="s">
        <v>74</v>
      </c>
      <c r="BI415">
        <v>11</v>
      </c>
      <c r="BJ415" t="s">
        <v>1091</v>
      </c>
      <c r="BK415" t="s">
        <v>2236</v>
      </c>
      <c r="BL415" t="s">
        <v>1092</v>
      </c>
      <c r="BM415" t="s">
        <v>8044</v>
      </c>
      <c r="BN415" t="s">
        <v>74</v>
      </c>
      <c r="BO415" t="s">
        <v>308</v>
      </c>
      <c r="BP415" t="s">
        <v>74</v>
      </c>
      <c r="BQ415" t="s">
        <v>74</v>
      </c>
      <c r="BR415" t="s">
        <v>101</v>
      </c>
      <c r="BS415" t="s">
        <v>8045</v>
      </c>
      <c r="BT415" t="str">
        <f>HYPERLINK("https%3A%2F%2Fwww.webofscience.com%2Fwos%2Fwoscc%2Ffull-record%2FWOS:000301561900006","View Full Record in Web of Science")</f>
        <v>View Full Record in Web of Science</v>
      </c>
    </row>
    <row r="416" spans="1:72" x14ac:dyDescent="0.15">
      <c r="A416" t="s">
        <v>72</v>
      </c>
      <c r="B416" t="s">
        <v>8046</v>
      </c>
      <c r="C416" t="s">
        <v>74</v>
      </c>
      <c r="D416" t="s">
        <v>74</v>
      </c>
      <c r="E416" t="s">
        <v>74</v>
      </c>
      <c r="F416" t="s">
        <v>8047</v>
      </c>
      <c r="G416" t="s">
        <v>74</v>
      </c>
      <c r="H416" t="s">
        <v>74</v>
      </c>
      <c r="I416" t="s">
        <v>8048</v>
      </c>
      <c r="J416" t="s">
        <v>8027</v>
      </c>
      <c r="K416" t="s">
        <v>74</v>
      </c>
      <c r="L416" t="s">
        <v>74</v>
      </c>
      <c r="M416" t="s">
        <v>78</v>
      </c>
      <c r="N416" t="s">
        <v>79</v>
      </c>
      <c r="O416" t="s">
        <v>74</v>
      </c>
      <c r="P416" t="s">
        <v>74</v>
      </c>
      <c r="Q416" t="s">
        <v>74</v>
      </c>
      <c r="R416" t="s">
        <v>74</v>
      </c>
      <c r="S416" t="s">
        <v>74</v>
      </c>
      <c r="T416" t="s">
        <v>8049</v>
      </c>
      <c r="U416" t="s">
        <v>8050</v>
      </c>
      <c r="V416" t="s">
        <v>8051</v>
      </c>
      <c r="W416" t="s">
        <v>8052</v>
      </c>
      <c r="X416" t="s">
        <v>8053</v>
      </c>
      <c r="Y416" t="s">
        <v>8054</v>
      </c>
      <c r="Z416" t="s">
        <v>8055</v>
      </c>
      <c r="AA416" t="s">
        <v>8056</v>
      </c>
      <c r="AB416" t="s">
        <v>8057</v>
      </c>
      <c r="AC416" t="s">
        <v>8058</v>
      </c>
      <c r="AD416" t="s">
        <v>8059</v>
      </c>
      <c r="AE416" t="s">
        <v>8060</v>
      </c>
      <c r="AF416" t="s">
        <v>74</v>
      </c>
      <c r="AG416">
        <v>58</v>
      </c>
      <c r="AH416">
        <v>101</v>
      </c>
      <c r="AI416">
        <v>114</v>
      </c>
      <c r="AJ416">
        <v>5</v>
      </c>
      <c r="AK416">
        <v>45</v>
      </c>
      <c r="AL416" t="s">
        <v>1620</v>
      </c>
      <c r="AM416" t="s">
        <v>278</v>
      </c>
      <c r="AN416" t="s">
        <v>1621</v>
      </c>
      <c r="AO416" t="s">
        <v>8040</v>
      </c>
      <c r="AP416" t="s">
        <v>8041</v>
      </c>
      <c r="AQ416" t="s">
        <v>74</v>
      </c>
      <c r="AR416" t="s">
        <v>8027</v>
      </c>
      <c r="AS416" t="s">
        <v>8042</v>
      </c>
      <c r="AT416" t="s">
        <v>6892</v>
      </c>
      <c r="AU416">
        <v>2012</v>
      </c>
      <c r="AV416">
        <v>62</v>
      </c>
      <c r="AW416">
        <v>3</v>
      </c>
      <c r="AX416" t="s">
        <v>74</v>
      </c>
      <c r="AY416" t="s">
        <v>74</v>
      </c>
      <c r="AZ416" t="s">
        <v>74</v>
      </c>
      <c r="BA416" t="s">
        <v>74</v>
      </c>
      <c r="BB416">
        <v>260</v>
      </c>
      <c r="BC416">
        <v>270</v>
      </c>
      <c r="BD416" t="s">
        <v>74</v>
      </c>
      <c r="BE416" t="s">
        <v>8061</v>
      </c>
      <c r="BF416" t="str">
        <f>HYPERLINK("http://dx.doi.org/10.1525/bio.2012.62.3.7","http://dx.doi.org/10.1525/bio.2012.62.3.7")</f>
        <v>http://dx.doi.org/10.1525/bio.2012.62.3.7</v>
      </c>
      <c r="BG416" t="s">
        <v>74</v>
      </c>
      <c r="BH416" t="s">
        <v>74</v>
      </c>
      <c r="BI416">
        <v>11</v>
      </c>
      <c r="BJ416" t="s">
        <v>1091</v>
      </c>
      <c r="BK416" t="s">
        <v>99</v>
      </c>
      <c r="BL416" t="s">
        <v>1092</v>
      </c>
      <c r="BM416" t="s">
        <v>8044</v>
      </c>
      <c r="BN416" t="s">
        <v>74</v>
      </c>
      <c r="BO416" t="s">
        <v>217</v>
      </c>
      <c r="BP416" t="s">
        <v>74</v>
      </c>
      <c r="BQ416" t="s">
        <v>74</v>
      </c>
      <c r="BR416" t="s">
        <v>101</v>
      </c>
      <c r="BS416" t="s">
        <v>8062</v>
      </c>
      <c r="BT416" t="str">
        <f>HYPERLINK("https%3A%2F%2Fwww.webofscience.com%2Fwos%2Fwoscc%2Ffull-record%2FWOS:000301561900009","View Full Record in Web of Science")</f>
        <v>View Full Record in Web of Science</v>
      </c>
    </row>
    <row r="417" spans="1:72" x14ac:dyDescent="0.15">
      <c r="A417" t="s">
        <v>72</v>
      </c>
      <c r="B417" t="s">
        <v>8063</v>
      </c>
      <c r="C417" t="s">
        <v>74</v>
      </c>
      <c r="D417" t="s">
        <v>74</v>
      </c>
      <c r="E417" t="s">
        <v>74</v>
      </c>
      <c r="F417" t="s">
        <v>8064</v>
      </c>
      <c r="G417" t="s">
        <v>74</v>
      </c>
      <c r="H417" t="s">
        <v>74</v>
      </c>
      <c r="I417" t="s">
        <v>8065</v>
      </c>
      <c r="J417" t="s">
        <v>8066</v>
      </c>
      <c r="K417" t="s">
        <v>74</v>
      </c>
      <c r="L417" t="s">
        <v>74</v>
      </c>
      <c r="M417" t="s">
        <v>78</v>
      </c>
      <c r="N417" t="s">
        <v>79</v>
      </c>
      <c r="O417" t="s">
        <v>74</v>
      </c>
      <c r="P417" t="s">
        <v>74</v>
      </c>
      <c r="Q417" t="s">
        <v>74</v>
      </c>
      <c r="R417" t="s">
        <v>74</v>
      </c>
      <c r="S417" t="s">
        <v>74</v>
      </c>
      <c r="T417" t="s">
        <v>8067</v>
      </c>
      <c r="U417" t="s">
        <v>8068</v>
      </c>
      <c r="V417" t="s">
        <v>8069</v>
      </c>
      <c r="W417" t="s">
        <v>8070</v>
      </c>
      <c r="X417" t="s">
        <v>8071</v>
      </c>
      <c r="Y417" t="s">
        <v>8072</v>
      </c>
      <c r="Z417" t="s">
        <v>8073</v>
      </c>
      <c r="AA417" t="s">
        <v>8074</v>
      </c>
      <c r="AB417" t="s">
        <v>8075</v>
      </c>
      <c r="AC417" t="s">
        <v>8076</v>
      </c>
      <c r="AD417" t="s">
        <v>8077</v>
      </c>
      <c r="AE417" t="s">
        <v>8078</v>
      </c>
      <c r="AF417" t="s">
        <v>74</v>
      </c>
      <c r="AG417">
        <v>44</v>
      </c>
      <c r="AH417">
        <v>23</v>
      </c>
      <c r="AI417">
        <v>28</v>
      </c>
      <c r="AJ417">
        <v>3</v>
      </c>
      <c r="AK417">
        <v>50</v>
      </c>
      <c r="AL417" t="s">
        <v>8079</v>
      </c>
      <c r="AM417" t="s">
        <v>8080</v>
      </c>
      <c r="AN417" t="s">
        <v>8081</v>
      </c>
      <c r="AO417" t="s">
        <v>8082</v>
      </c>
      <c r="AP417" t="s">
        <v>8083</v>
      </c>
      <c r="AQ417" t="s">
        <v>74</v>
      </c>
      <c r="AR417" t="s">
        <v>8084</v>
      </c>
      <c r="AS417" t="s">
        <v>8085</v>
      </c>
      <c r="AT417" t="s">
        <v>6892</v>
      </c>
      <c r="AU417">
        <v>2012</v>
      </c>
      <c r="AV417">
        <v>90</v>
      </c>
      <c r="AW417">
        <v>3</v>
      </c>
      <c r="AX417" t="s">
        <v>74</v>
      </c>
      <c r="AY417" t="s">
        <v>74</v>
      </c>
      <c r="AZ417" t="s">
        <v>74</v>
      </c>
      <c r="BA417" t="s">
        <v>74</v>
      </c>
      <c r="BB417">
        <v>352</v>
      </c>
      <c r="BC417">
        <v>360</v>
      </c>
      <c r="BD417" t="s">
        <v>74</v>
      </c>
      <c r="BE417" t="s">
        <v>8086</v>
      </c>
      <c r="BF417" t="str">
        <f>HYPERLINK("http://dx.doi.org/10.1139/Z2012-016","http://dx.doi.org/10.1139/Z2012-016")</f>
        <v>http://dx.doi.org/10.1139/Z2012-016</v>
      </c>
      <c r="BG417" t="s">
        <v>74</v>
      </c>
      <c r="BH417" t="s">
        <v>74</v>
      </c>
      <c r="BI417">
        <v>9</v>
      </c>
      <c r="BJ417" t="s">
        <v>98</v>
      </c>
      <c r="BK417" t="s">
        <v>99</v>
      </c>
      <c r="BL417" t="s">
        <v>98</v>
      </c>
      <c r="BM417" t="s">
        <v>8087</v>
      </c>
      <c r="BN417" t="s">
        <v>74</v>
      </c>
      <c r="BO417" t="s">
        <v>74</v>
      </c>
      <c r="BP417" t="s">
        <v>74</v>
      </c>
      <c r="BQ417" t="s">
        <v>74</v>
      </c>
      <c r="BR417" t="s">
        <v>101</v>
      </c>
      <c r="BS417" t="s">
        <v>8088</v>
      </c>
      <c r="BT417" t="str">
        <f>HYPERLINK("https%3A%2F%2Fwww.webofscience.com%2Fwos%2Fwoscc%2Ffull-record%2FWOS:000302394100008","View Full Record in Web of Science")</f>
        <v>View Full Record in Web of Science</v>
      </c>
    </row>
    <row r="418" spans="1:72" x14ac:dyDescent="0.15">
      <c r="A418" t="s">
        <v>72</v>
      </c>
      <c r="B418" t="s">
        <v>8089</v>
      </c>
      <c r="C418" t="s">
        <v>74</v>
      </c>
      <c r="D418" t="s">
        <v>74</v>
      </c>
      <c r="E418" t="s">
        <v>74</v>
      </c>
      <c r="F418" t="s">
        <v>8090</v>
      </c>
      <c r="G418" t="s">
        <v>74</v>
      </c>
      <c r="H418" t="s">
        <v>74</v>
      </c>
      <c r="I418" t="s">
        <v>8091</v>
      </c>
      <c r="J418" t="s">
        <v>1790</v>
      </c>
      <c r="K418" t="s">
        <v>74</v>
      </c>
      <c r="L418" t="s">
        <v>74</v>
      </c>
      <c r="M418" t="s">
        <v>78</v>
      </c>
      <c r="N418" t="s">
        <v>79</v>
      </c>
      <c r="O418" t="s">
        <v>74</v>
      </c>
      <c r="P418" t="s">
        <v>74</v>
      </c>
      <c r="Q418" t="s">
        <v>74</v>
      </c>
      <c r="R418" t="s">
        <v>74</v>
      </c>
      <c r="S418" t="s">
        <v>74</v>
      </c>
      <c r="T418" t="s">
        <v>8092</v>
      </c>
      <c r="U418" t="s">
        <v>8093</v>
      </c>
      <c r="V418" t="s">
        <v>8094</v>
      </c>
      <c r="W418" t="s">
        <v>8095</v>
      </c>
      <c r="X418" t="s">
        <v>8096</v>
      </c>
      <c r="Y418" t="s">
        <v>8097</v>
      </c>
      <c r="Z418" t="s">
        <v>8098</v>
      </c>
      <c r="AA418" t="s">
        <v>74</v>
      </c>
      <c r="AB418" t="s">
        <v>74</v>
      </c>
      <c r="AC418" t="s">
        <v>74</v>
      </c>
      <c r="AD418" t="s">
        <v>74</v>
      </c>
      <c r="AE418" t="s">
        <v>74</v>
      </c>
      <c r="AF418" t="s">
        <v>74</v>
      </c>
      <c r="AG418">
        <v>42</v>
      </c>
      <c r="AH418">
        <v>30</v>
      </c>
      <c r="AI418">
        <v>47</v>
      </c>
      <c r="AJ418">
        <v>2</v>
      </c>
      <c r="AK418">
        <v>27</v>
      </c>
      <c r="AL418" t="s">
        <v>277</v>
      </c>
      <c r="AM418" t="s">
        <v>278</v>
      </c>
      <c r="AN418" t="s">
        <v>279</v>
      </c>
      <c r="AO418" t="s">
        <v>1803</v>
      </c>
      <c r="AP418" t="s">
        <v>1804</v>
      </c>
      <c r="AQ418" t="s">
        <v>74</v>
      </c>
      <c r="AR418" t="s">
        <v>1790</v>
      </c>
      <c r="AS418" t="s">
        <v>1805</v>
      </c>
      <c r="AT418" t="s">
        <v>6892</v>
      </c>
      <c r="AU418">
        <v>2012</v>
      </c>
      <c r="AV418">
        <v>86</v>
      </c>
      <c r="AW418">
        <v>9</v>
      </c>
      <c r="AX418" t="s">
        <v>74</v>
      </c>
      <c r="AY418" t="s">
        <v>74</v>
      </c>
      <c r="AZ418" t="s">
        <v>74</v>
      </c>
      <c r="BA418" t="s">
        <v>74</v>
      </c>
      <c r="BB418">
        <v>891</v>
      </c>
      <c r="BC418">
        <v>897</v>
      </c>
      <c r="BD418" t="s">
        <v>74</v>
      </c>
      <c r="BE418" t="s">
        <v>8099</v>
      </c>
      <c r="BF418" t="str">
        <f>HYPERLINK("http://dx.doi.org/10.1016/j.chemosphere.2011.10.042","http://dx.doi.org/10.1016/j.chemosphere.2011.10.042")</f>
        <v>http://dx.doi.org/10.1016/j.chemosphere.2011.10.042</v>
      </c>
      <c r="BG418" t="s">
        <v>74</v>
      </c>
      <c r="BH418" t="s">
        <v>74</v>
      </c>
      <c r="BI418">
        <v>7</v>
      </c>
      <c r="BJ418" t="s">
        <v>1258</v>
      </c>
      <c r="BK418" t="s">
        <v>99</v>
      </c>
      <c r="BL418" t="s">
        <v>1259</v>
      </c>
      <c r="BM418" t="s">
        <v>8100</v>
      </c>
      <c r="BN418">
        <v>22113059</v>
      </c>
      <c r="BO418" t="s">
        <v>74</v>
      </c>
      <c r="BP418" t="s">
        <v>74</v>
      </c>
      <c r="BQ418" t="s">
        <v>74</v>
      </c>
      <c r="BR418" t="s">
        <v>101</v>
      </c>
      <c r="BS418" t="s">
        <v>8101</v>
      </c>
      <c r="BT418" t="str">
        <f>HYPERLINK("https%3A%2F%2Fwww.webofscience.com%2Fwos%2Fwoscc%2Ffull-record%2FWOS:000301277700004","View Full Record in Web of Science")</f>
        <v>View Full Record in Web of Science</v>
      </c>
    </row>
    <row r="419" spans="1:72" x14ac:dyDescent="0.15">
      <c r="A419" t="s">
        <v>72</v>
      </c>
      <c r="B419" t="s">
        <v>8102</v>
      </c>
      <c r="C419" t="s">
        <v>74</v>
      </c>
      <c r="D419" t="s">
        <v>74</v>
      </c>
      <c r="E419" t="s">
        <v>74</v>
      </c>
      <c r="F419" t="s">
        <v>8103</v>
      </c>
      <c r="G419" t="s">
        <v>74</v>
      </c>
      <c r="H419" t="s">
        <v>74</v>
      </c>
      <c r="I419" t="s">
        <v>8104</v>
      </c>
      <c r="J419" t="s">
        <v>8105</v>
      </c>
      <c r="K419" t="s">
        <v>74</v>
      </c>
      <c r="L419" t="s">
        <v>74</v>
      </c>
      <c r="M419" t="s">
        <v>3976</v>
      </c>
      <c r="N419" t="s">
        <v>79</v>
      </c>
      <c r="O419" t="s">
        <v>74</v>
      </c>
      <c r="P419" t="s">
        <v>74</v>
      </c>
      <c r="Q419" t="s">
        <v>74</v>
      </c>
      <c r="R419" t="s">
        <v>74</v>
      </c>
      <c r="S419" t="s">
        <v>74</v>
      </c>
      <c r="T419" t="s">
        <v>8106</v>
      </c>
      <c r="U419" t="s">
        <v>8107</v>
      </c>
      <c r="V419" t="s">
        <v>8108</v>
      </c>
      <c r="W419" t="s">
        <v>8109</v>
      </c>
      <c r="X419" t="s">
        <v>8110</v>
      </c>
      <c r="Y419" t="s">
        <v>8111</v>
      </c>
      <c r="Z419" t="s">
        <v>8112</v>
      </c>
      <c r="AA419" t="s">
        <v>8113</v>
      </c>
      <c r="AB419" t="s">
        <v>74</v>
      </c>
      <c r="AC419" t="s">
        <v>74</v>
      </c>
      <c r="AD419" t="s">
        <v>74</v>
      </c>
      <c r="AE419" t="s">
        <v>74</v>
      </c>
      <c r="AF419" t="s">
        <v>74</v>
      </c>
      <c r="AG419">
        <v>28</v>
      </c>
      <c r="AH419">
        <v>2</v>
      </c>
      <c r="AI419">
        <v>4</v>
      </c>
      <c r="AJ419">
        <v>0</v>
      </c>
      <c r="AK419">
        <v>19</v>
      </c>
      <c r="AL419" t="s">
        <v>1083</v>
      </c>
      <c r="AM419" t="s">
        <v>1084</v>
      </c>
      <c r="AN419" t="s">
        <v>1085</v>
      </c>
      <c r="AO419" t="s">
        <v>8114</v>
      </c>
      <c r="AP419" t="s">
        <v>74</v>
      </c>
      <c r="AQ419" t="s">
        <v>74</v>
      </c>
      <c r="AR419" t="s">
        <v>8115</v>
      </c>
      <c r="AS419" t="s">
        <v>8116</v>
      </c>
      <c r="AT419" t="s">
        <v>6892</v>
      </c>
      <c r="AU419">
        <v>2012</v>
      </c>
      <c r="AV419">
        <v>55</v>
      </c>
      <c r="AW419">
        <v>3</v>
      </c>
      <c r="AX419" t="s">
        <v>74</v>
      </c>
      <c r="AY419" t="s">
        <v>74</v>
      </c>
      <c r="AZ419" t="s">
        <v>74</v>
      </c>
      <c r="BA419" t="s">
        <v>74</v>
      </c>
      <c r="BB419">
        <v>768</v>
      </c>
      <c r="BC419">
        <v>780</v>
      </c>
      <c r="BD419" t="s">
        <v>74</v>
      </c>
      <c r="BE419" t="s">
        <v>8117</v>
      </c>
      <c r="BF419" t="str">
        <f>HYPERLINK("http://dx.doi.org/10.6038/j.issn.0001-5733.2012.03.006","http://dx.doi.org/10.6038/j.issn.0001-5733.2012.03.006")</f>
        <v>http://dx.doi.org/10.6038/j.issn.0001-5733.2012.03.006</v>
      </c>
      <c r="BG419" t="s">
        <v>74</v>
      </c>
      <c r="BH419" t="s">
        <v>74</v>
      </c>
      <c r="BI419">
        <v>13</v>
      </c>
      <c r="BJ419" t="s">
        <v>1134</v>
      </c>
      <c r="BK419" t="s">
        <v>99</v>
      </c>
      <c r="BL419" t="s">
        <v>1134</v>
      </c>
      <c r="BM419" t="s">
        <v>8118</v>
      </c>
      <c r="BN419" t="s">
        <v>74</v>
      </c>
      <c r="BO419" t="s">
        <v>74</v>
      </c>
      <c r="BP419" t="s">
        <v>74</v>
      </c>
      <c r="BQ419" t="s">
        <v>74</v>
      </c>
      <c r="BR419" t="s">
        <v>101</v>
      </c>
      <c r="BS419" t="s">
        <v>8119</v>
      </c>
      <c r="BT419" t="str">
        <f>HYPERLINK("https%3A%2F%2Fwww.webofscience.com%2Fwos%2Fwoscc%2Ffull-record%2FWOS:000302332300006","View Full Record in Web of Science")</f>
        <v>View Full Record in Web of Science</v>
      </c>
    </row>
    <row r="420" spans="1:72" x14ac:dyDescent="0.15">
      <c r="A420" t="s">
        <v>72</v>
      </c>
      <c r="B420" t="s">
        <v>8120</v>
      </c>
      <c r="C420" t="s">
        <v>74</v>
      </c>
      <c r="D420" t="s">
        <v>74</v>
      </c>
      <c r="E420" t="s">
        <v>74</v>
      </c>
      <c r="F420" t="s">
        <v>8121</v>
      </c>
      <c r="G420" t="s">
        <v>74</v>
      </c>
      <c r="H420" t="s">
        <v>74</v>
      </c>
      <c r="I420" t="s">
        <v>8122</v>
      </c>
      <c r="J420" t="s">
        <v>8123</v>
      </c>
      <c r="K420" t="s">
        <v>74</v>
      </c>
      <c r="L420" t="s">
        <v>74</v>
      </c>
      <c r="M420" t="s">
        <v>78</v>
      </c>
      <c r="N420" t="s">
        <v>79</v>
      </c>
      <c r="O420" t="s">
        <v>74</v>
      </c>
      <c r="P420" t="s">
        <v>74</v>
      </c>
      <c r="Q420" t="s">
        <v>74</v>
      </c>
      <c r="R420" t="s">
        <v>74</v>
      </c>
      <c r="S420" t="s">
        <v>74</v>
      </c>
      <c r="T420" t="s">
        <v>8124</v>
      </c>
      <c r="U420" t="s">
        <v>8125</v>
      </c>
      <c r="V420" t="s">
        <v>8126</v>
      </c>
      <c r="W420" t="s">
        <v>8127</v>
      </c>
      <c r="X420" t="s">
        <v>8128</v>
      </c>
      <c r="Y420" t="s">
        <v>8129</v>
      </c>
      <c r="Z420" t="s">
        <v>8130</v>
      </c>
      <c r="AA420" t="s">
        <v>8131</v>
      </c>
      <c r="AB420" t="s">
        <v>8132</v>
      </c>
      <c r="AC420" t="s">
        <v>8133</v>
      </c>
      <c r="AD420" t="s">
        <v>8134</v>
      </c>
      <c r="AE420" t="s">
        <v>8135</v>
      </c>
      <c r="AF420" t="s">
        <v>74</v>
      </c>
      <c r="AG420">
        <v>62</v>
      </c>
      <c r="AH420">
        <v>14</v>
      </c>
      <c r="AI420">
        <v>16</v>
      </c>
      <c r="AJ420">
        <v>0</v>
      </c>
      <c r="AK420">
        <v>14</v>
      </c>
      <c r="AL420" t="s">
        <v>8136</v>
      </c>
      <c r="AM420" t="s">
        <v>8137</v>
      </c>
      <c r="AN420" t="s">
        <v>8138</v>
      </c>
      <c r="AO420" t="s">
        <v>8139</v>
      </c>
      <c r="AP420" t="s">
        <v>74</v>
      </c>
      <c r="AQ420" t="s">
        <v>74</v>
      </c>
      <c r="AR420" t="s">
        <v>8140</v>
      </c>
      <c r="AS420" t="s">
        <v>8141</v>
      </c>
      <c r="AT420" t="s">
        <v>6892</v>
      </c>
      <c r="AU420">
        <v>2012</v>
      </c>
      <c r="AV420">
        <v>47</v>
      </c>
      <c r="AW420">
        <v>1</v>
      </c>
      <c r="AX420" t="s">
        <v>74</v>
      </c>
      <c r="AY420" t="s">
        <v>74</v>
      </c>
      <c r="AZ420" t="s">
        <v>74</v>
      </c>
      <c r="BA420" t="s">
        <v>74</v>
      </c>
      <c r="BB420">
        <v>45</v>
      </c>
      <c r="BC420">
        <v>58</v>
      </c>
      <c r="BD420" t="s">
        <v>74</v>
      </c>
      <c r="BE420" t="s">
        <v>8142</v>
      </c>
      <c r="BF420" t="str">
        <f>HYPERLINK("http://dx.doi.org/10.1180/claymin.2012.047.1.45","http://dx.doi.org/10.1180/claymin.2012.047.1.45")</f>
        <v>http://dx.doi.org/10.1180/claymin.2012.047.1.45</v>
      </c>
      <c r="BG420" t="s">
        <v>74</v>
      </c>
      <c r="BH420" t="s">
        <v>74</v>
      </c>
      <c r="BI420">
        <v>14</v>
      </c>
      <c r="BJ420" t="s">
        <v>8143</v>
      </c>
      <c r="BK420" t="s">
        <v>99</v>
      </c>
      <c r="BL420" t="s">
        <v>8144</v>
      </c>
      <c r="BM420" t="s">
        <v>8145</v>
      </c>
      <c r="BN420" t="s">
        <v>74</v>
      </c>
      <c r="BO420" t="s">
        <v>74</v>
      </c>
      <c r="BP420" t="s">
        <v>74</v>
      </c>
      <c r="BQ420" t="s">
        <v>74</v>
      </c>
      <c r="BR420" t="s">
        <v>101</v>
      </c>
      <c r="BS420" t="s">
        <v>8146</v>
      </c>
      <c r="BT420" t="str">
        <f>HYPERLINK("https%3A%2F%2Fwww.webofscience.com%2Fwos%2Fwoscc%2Ffull-record%2FWOS:000301911500004","View Full Record in Web of Science")</f>
        <v>View Full Record in Web of Science</v>
      </c>
    </row>
    <row r="421" spans="1:72" x14ac:dyDescent="0.15">
      <c r="A421" t="s">
        <v>72</v>
      </c>
      <c r="B421" t="s">
        <v>8147</v>
      </c>
      <c r="C421" t="s">
        <v>74</v>
      </c>
      <c r="D421" t="s">
        <v>74</v>
      </c>
      <c r="E421" t="s">
        <v>74</v>
      </c>
      <c r="F421" t="s">
        <v>8148</v>
      </c>
      <c r="G421" t="s">
        <v>74</v>
      </c>
      <c r="H421" t="s">
        <v>74</v>
      </c>
      <c r="I421" t="s">
        <v>8149</v>
      </c>
      <c r="J421" t="s">
        <v>4738</v>
      </c>
      <c r="K421" t="s">
        <v>74</v>
      </c>
      <c r="L421" t="s">
        <v>74</v>
      </c>
      <c r="M421" t="s">
        <v>78</v>
      </c>
      <c r="N421" t="s">
        <v>79</v>
      </c>
      <c r="O421" t="s">
        <v>74</v>
      </c>
      <c r="P421" t="s">
        <v>74</v>
      </c>
      <c r="Q421" t="s">
        <v>74</v>
      </c>
      <c r="R421" t="s">
        <v>74</v>
      </c>
      <c r="S421" t="s">
        <v>74</v>
      </c>
      <c r="T421" t="s">
        <v>8150</v>
      </c>
      <c r="U421" t="s">
        <v>8151</v>
      </c>
      <c r="V421" t="s">
        <v>8152</v>
      </c>
      <c r="W421" t="s">
        <v>8153</v>
      </c>
      <c r="X421" t="s">
        <v>8154</v>
      </c>
      <c r="Y421" t="s">
        <v>8155</v>
      </c>
      <c r="Z421" t="s">
        <v>8156</v>
      </c>
      <c r="AA421" t="s">
        <v>8157</v>
      </c>
      <c r="AB421" t="s">
        <v>8158</v>
      </c>
      <c r="AC421" t="s">
        <v>8159</v>
      </c>
      <c r="AD421" t="s">
        <v>8160</v>
      </c>
      <c r="AE421" t="s">
        <v>8161</v>
      </c>
      <c r="AF421" t="s">
        <v>74</v>
      </c>
      <c r="AG421">
        <v>67</v>
      </c>
      <c r="AH421">
        <v>188</v>
      </c>
      <c r="AI421">
        <v>201</v>
      </c>
      <c r="AJ421">
        <v>3</v>
      </c>
      <c r="AK421">
        <v>58</v>
      </c>
      <c r="AL421" t="s">
        <v>655</v>
      </c>
      <c r="AM421" t="s">
        <v>656</v>
      </c>
      <c r="AN421" t="s">
        <v>1908</v>
      </c>
      <c r="AO421" t="s">
        <v>4750</v>
      </c>
      <c r="AP421" t="s">
        <v>4751</v>
      </c>
      <c r="AQ421" t="s">
        <v>74</v>
      </c>
      <c r="AR421" t="s">
        <v>4752</v>
      </c>
      <c r="AS421" t="s">
        <v>4753</v>
      </c>
      <c r="AT421" t="s">
        <v>6892</v>
      </c>
      <c r="AU421">
        <v>2012</v>
      </c>
      <c r="AV421">
        <v>38</v>
      </c>
      <c r="AW421" t="s">
        <v>1693</v>
      </c>
      <c r="AX421" t="s">
        <v>74</v>
      </c>
      <c r="AY421" t="s">
        <v>74</v>
      </c>
      <c r="AZ421" t="s">
        <v>74</v>
      </c>
      <c r="BA421" t="s">
        <v>74</v>
      </c>
      <c r="BB421">
        <v>1191</v>
      </c>
      <c r="BC421">
        <v>1209</v>
      </c>
      <c r="BD421" t="s">
        <v>74</v>
      </c>
      <c r="BE421" t="s">
        <v>8162</v>
      </c>
      <c r="BF421" t="str">
        <f>HYPERLINK("http://dx.doi.org/10.1007/s00382-011-1057-6","http://dx.doi.org/10.1007/s00382-011-1057-6")</f>
        <v>http://dx.doi.org/10.1007/s00382-011-1057-6</v>
      </c>
      <c r="BG421" t="s">
        <v>74</v>
      </c>
      <c r="BH421" t="s">
        <v>74</v>
      </c>
      <c r="BI421">
        <v>19</v>
      </c>
      <c r="BJ421" t="s">
        <v>128</v>
      </c>
      <c r="BK421" t="s">
        <v>99</v>
      </c>
      <c r="BL421" t="s">
        <v>128</v>
      </c>
      <c r="BM421" t="s">
        <v>7187</v>
      </c>
      <c r="BN421" t="s">
        <v>74</v>
      </c>
      <c r="BO421" t="s">
        <v>5252</v>
      </c>
      <c r="BP421" t="s">
        <v>74</v>
      </c>
      <c r="BQ421" t="s">
        <v>74</v>
      </c>
      <c r="BR421" t="s">
        <v>101</v>
      </c>
      <c r="BS421" t="s">
        <v>8163</v>
      </c>
      <c r="BT421" t="str">
        <f>HYPERLINK("https%3A%2F%2Fwww.webofscience.com%2Fwos%2Fwoscc%2Ffull-record%2FWOS:000302245900022","View Full Record in Web of Science")</f>
        <v>View Full Record in Web of Science</v>
      </c>
    </row>
    <row r="422" spans="1:72" x14ac:dyDescent="0.15">
      <c r="A422" t="s">
        <v>72</v>
      </c>
      <c r="B422" t="s">
        <v>8164</v>
      </c>
      <c r="C422" t="s">
        <v>74</v>
      </c>
      <c r="D422" t="s">
        <v>74</v>
      </c>
      <c r="E422" t="s">
        <v>74</v>
      </c>
      <c r="F422" t="s">
        <v>8165</v>
      </c>
      <c r="G422" t="s">
        <v>74</v>
      </c>
      <c r="H422" t="s">
        <v>74</v>
      </c>
      <c r="I422" t="s">
        <v>8166</v>
      </c>
      <c r="J422" t="s">
        <v>8167</v>
      </c>
      <c r="K422" t="s">
        <v>74</v>
      </c>
      <c r="L422" t="s">
        <v>74</v>
      </c>
      <c r="M422" t="s">
        <v>78</v>
      </c>
      <c r="N422" t="s">
        <v>79</v>
      </c>
      <c r="O422" t="s">
        <v>74</v>
      </c>
      <c r="P422" t="s">
        <v>74</v>
      </c>
      <c r="Q422" t="s">
        <v>74</v>
      </c>
      <c r="R422" t="s">
        <v>74</v>
      </c>
      <c r="S422" t="s">
        <v>74</v>
      </c>
      <c r="T422" t="s">
        <v>74</v>
      </c>
      <c r="U422" t="s">
        <v>8168</v>
      </c>
      <c r="V422" t="s">
        <v>8169</v>
      </c>
      <c r="W422" t="s">
        <v>8170</v>
      </c>
      <c r="X422" t="s">
        <v>8171</v>
      </c>
      <c r="Y422" t="s">
        <v>8172</v>
      </c>
      <c r="Z422" t="s">
        <v>8173</v>
      </c>
      <c r="AA422" t="s">
        <v>8174</v>
      </c>
      <c r="AB422" t="s">
        <v>8175</v>
      </c>
      <c r="AC422" t="s">
        <v>8176</v>
      </c>
      <c r="AD422" t="s">
        <v>8177</v>
      </c>
      <c r="AE422" t="s">
        <v>8178</v>
      </c>
      <c r="AF422" t="s">
        <v>74</v>
      </c>
      <c r="AG422">
        <v>47</v>
      </c>
      <c r="AH422">
        <v>68</v>
      </c>
      <c r="AI422">
        <v>70</v>
      </c>
      <c r="AJ422">
        <v>1</v>
      </c>
      <c r="AK422">
        <v>32</v>
      </c>
      <c r="AL422" t="s">
        <v>655</v>
      </c>
      <c r="AM422" t="s">
        <v>1442</v>
      </c>
      <c r="AN422" t="s">
        <v>1443</v>
      </c>
      <c r="AO422" t="s">
        <v>8179</v>
      </c>
      <c r="AP422" t="s">
        <v>8180</v>
      </c>
      <c r="AQ422" t="s">
        <v>74</v>
      </c>
      <c r="AR422" t="s">
        <v>8167</v>
      </c>
      <c r="AS422" t="s">
        <v>8181</v>
      </c>
      <c r="AT422" t="s">
        <v>6892</v>
      </c>
      <c r="AU422">
        <v>2012</v>
      </c>
      <c r="AV422">
        <v>111</v>
      </c>
      <c r="AW422">
        <v>2</v>
      </c>
      <c r="AX422" t="s">
        <v>74</v>
      </c>
      <c r="AY422" t="s">
        <v>74</v>
      </c>
      <c r="AZ422" t="s">
        <v>74</v>
      </c>
      <c r="BA422" t="s">
        <v>74</v>
      </c>
      <c r="BB422">
        <v>177</v>
      </c>
      <c r="BC422">
        <v>195</v>
      </c>
      <c r="BD422" t="s">
        <v>74</v>
      </c>
      <c r="BE422" t="s">
        <v>8182</v>
      </c>
      <c r="BF422" t="str">
        <f>HYPERLINK("http://dx.doi.org/10.1007/s10584-011-0137-2","http://dx.doi.org/10.1007/s10584-011-0137-2")</f>
        <v>http://dx.doi.org/10.1007/s10584-011-0137-2</v>
      </c>
      <c r="BG422" t="s">
        <v>74</v>
      </c>
      <c r="BH422" t="s">
        <v>74</v>
      </c>
      <c r="BI422">
        <v>19</v>
      </c>
      <c r="BJ422" t="s">
        <v>1758</v>
      </c>
      <c r="BK422" t="s">
        <v>99</v>
      </c>
      <c r="BL422" t="s">
        <v>1759</v>
      </c>
      <c r="BM422" t="s">
        <v>8183</v>
      </c>
      <c r="BN422" t="s">
        <v>74</v>
      </c>
      <c r="BO422" t="s">
        <v>156</v>
      </c>
      <c r="BP422" t="s">
        <v>74</v>
      </c>
      <c r="BQ422" t="s">
        <v>74</v>
      </c>
      <c r="BR422" t="s">
        <v>101</v>
      </c>
      <c r="BS422" t="s">
        <v>8184</v>
      </c>
      <c r="BT422" t="str">
        <f>HYPERLINK("https%3A%2F%2Fwww.webofscience.com%2Fwos%2Fwoscc%2Ffull-record%2FWOS:000300314500002","View Full Record in Web of Science")</f>
        <v>View Full Record in Web of Science</v>
      </c>
    </row>
    <row r="423" spans="1:72" x14ac:dyDescent="0.15">
      <c r="A423" t="s">
        <v>72</v>
      </c>
      <c r="B423" t="s">
        <v>8185</v>
      </c>
      <c r="C423" t="s">
        <v>74</v>
      </c>
      <c r="D423" t="s">
        <v>74</v>
      </c>
      <c r="E423" t="s">
        <v>74</v>
      </c>
      <c r="F423" t="s">
        <v>8186</v>
      </c>
      <c r="G423" t="s">
        <v>74</v>
      </c>
      <c r="H423" t="s">
        <v>74</v>
      </c>
      <c r="I423" t="s">
        <v>8187</v>
      </c>
      <c r="J423" t="s">
        <v>2605</v>
      </c>
      <c r="K423" t="s">
        <v>74</v>
      </c>
      <c r="L423" t="s">
        <v>74</v>
      </c>
      <c r="M423" t="s">
        <v>78</v>
      </c>
      <c r="N423" t="s">
        <v>79</v>
      </c>
      <c r="O423" t="s">
        <v>74</v>
      </c>
      <c r="P423" t="s">
        <v>74</v>
      </c>
      <c r="Q423" t="s">
        <v>74</v>
      </c>
      <c r="R423" t="s">
        <v>74</v>
      </c>
      <c r="S423" t="s">
        <v>74</v>
      </c>
      <c r="T423" t="s">
        <v>8188</v>
      </c>
      <c r="U423" t="s">
        <v>8189</v>
      </c>
      <c r="V423" t="s">
        <v>8190</v>
      </c>
      <c r="W423" t="s">
        <v>8191</v>
      </c>
      <c r="X423" t="s">
        <v>8192</v>
      </c>
      <c r="Y423" t="s">
        <v>8193</v>
      </c>
      <c r="Z423" t="s">
        <v>8194</v>
      </c>
      <c r="AA423" t="s">
        <v>8195</v>
      </c>
      <c r="AB423" t="s">
        <v>8196</v>
      </c>
      <c r="AC423" t="s">
        <v>8197</v>
      </c>
      <c r="AD423" t="s">
        <v>8198</v>
      </c>
      <c r="AE423" t="s">
        <v>8199</v>
      </c>
      <c r="AF423" t="s">
        <v>74</v>
      </c>
      <c r="AG423">
        <v>78</v>
      </c>
      <c r="AH423">
        <v>170</v>
      </c>
      <c r="AI423">
        <v>180</v>
      </c>
      <c r="AJ423">
        <v>2</v>
      </c>
      <c r="AK423">
        <v>121</v>
      </c>
      <c r="AL423" t="s">
        <v>935</v>
      </c>
      <c r="AM423" t="s">
        <v>369</v>
      </c>
      <c r="AN423" t="s">
        <v>936</v>
      </c>
      <c r="AO423" t="s">
        <v>2618</v>
      </c>
      <c r="AP423" t="s">
        <v>2619</v>
      </c>
      <c r="AQ423" t="s">
        <v>74</v>
      </c>
      <c r="AR423" t="s">
        <v>2620</v>
      </c>
      <c r="AS423" t="s">
        <v>2621</v>
      </c>
      <c r="AT423" t="s">
        <v>6892</v>
      </c>
      <c r="AU423">
        <v>2012</v>
      </c>
      <c r="AV423">
        <v>14</v>
      </c>
      <c r="AW423">
        <v>1</v>
      </c>
      <c r="AX423" t="s">
        <v>74</v>
      </c>
      <c r="AY423" t="s">
        <v>74</v>
      </c>
      <c r="AZ423" t="s">
        <v>74</v>
      </c>
      <c r="BA423" t="s">
        <v>74</v>
      </c>
      <c r="BB423">
        <v>152</v>
      </c>
      <c r="BC423">
        <v>163</v>
      </c>
      <c r="BD423" t="s">
        <v>74</v>
      </c>
      <c r="BE423" t="s">
        <v>8200</v>
      </c>
      <c r="BF423" t="str">
        <f>HYPERLINK("http://dx.doi.org/10.1016/j.ecolind.2011.07.010","http://dx.doi.org/10.1016/j.ecolind.2011.07.010")</f>
        <v>http://dx.doi.org/10.1016/j.ecolind.2011.07.010</v>
      </c>
      <c r="BG423" t="s">
        <v>74</v>
      </c>
      <c r="BH423" t="s">
        <v>74</v>
      </c>
      <c r="BI423">
        <v>12</v>
      </c>
      <c r="BJ423" t="s">
        <v>2623</v>
      </c>
      <c r="BK423" t="s">
        <v>99</v>
      </c>
      <c r="BL423" t="s">
        <v>1784</v>
      </c>
      <c r="BM423" t="s">
        <v>8201</v>
      </c>
      <c r="BN423" t="s">
        <v>74</v>
      </c>
      <c r="BO423" t="s">
        <v>74</v>
      </c>
      <c r="BP423" t="s">
        <v>74</v>
      </c>
      <c r="BQ423" t="s">
        <v>74</v>
      </c>
      <c r="BR423" t="s">
        <v>101</v>
      </c>
      <c r="BS423" t="s">
        <v>8202</v>
      </c>
      <c r="BT423" t="str">
        <f>HYPERLINK("https%3A%2F%2Fwww.webofscience.com%2Fwos%2Fwoscc%2Ffull-record%2FWOS:000297564600018","View Full Record in Web of Science")</f>
        <v>View Full Record in Web of Science</v>
      </c>
    </row>
    <row r="424" spans="1:72" x14ac:dyDescent="0.15">
      <c r="A424" t="s">
        <v>72</v>
      </c>
      <c r="B424" t="s">
        <v>8203</v>
      </c>
      <c r="C424" t="s">
        <v>74</v>
      </c>
      <c r="D424" t="s">
        <v>74</v>
      </c>
      <c r="E424" t="s">
        <v>74</v>
      </c>
      <c r="F424" t="s">
        <v>8204</v>
      </c>
      <c r="G424" t="s">
        <v>74</v>
      </c>
      <c r="H424" t="s">
        <v>74</v>
      </c>
      <c r="I424" t="s">
        <v>8205</v>
      </c>
      <c r="J424" t="s">
        <v>8206</v>
      </c>
      <c r="K424" t="s">
        <v>74</v>
      </c>
      <c r="L424" t="s">
        <v>74</v>
      </c>
      <c r="M424" t="s">
        <v>78</v>
      </c>
      <c r="N424" t="s">
        <v>79</v>
      </c>
      <c r="O424" t="s">
        <v>74</v>
      </c>
      <c r="P424" t="s">
        <v>74</v>
      </c>
      <c r="Q424" t="s">
        <v>74</v>
      </c>
      <c r="R424" t="s">
        <v>74</v>
      </c>
      <c r="S424" t="s">
        <v>74</v>
      </c>
      <c r="T424" t="s">
        <v>74</v>
      </c>
      <c r="U424" t="s">
        <v>8207</v>
      </c>
      <c r="V424" t="s">
        <v>8208</v>
      </c>
      <c r="W424" t="s">
        <v>8209</v>
      </c>
      <c r="X424" t="s">
        <v>8210</v>
      </c>
      <c r="Y424" t="s">
        <v>8211</v>
      </c>
      <c r="Z424" t="s">
        <v>8212</v>
      </c>
      <c r="AA424" t="s">
        <v>8213</v>
      </c>
      <c r="AB424" t="s">
        <v>74</v>
      </c>
      <c r="AC424" t="s">
        <v>8214</v>
      </c>
      <c r="AD424" t="s">
        <v>8215</v>
      </c>
      <c r="AE424" t="s">
        <v>8216</v>
      </c>
      <c r="AF424" t="s">
        <v>74</v>
      </c>
      <c r="AG424">
        <v>73</v>
      </c>
      <c r="AH424">
        <v>92</v>
      </c>
      <c r="AI424">
        <v>101</v>
      </c>
      <c r="AJ424">
        <v>2</v>
      </c>
      <c r="AK424">
        <v>47</v>
      </c>
      <c r="AL424" t="s">
        <v>627</v>
      </c>
      <c r="AM424" t="s">
        <v>628</v>
      </c>
      <c r="AN424" t="s">
        <v>629</v>
      </c>
      <c r="AO424" t="s">
        <v>8217</v>
      </c>
      <c r="AP424" t="s">
        <v>8218</v>
      </c>
      <c r="AQ424" t="s">
        <v>74</v>
      </c>
      <c r="AR424" t="s">
        <v>8219</v>
      </c>
      <c r="AS424" t="s">
        <v>8220</v>
      </c>
      <c r="AT424" t="s">
        <v>6892</v>
      </c>
      <c r="AU424">
        <v>2012</v>
      </c>
      <c r="AV424">
        <v>14</v>
      </c>
      <c r="AW424">
        <v>3</v>
      </c>
      <c r="AX424" t="s">
        <v>74</v>
      </c>
      <c r="AY424" t="s">
        <v>74</v>
      </c>
      <c r="AZ424" t="s">
        <v>74</v>
      </c>
      <c r="BA424" t="s">
        <v>74</v>
      </c>
      <c r="BB424">
        <v>617</v>
      </c>
      <c r="BC424">
        <v>629</v>
      </c>
      <c r="BD424" t="s">
        <v>74</v>
      </c>
      <c r="BE424" t="s">
        <v>8221</v>
      </c>
      <c r="BF424" t="str">
        <f>HYPERLINK("http://dx.doi.org/10.1111/j.1462-2920.2011.02601.x","http://dx.doi.org/10.1111/j.1462-2920.2011.02601.x")</f>
        <v>http://dx.doi.org/10.1111/j.1462-2920.2011.02601.x</v>
      </c>
      <c r="BG424" t="s">
        <v>74</v>
      </c>
      <c r="BH424" t="s">
        <v>74</v>
      </c>
      <c r="BI424">
        <v>13</v>
      </c>
      <c r="BJ424" t="s">
        <v>686</v>
      </c>
      <c r="BK424" t="s">
        <v>99</v>
      </c>
      <c r="BL424" t="s">
        <v>686</v>
      </c>
      <c r="BM424" t="s">
        <v>8222</v>
      </c>
      <c r="BN424">
        <v>22003839</v>
      </c>
      <c r="BO424" t="s">
        <v>74</v>
      </c>
      <c r="BP424" t="s">
        <v>74</v>
      </c>
      <c r="BQ424" t="s">
        <v>74</v>
      </c>
      <c r="BR424" t="s">
        <v>101</v>
      </c>
      <c r="BS424" t="s">
        <v>8223</v>
      </c>
      <c r="BT424" t="str">
        <f>HYPERLINK("https%3A%2F%2Fwww.webofscience.com%2Fwos%2Fwoscc%2Ffull-record%2FWOS:000302539900006","View Full Record in Web of Science")</f>
        <v>View Full Record in Web of Science</v>
      </c>
    </row>
    <row r="425" spans="1:72" x14ac:dyDescent="0.15">
      <c r="A425" t="s">
        <v>72</v>
      </c>
      <c r="B425" t="s">
        <v>8224</v>
      </c>
      <c r="C425" t="s">
        <v>74</v>
      </c>
      <c r="D425" t="s">
        <v>74</v>
      </c>
      <c r="E425" t="s">
        <v>74</v>
      </c>
      <c r="F425" t="s">
        <v>8225</v>
      </c>
      <c r="G425" t="s">
        <v>74</v>
      </c>
      <c r="H425" t="s">
        <v>74</v>
      </c>
      <c r="I425" t="s">
        <v>8226</v>
      </c>
      <c r="J425" t="s">
        <v>8227</v>
      </c>
      <c r="K425" t="s">
        <v>74</v>
      </c>
      <c r="L425" t="s">
        <v>74</v>
      </c>
      <c r="M425" t="s">
        <v>78</v>
      </c>
      <c r="N425" t="s">
        <v>79</v>
      </c>
      <c r="O425" t="s">
        <v>74</v>
      </c>
      <c r="P425" t="s">
        <v>74</v>
      </c>
      <c r="Q425" t="s">
        <v>74</v>
      </c>
      <c r="R425" t="s">
        <v>74</v>
      </c>
      <c r="S425" t="s">
        <v>74</v>
      </c>
      <c r="T425" t="s">
        <v>74</v>
      </c>
      <c r="U425" t="s">
        <v>8228</v>
      </c>
      <c r="V425" t="s">
        <v>8229</v>
      </c>
      <c r="W425" t="s">
        <v>8230</v>
      </c>
      <c r="X425" t="s">
        <v>1245</v>
      </c>
      <c r="Y425" t="s">
        <v>8231</v>
      </c>
      <c r="Z425" t="s">
        <v>8232</v>
      </c>
      <c r="AA425" t="s">
        <v>74</v>
      </c>
      <c r="AB425" t="s">
        <v>8233</v>
      </c>
      <c r="AC425" t="s">
        <v>74</v>
      </c>
      <c r="AD425" t="s">
        <v>74</v>
      </c>
      <c r="AE425" t="s">
        <v>74</v>
      </c>
      <c r="AF425" t="s">
        <v>74</v>
      </c>
      <c r="AG425">
        <v>57</v>
      </c>
      <c r="AH425">
        <v>11</v>
      </c>
      <c r="AI425">
        <v>12</v>
      </c>
      <c r="AJ425">
        <v>0</v>
      </c>
      <c r="AK425">
        <v>21</v>
      </c>
      <c r="AL425" t="s">
        <v>8234</v>
      </c>
      <c r="AM425" t="s">
        <v>7793</v>
      </c>
      <c r="AN425" t="s">
        <v>8235</v>
      </c>
      <c r="AO425" t="s">
        <v>8236</v>
      </c>
      <c r="AP425" t="s">
        <v>74</v>
      </c>
      <c r="AQ425" t="s">
        <v>74</v>
      </c>
      <c r="AR425" t="s">
        <v>8227</v>
      </c>
      <c r="AS425" t="s">
        <v>8237</v>
      </c>
      <c r="AT425" t="s">
        <v>6892</v>
      </c>
      <c r="AU425">
        <v>2012</v>
      </c>
      <c r="AV425">
        <v>35</v>
      </c>
      <c r="AW425">
        <v>1</v>
      </c>
      <c r="AX425" t="s">
        <v>74</v>
      </c>
      <c r="AY425" t="s">
        <v>74</v>
      </c>
      <c r="AZ425" t="s">
        <v>1913</v>
      </c>
      <c r="BA425" t="s">
        <v>74</v>
      </c>
      <c r="BB425">
        <v>195</v>
      </c>
      <c r="BC425">
        <v>204</v>
      </c>
      <c r="BD425" t="s">
        <v>74</v>
      </c>
      <c r="BE425" t="s">
        <v>8238</v>
      </c>
      <c r="BF425" t="str">
        <f>HYPERLINK("http://dx.doi.org/10.18814/epiiugs/2012/v35i1/019","http://dx.doi.org/10.18814/epiiugs/2012/v35i1/019")</f>
        <v>http://dx.doi.org/10.18814/epiiugs/2012/v35i1/019</v>
      </c>
      <c r="BG425" t="s">
        <v>74</v>
      </c>
      <c r="BH425" t="s">
        <v>74</v>
      </c>
      <c r="BI425">
        <v>10</v>
      </c>
      <c r="BJ425" t="s">
        <v>194</v>
      </c>
      <c r="BK425" t="s">
        <v>99</v>
      </c>
      <c r="BL425" t="s">
        <v>195</v>
      </c>
      <c r="BM425" t="s">
        <v>8239</v>
      </c>
      <c r="BN425" t="s">
        <v>74</v>
      </c>
      <c r="BO425" t="s">
        <v>1094</v>
      </c>
      <c r="BP425" t="s">
        <v>74</v>
      </c>
      <c r="BQ425" t="s">
        <v>74</v>
      </c>
      <c r="BR425" t="s">
        <v>101</v>
      </c>
      <c r="BS425" t="s">
        <v>8240</v>
      </c>
      <c r="BT425" t="str">
        <f>HYPERLINK("https%3A%2F%2Fwww.webofscience.com%2Fwos%2Fwoscc%2Ffull-record%2FWOS:000315558900019","View Full Record in Web of Science")</f>
        <v>View Full Record in Web of Science</v>
      </c>
    </row>
    <row r="426" spans="1:72" x14ac:dyDescent="0.15">
      <c r="A426" t="s">
        <v>72</v>
      </c>
      <c r="B426" t="s">
        <v>8241</v>
      </c>
      <c r="C426" t="s">
        <v>74</v>
      </c>
      <c r="D426" t="s">
        <v>74</v>
      </c>
      <c r="E426" t="s">
        <v>74</v>
      </c>
      <c r="F426" t="s">
        <v>8242</v>
      </c>
      <c r="G426" t="s">
        <v>74</v>
      </c>
      <c r="H426" t="s">
        <v>74</v>
      </c>
      <c r="I426" t="s">
        <v>8243</v>
      </c>
      <c r="J426" t="s">
        <v>8244</v>
      </c>
      <c r="K426" t="s">
        <v>74</v>
      </c>
      <c r="L426" t="s">
        <v>74</v>
      </c>
      <c r="M426" t="s">
        <v>78</v>
      </c>
      <c r="N426" t="s">
        <v>79</v>
      </c>
      <c r="O426" t="s">
        <v>74</v>
      </c>
      <c r="P426" t="s">
        <v>74</v>
      </c>
      <c r="Q426" t="s">
        <v>74</v>
      </c>
      <c r="R426" t="s">
        <v>74</v>
      </c>
      <c r="S426" t="s">
        <v>74</v>
      </c>
      <c r="T426" t="s">
        <v>8245</v>
      </c>
      <c r="U426" t="s">
        <v>8246</v>
      </c>
      <c r="V426" t="s">
        <v>8247</v>
      </c>
      <c r="W426" t="s">
        <v>8248</v>
      </c>
      <c r="X426" t="s">
        <v>8249</v>
      </c>
      <c r="Y426" t="s">
        <v>8250</v>
      </c>
      <c r="Z426" t="s">
        <v>8251</v>
      </c>
      <c r="AA426" t="s">
        <v>8252</v>
      </c>
      <c r="AB426" t="s">
        <v>8253</v>
      </c>
      <c r="AC426" t="s">
        <v>8254</v>
      </c>
      <c r="AD426" t="s">
        <v>8255</v>
      </c>
      <c r="AE426" t="s">
        <v>8256</v>
      </c>
      <c r="AF426" t="s">
        <v>74</v>
      </c>
      <c r="AG426">
        <v>47</v>
      </c>
      <c r="AH426">
        <v>240</v>
      </c>
      <c r="AI426">
        <v>284</v>
      </c>
      <c r="AJ426">
        <v>12</v>
      </c>
      <c r="AK426">
        <v>203</v>
      </c>
      <c r="AL426" t="s">
        <v>3895</v>
      </c>
      <c r="AM426" t="s">
        <v>3896</v>
      </c>
      <c r="AN426" t="s">
        <v>3897</v>
      </c>
      <c r="AO426" t="s">
        <v>8257</v>
      </c>
      <c r="AP426" t="s">
        <v>74</v>
      </c>
      <c r="AQ426" t="s">
        <v>74</v>
      </c>
      <c r="AR426" t="s">
        <v>8258</v>
      </c>
      <c r="AS426" t="s">
        <v>8259</v>
      </c>
      <c r="AT426" t="s">
        <v>6892</v>
      </c>
      <c r="AU426">
        <v>2012</v>
      </c>
      <c r="AV426">
        <v>13</v>
      </c>
      <c r="AW426">
        <v>1</v>
      </c>
      <c r="AX426" t="s">
        <v>74</v>
      </c>
      <c r="AY426" t="s">
        <v>74</v>
      </c>
      <c r="AZ426" t="s">
        <v>74</v>
      </c>
      <c r="BA426" t="s">
        <v>74</v>
      </c>
      <c r="BB426">
        <v>30</v>
      </c>
      <c r="BC426">
        <v>40</v>
      </c>
      <c r="BD426" t="s">
        <v>74</v>
      </c>
      <c r="BE426" t="s">
        <v>8260</v>
      </c>
      <c r="BF426" t="str">
        <f>HYPERLINK("http://dx.doi.org/10.1111/j.1467-2979.2011.00406.x","http://dx.doi.org/10.1111/j.1467-2979.2011.00406.x")</f>
        <v>http://dx.doi.org/10.1111/j.1467-2979.2011.00406.x</v>
      </c>
      <c r="BG426" t="s">
        <v>74</v>
      </c>
      <c r="BH426" t="s">
        <v>74</v>
      </c>
      <c r="BI426">
        <v>11</v>
      </c>
      <c r="BJ426" t="s">
        <v>609</v>
      </c>
      <c r="BK426" t="s">
        <v>99</v>
      </c>
      <c r="BL426" t="s">
        <v>609</v>
      </c>
      <c r="BM426" t="s">
        <v>8261</v>
      </c>
      <c r="BN426" t="s">
        <v>74</v>
      </c>
      <c r="BO426" t="s">
        <v>74</v>
      </c>
      <c r="BP426" t="s">
        <v>74</v>
      </c>
      <c r="BQ426" t="s">
        <v>74</v>
      </c>
      <c r="BR426" t="s">
        <v>101</v>
      </c>
      <c r="BS426" t="s">
        <v>8262</v>
      </c>
      <c r="BT426" t="str">
        <f>HYPERLINK("https%3A%2F%2Fwww.webofscience.com%2Fwos%2Fwoscc%2Ffull-record%2FWOS:000298740900003","View Full Record in Web of Science")</f>
        <v>View Full Record in Web of Science</v>
      </c>
    </row>
    <row r="427" spans="1:72" x14ac:dyDescent="0.15">
      <c r="A427" t="s">
        <v>72</v>
      </c>
      <c r="B427" t="s">
        <v>8263</v>
      </c>
      <c r="C427" t="s">
        <v>74</v>
      </c>
      <c r="D427" t="s">
        <v>74</v>
      </c>
      <c r="E427" t="s">
        <v>74</v>
      </c>
      <c r="F427" t="s">
        <v>8264</v>
      </c>
      <c r="G427" t="s">
        <v>74</v>
      </c>
      <c r="H427" t="s">
        <v>74</v>
      </c>
      <c r="I427" t="s">
        <v>8265</v>
      </c>
      <c r="J427" t="s">
        <v>1408</v>
      </c>
      <c r="K427" t="s">
        <v>74</v>
      </c>
      <c r="L427" t="s">
        <v>74</v>
      </c>
      <c r="M427" t="s">
        <v>78</v>
      </c>
      <c r="N427" t="s">
        <v>79</v>
      </c>
      <c r="O427" t="s">
        <v>74</v>
      </c>
      <c r="P427" t="s">
        <v>74</v>
      </c>
      <c r="Q427" t="s">
        <v>74</v>
      </c>
      <c r="R427" t="s">
        <v>74</v>
      </c>
      <c r="S427" t="s">
        <v>74</v>
      </c>
      <c r="T427" t="s">
        <v>74</v>
      </c>
      <c r="U427" t="s">
        <v>8266</v>
      </c>
      <c r="V427" t="s">
        <v>8267</v>
      </c>
      <c r="W427" t="s">
        <v>8268</v>
      </c>
      <c r="X427" t="s">
        <v>8269</v>
      </c>
      <c r="Y427" t="s">
        <v>8270</v>
      </c>
      <c r="Z427" t="s">
        <v>74</v>
      </c>
      <c r="AA427" t="s">
        <v>8271</v>
      </c>
      <c r="AB427" t="s">
        <v>8272</v>
      </c>
      <c r="AC427" t="s">
        <v>6381</v>
      </c>
      <c r="AD427" t="s">
        <v>6382</v>
      </c>
      <c r="AE427" t="s">
        <v>8273</v>
      </c>
      <c r="AF427" t="s">
        <v>74</v>
      </c>
      <c r="AG427">
        <v>39</v>
      </c>
      <c r="AH427">
        <v>54</v>
      </c>
      <c r="AI427">
        <v>56</v>
      </c>
      <c r="AJ427">
        <v>0</v>
      </c>
      <c r="AK427">
        <v>21</v>
      </c>
      <c r="AL427" t="s">
        <v>1419</v>
      </c>
      <c r="AM427" t="s">
        <v>737</v>
      </c>
      <c r="AN427" t="s">
        <v>1420</v>
      </c>
      <c r="AO427" t="s">
        <v>1421</v>
      </c>
      <c r="AP427" t="s">
        <v>1422</v>
      </c>
      <c r="AQ427" t="s">
        <v>74</v>
      </c>
      <c r="AR427" t="s">
        <v>1408</v>
      </c>
      <c r="AS427" t="s">
        <v>195</v>
      </c>
      <c r="AT427" t="s">
        <v>6892</v>
      </c>
      <c r="AU427">
        <v>2012</v>
      </c>
      <c r="AV427">
        <v>40</v>
      </c>
      <c r="AW427">
        <v>3</v>
      </c>
      <c r="AX427" t="s">
        <v>74</v>
      </c>
      <c r="AY427" t="s">
        <v>74</v>
      </c>
      <c r="AZ427" t="s">
        <v>74</v>
      </c>
      <c r="BA427" t="s">
        <v>74</v>
      </c>
      <c r="BB427">
        <v>267</v>
      </c>
      <c r="BC427">
        <v>270</v>
      </c>
      <c r="BD427" t="s">
        <v>74</v>
      </c>
      <c r="BE427" t="s">
        <v>8274</v>
      </c>
      <c r="BF427" t="str">
        <f>HYPERLINK("http://dx.doi.org/10.1130/G32584.1","http://dx.doi.org/10.1130/G32584.1")</f>
        <v>http://dx.doi.org/10.1130/G32584.1</v>
      </c>
      <c r="BG427" t="s">
        <v>74</v>
      </c>
      <c r="BH427" t="s">
        <v>74</v>
      </c>
      <c r="BI427">
        <v>4</v>
      </c>
      <c r="BJ427" t="s">
        <v>195</v>
      </c>
      <c r="BK427" t="s">
        <v>99</v>
      </c>
      <c r="BL427" t="s">
        <v>195</v>
      </c>
      <c r="BM427" t="s">
        <v>8275</v>
      </c>
      <c r="BN427" t="s">
        <v>74</v>
      </c>
      <c r="BO427" t="s">
        <v>74</v>
      </c>
      <c r="BP427" t="s">
        <v>74</v>
      </c>
      <c r="BQ427" t="s">
        <v>74</v>
      </c>
      <c r="BR427" t="s">
        <v>101</v>
      </c>
      <c r="BS427" t="s">
        <v>8276</v>
      </c>
      <c r="BT427" t="str">
        <f>HYPERLINK("https%3A%2F%2Fwww.webofscience.com%2Fwos%2Fwoscc%2Ffull-record%2FWOS:000301171200021","View Full Record in Web of Science")</f>
        <v>View Full Record in Web of Science</v>
      </c>
    </row>
    <row r="428" spans="1:72" x14ac:dyDescent="0.15">
      <c r="A428" t="s">
        <v>72</v>
      </c>
      <c r="B428" t="s">
        <v>8277</v>
      </c>
      <c r="C428" t="s">
        <v>74</v>
      </c>
      <c r="D428" t="s">
        <v>74</v>
      </c>
      <c r="E428" t="s">
        <v>74</v>
      </c>
      <c r="F428" t="s">
        <v>8278</v>
      </c>
      <c r="G428" t="s">
        <v>74</v>
      </c>
      <c r="H428" t="s">
        <v>74</v>
      </c>
      <c r="I428" t="s">
        <v>8279</v>
      </c>
      <c r="J428" t="s">
        <v>8280</v>
      </c>
      <c r="K428" t="s">
        <v>74</v>
      </c>
      <c r="L428" t="s">
        <v>74</v>
      </c>
      <c r="M428" t="s">
        <v>78</v>
      </c>
      <c r="N428" t="s">
        <v>79</v>
      </c>
      <c r="O428" t="s">
        <v>74</v>
      </c>
      <c r="P428" t="s">
        <v>74</v>
      </c>
      <c r="Q428" t="s">
        <v>74</v>
      </c>
      <c r="R428" t="s">
        <v>74</v>
      </c>
      <c r="S428" t="s">
        <v>74</v>
      </c>
      <c r="T428" t="s">
        <v>8281</v>
      </c>
      <c r="U428" t="s">
        <v>8282</v>
      </c>
      <c r="V428" t="s">
        <v>8283</v>
      </c>
      <c r="W428" t="s">
        <v>8284</v>
      </c>
      <c r="X428" t="s">
        <v>8285</v>
      </c>
      <c r="Y428" t="s">
        <v>8286</v>
      </c>
      <c r="Z428" t="s">
        <v>8287</v>
      </c>
      <c r="AA428" t="s">
        <v>8288</v>
      </c>
      <c r="AB428" t="s">
        <v>74</v>
      </c>
      <c r="AC428" t="s">
        <v>8289</v>
      </c>
      <c r="AD428" t="s">
        <v>8290</v>
      </c>
      <c r="AE428" t="s">
        <v>8291</v>
      </c>
      <c r="AF428" t="s">
        <v>74</v>
      </c>
      <c r="AG428">
        <v>33</v>
      </c>
      <c r="AH428">
        <v>39</v>
      </c>
      <c r="AI428">
        <v>42</v>
      </c>
      <c r="AJ428">
        <v>1</v>
      </c>
      <c r="AK428">
        <v>28</v>
      </c>
      <c r="AL428" t="s">
        <v>8292</v>
      </c>
      <c r="AM428" t="s">
        <v>7793</v>
      </c>
      <c r="AN428" t="s">
        <v>8293</v>
      </c>
      <c r="AO428" t="s">
        <v>8294</v>
      </c>
      <c r="AP428" t="s">
        <v>8295</v>
      </c>
      <c r="AQ428" t="s">
        <v>74</v>
      </c>
      <c r="AR428" t="s">
        <v>8296</v>
      </c>
      <c r="AS428" t="s">
        <v>8297</v>
      </c>
      <c r="AT428" t="s">
        <v>6892</v>
      </c>
      <c r="AU428">
        <v>2012</v>
      </c>
      <c r="AV428">
        <v>16</v>
      </c>
      <c r="AW428">
        <v>1</v>
      </c>
      <c r="AX428" t="s">
        <v>74</v>
      </c>
      <c r="AY428" t="s">
        <v>74</v>
      </c>
      <c r="AZ428" t="s">
        <v>74</v>
      </c>
      <c r="BA428" t="s">
        <v>74</v>
      </c>
      <c r="BB428">
        <v>7</v>
      </c>
      <c r="BC428">
        <v>16</v>
      </c>
      <c r="BD428" t="s">
        <v>74</v>
      </c>
      <c r="BE428" t="s">
        <v>8298</v>
      </c>
      <c r="BF428" t="str">
        <f>HYPERLINK("http://dx.doi.org/10.1007/s12303-012-0011-x","http://dx.doi.org/10.1007/s12303-012-0011-x")</f>
        <v>http://dx.doi.org/10.1007/s12303-012-0011-x</v>
      </c>
      <c r="BG428" t="s">
        <v>74</v>
      </c>
      <c r="BH428" t="s">
        <v>74</v>
      </c>
      <c r="BI428">
        <v>10</v>
      </c>
      <c r="BJ428" t="s">
        <v>194</v>
      </c>
      <c r="BK428" t="s">
        <v>99</v>
      </c>
      <c r="BL428" t="s">
        <v>195</v>
      </c>
      <c r="BM428" t="s">
        <v>8299</v>
      </c>
      <c r="BN428" t="s">
        <v>74</v>
      </c>
      <c r="BO428" t="s">
        <v>74</v>
      </c>
      <c r="BP428" t="s">
        <v>74</v>
      </c>
      <c r="BQ428" t="s">
        <v>74</v>
      </c>
      <c r="BR428" t="s">
        <v>101</v>
      </c>
      <c r="BS428" t="s">
        <v>8300</v>
      </c>
      <c r="BT428" t="str">
        <f>HYPERLINK("https%3A%2F%2Fwww.webofscience.com%2Fwos%2Fwoscc%2Ffull-record%2FWOS:000301600600002","View Full Record in Web of Science")</f>
        <v>View Full Record in Web of Science</v>
      </c>
    </row>
    <row r="429" spans="1:72" x14ac:dyDescent="0.15">
      <c r="A429" t="s">
        <v>72</v>
      </c>
      <c r="B429" t="s">
        <v>8301</v>
      </c>
      <c r="C429" t="s">
        <v>74</v>
      </c>
      <c r="D429" t="s">
        <v>74</v>
      </c>
      <c r="E429" t="s">
        <v>74</v>
      </c>
      <c r="F429" t="s">
        <v>8302</v>
      </c>
      <c r="G429" t="s">
        <v>74</v>
      </c>
      <c r="H429" t="s">
        <v>74</v>
      </c>
      <c r="I429" t="s">
        <v>8303</v>
      </c>
      <c r="J429" t="s">
        <v>8304</v>
      </c>
      <c r="K429" t="s">
        <v>74</v>
      </c>
      <c r="L429" t="s">
        <v>74</v>
      </c>
      <c r="M429" t="s">
        <v>78</v>
      </c>
      <c r="N429" t="s">
        <v>79</v>
      </c>
      <c r="O429" t="s">
        <v>74</v>
      </c>
      <c r="P429" t="s">
        <v>74</v>
      </c>
      <c r="Q429" t="s">
        <v>74</v>
      </c>
      <c r="R429" t="s">
        <v>74</v>
      </c>
      <c r="S429" t="s">
        <v>74</v>
      </c>
      <c r="T429" t="s">
        <v>8305</v>
      </c>
      <c r="U429" t="s">
        <v>8306</v>
      </c>
      <c r="V429" t="s">
        <v>8307</v>
      </c>
      <c r="W429" t="s">
        <v>8308</v>
      </c>
      <c r="X429" t="s">
        <v>8309</v>
      </c>
      <c r="Y429" t="s">
        <v>8310</v>
      </c>
      <c r="Z429" t="s">
        <v>8311</v>
      </c>
      <c r="AA429" t="s">
        <v>74</v>
      </c>
      <c r="AB429" t="s">
        <v>8312</v>
      </c>
      <c r="AC429" t="s">
        <v>8313</v>
      </c>
      <c r="AD429" t="s">
        <v>8314</v>
      </c>
      <c r="AE429" t="s">
        <v>8315</v>
      </c>
      <c r="AF429" t="s">
        <v>74</v>
      </c>
      <c r="AG429">
        <v>128</v>
      </c>
      <c r="AH429">
        <v>41</v>
      </c>
      <c r="AI429">
        <v>49</v>
      </c>
      <c r="AJ429">
        <v>0</v>
      </c>
      <c r="AK429">
        <v>46</v>
      </c>
      <c r="AL429" t="s">
        <v>655</v>
      </c>
      <c r="AM429" t="s">
        <v>1442</v>
      </c>
      <c r="AN429" t="s">
        <v>1443</v>
      </c>
      <c r="AO429" t="s">
        <v>8316</v>
      </c>
      <c r="AP429" t="s">
        <v>8317</v>
      </c>
      <c r="AQ429" t="s">
        <v>74</v>
      </c>
      <c r="AR429" t="s">
        <v>8304</v>
      </c>
      <c r="AS429" t="s">
        <v>8318</v>
      </c>
      <c r="AT429" t="s">
        <v>6892</v>
      </c>
      <c r="AU429">
        <v>2012</v>
      </c>
      <c r="AV429">
        <v>684</v>
      </c>
      <c r="AW429">
        <v>1</v>
      </c>
      <c r="AX429" t="s">
        <v>74</v>
      </c>
      <c r="AY429" t="s">
        <v>74</v>
      </c>
      <c r="AZ429" t="s">
        <v>74</v>
      </c>
      <c r="BA429" t="s">
        <v>74</v>
      </c>
      <c r="BB429">
        <v>189</v>
      </c>
      <c r="BC429">
        <v>214</v>
      </c>
      <c r="BD429" t="s">
        <v>74</v>
      </c>
      <c r="BE429" t="s">
        <v>8319</v>
      </c>
      <c r="BF429" t="str">
        <f>HYPERLINK("http://dx.doi.org/10.1007/s10750-011-0982-z","http://dx.doi.org/10.1007/s10750-011-0982-z")</f>
        <v>http://dx.doi.org/10.1007/s10750-011-0982-z</v>
      </c>
      <c r="BG429" t="s">
        <v>74</v>
      </c>
      <c r="BH429" t="s">
        <v>74</v>
      </c>
      <c r="BI429">
        <v>26</v>
      </c>
      <c r="BJ429" t="s">
        <v>588</v>
      </c>
      <c r="BK429" t="s">
        <v>99</v>
      </c>
      <c r="BL429" t="s">
        <v>588</v>
      </c>
      <c r="BM429" t="s">
        <v>8320</v>
      </c>
      <c r="BN429" t="s">
        <v>74</v>
      </c>
      <c r="BO429" t="s">
        <v>74</v>
      </c>
      <c r="BP429" t="s">
        <v>74</v>
      </c>
      <c r="BQ429" t="s">
        <v>74</v>
      </c>
      <c r="BR429" t="s">
        <v>101</v>
      </c>
      <c r="BS429" t="s">
        <v>8321</v>
      </c>
      <c r="BT429" t="str">
        <f>HYPERLINK("https%3A%2F%2Fwww.webofscience.com%2Fwos%2Fwoscc%2Ffull-record%2FWOS:000300329600014","View Full Record in Web of Science")</f>
        <v>View Full Record in Web of Science</v>
      </c>
    </row>
    <row r="430" spans="1:72" x14ac:dyDescent="0.15">
      <c r="A430" t="s">
        <v>72</v>
      </c>
      <c r="B430" t="s">
        <v>8322</v>
      </c>
      <c r="C430" t="s">
        <v>74</v>
      </c>
      <c r="D430" t="s">
        <v>74</v>
      </c>
      <c r="E430" t="s">
        <v>74</v>
      </c>
      <c r="F430" t="s">
        <v>8323</v>
      </c>
      <c r="G430" t="s">
        <v>74</v>
      </c>
      <c r="H430" t="s">
        <v>74</v>
      </c>
      <c r="I430" t="s">
        <v>8324</v>
      </c>
      <c r="J430" t="s">
        <v>8325</v>
      </c>
      <c r="K430" t="s">
        <v>74</v>
      </c>
      <c r="L430" t="s">
        <v>74</v>
      </c>
      <c r="M430" t="s">
        <v>78</v>
      </c>
      <c r="N430" t="s">
        <v>79</v>
      </c>
      <c r="O430" t="s">
        <v>74</v>
      </c>
      <c r="P430" t="s">
        <v>74</v>
      </c>
      <c r="Q430" t="s">
        <v>74</v>
      </c>
      <c r="R430" t="s">
        <v>74</v>
      </c>
      <c r="S430" t="s">
        <v>74</v>
      </c>
      <c r="T430" t="s">
        <v>74</v>
      </c>
      <c r="U430" t="s">
        <v>74</v>
      </c>
      <c r="V430" t="s">
        <v>74</v>
      </c>
      <c r="W430" t="s">
        <v>8326</v>
      </c>
      <c r="X430" t="s">
        <v>8327</v>
      </c>
      <c r="Y430" t="s">
        <v>8328</v>
      </c>
      <c r="Z430" t="s">
        <v>8329</v>
      </c>
      <c r="AA430" t="s">
        <v>8330</v>
      </c>
      <c r="AB430" t="s">
        <v>8331</v>
      </c>
      <c r="AC430" t="s">
        <v>8332</v>
      </c>
      <c r="AD430" t="s">
        <v>8333</v>
      </c>
      <c r="AE430" t="s">
        <v>8334</v>
      </c>
      <c r="AF430" t="s">
        <v>74</v>
      </c>
      <c r="AG430">
        <v>23</v>
      </c>
      <c r="AH430">
        <v>135</v>
      </c>
      <c r="AI430">
        <v>141</v>
      </c>
      <c r="AJ430">
        <v>1</v>
      </c>
      <c r="AK430">
        <v>40</v>
      </c>
      <c r="AL430" t="s">
        <v>6933</v>
      </c>
      <c r="AM430" t="s">
        <v>6934</v>
      </c>
      <c r="AN430" t="s">
        <v>6935</v>
      </c>
      <c r="AO430" t="s">
        <v>8335</v>
      </c>
      <c r="AP430" t="s">
        <v>8336</v>
      </c>
      <c r="AQ430" t="s">
        <v>74</v>
      </c>
      <c r="AR430" t="s">
        <v>8337</v>
      </c>
      <c r="AS430" t="s">
        <v>8338</v>
      </c>
      <c r="AT430" t="s">
        <v>6892</v>
      </c>
      <c r="AU430">
        <v>2012</v>
      </c>
      <c r="AV430">
        <v>19</v>
      </c>
      <c r="AW430">
        <v>1</v>
      </c>
      <c r="AX430" t="s">
        <v>74</v>
      </c>
      <c r="AY430" t="s">
        <v>74</v>
      </c>
      <c r="AZ430" t="s">
        <v>74</v>
      </c>
      <c r="BA430" t="s">
        <v>74</v>
      </c>
      <c r="BB430">
        <v>73</v>
      </c>
      <c r="BC430">
        <v>84</v>
      </c>
      <c r="BD430" t="s">
        <v>74</v>
      </c>
      <c r="BE430" t="s">
        <v>8339</v>
      </c>
      <c r="BF430" t="str">
        <f>HYPERLINK("http://dx.doi.org/10.1109/MRA.2011.2181772","http://dx.doi.org/10.1109/MRA.2011.2181772")</f>
        <v>http://dx.doi.org/10.1109/MRA.2011.2181772</v>
      </c>
      <c r="BG430" t="s">
        <v>74</v>
      </c>
      <c r="BH430" t="s">
        <v>74</v>
      </c>
      <c r="BI430">
        <v>12</v>
      </c>
      <c r="BJ430" t="s">
        <v>8340</v>
      </c>
      <c r="BK430" t="s">
        <v>99</v>
      </c>
      <c r="BL430" t="s">
        <v>8340</v>
      </c>
      <c r="BM430" t="s">
        <v>8341</v>
      </c>
      <c r="BN430" t="s">
        <v>74</v>
      </c>
      <c r="BO430" t="s">
        <v>74</v>
      </c>
      <c r="BP430" t="s">
        <v>74</v>
      </c>
      <c r="BQ430" t="s">
        <v>74</v>
      </c>
      <c r="BR430" t="s">
        <v>101</v>
      </c>
      <c r="BS430" t="s">
        <v>8342</v>
      </c>
      <c r="BT430" t="str">
        <f>HYPERLINK("https%3A%2F%2Fwww.webofscience.com%2Fwos%2Fwoscc%2Ffull-record%2FWOS:000302539600013","View Full Record in Web of Science")</f>
        <v>View Full Record in Web of Science</v>
      </c>
    </row>
    <row r="431" spans="1:72" x14ac:dyDescent="0.15">
      <c r="A431" t="s">
        <v>72</v>
      </c>
      <c r="B431" t="s">
        <v>8343</v>
      </c>
      <c r="C431" t="s">
        <v>74</v>
      </c>
      <c r="D431" t="s">
        <v>74</v>
      </c>
      <c r="E431" t="s">
        <v>74</v>
      </c>
      <c r="F431" t="s">
        <v>8344</v>
      </c>
      <c r="G431" t="s">
        <v>74</v>
      </c>
      <c r="H431" t="s">
        <v>74</v>
      </c>
      <c r="I431" t="s">
        <v>8345</v>
      </c>
      <c r="J431" t="s">
        <v>1992</v>
      </c>
      <c r="K431" t="s">
        <v>74</v>
      </c>
      <c r="L431" t="s">
        <v>74</v>
      </c>
      <c r="M431" t="s">
        <v>78</v>
      </c>
      <c r="N431" t="s">
        <v>79</v>
      </c>
      <c r="O431" t="s">
        <v>74</v>
      </c>
      <c r="P431" t="s">
        <v>74</v>
      </c>
      <c r="Q431" t="s">
        <v>74</v>
      </c>
      <c r="R431" t="s">
        <v>74</v>
      </c>
      <c r="S431" t="s">
        <v>74</v>
      </c>
      <c r="T431" t="s">
        <v>8346</v>
      </c>
      <c r="U431" t="s">
        <v>8347</v>
      </c>
      <c r="V431" t="s">
        <v>8348</v>
      </c>
      <c r="W431" t="s">
        <v>8349</v>
      </c>
      <c r="X431" t="s">
        <v>8350</v>
      </c>
      <c r="Y431" t="s">
        <v>8351</v>
      </c>
      <c r="Z431" t="s">
        <v>8352</v>
      </c>
      <c r="AA431" t="s">
        <v>8353</v>
      </c>
      <c r="AB431" t="s">
        <v>8354</v>
      </c>
      <c r="AC431" t="s">
        <v>8355</v>
      </c>
      <c r="AD431" t="s">
        <v>8356</v>
      </c>
      <c r="AE431" t="s">
        <v>8357</v>
      </c>
      <c r="AF431" t="s">
        <v>74</v>
      </c>
      <c r="AG431">
        <v>48</v>
      </c>
      <c r="AH431">
        <v>230</v>
      </c>
      <c r="AI431">
        <v>258</v>
      </c>
      <c r="AJ431">
        <v>14</v>
      </c>
      <c r="AK431">
        <v>289</v>
      </c>
      <c r="AL431" t="s">
        <v>2005</v>
      </c>
      <c r="AM431" t="s">
        <v>147</v>
      </c>
      <c r="AN431" t="s">
        <v>2006</v>
      </c>
      <c r="AO431" t="s">
        <v>2007</v>
      </c>
      <c r="AP431" t="s">
        <v>2008</v>
      </c>
      <c r="AQ431" t="s">
        <v>74</v>
      </c>
      <c r="AR431" t="s">
        <v>2009</v>
      </c>
      <c r="AS431" t="s">
        <v>2010</v>
      </c>
      <c r="AT431" t="s">
        <v>6892</v>
      </c>
      <c r="AU431">
        <v>2012</v>
      </c>
      <c r="AV431">
        <v>6</v>
      </c>
      <c r="AW431">
        <v>3</v>
      </c>
      <c r="AX431" t="s">
        <v>74</v>
      </c>
      <c r="AY431" t="s">
        <v>74</v>
      </c>
      <c r="AZ431" t="s">
        <v>74</v>
      </c>
      <c r="BA431" t="s">
        <v>74</v>
      </c>
      <c r="BB431">
        <v>692</v>
      </c>
      <c r="BC431">
        <v>702</v>
      </c>
      <c r="BD431" t="s">
        <v>74</v>
      </c>
      <c r="BE431" t="s">
        <v>8358</v>
      </c>
      <c r="BF431" t="str">
        <f>HYPERLINK("http://dx.doi.org/10.1038/ismej.2011.124","http://dx.doi.org/10.1038/ismej.2011.124")</f>
        <v>http://dx.doi.org/10.1038/ismej.2011.124</v>
      </c>
      <c r="BG431" t="s">
        <v>74</v>
      </c>
      <c r="BH431" t="s">
        <v>74</v>
      </c>
      <c r="BI431">
        <v>11</v>
      </c>
      <c r="BJ431" t="s">
        <v>2012</v>
      </c>
      <c r="BK431" t="s">
        <v>99</v>
      </c>
      <c r="BL431" t="s">
        <v>2013</v>
      </c>
      <c r="BM431" t="s">
        <v>8359</v>
      </c>
      <c r="BN431">
        <v>21938020</v>
      </c>
      <c r="BO431" t="s">
        <v>308</v>
      </c>
      <c r="BP431" t="s">
        <v>74</v>
      </c>
      <c r="BQ431" t="s">
        <v>74</v>
      </c>
      <c r="BR431" t="s">
        <v>101</v>
      </c>
      <c r="BS431" t="s">
        <v>8360</v>
      </c>
      <c r="BT431" t="str">
        <f>HYPERLINK("https%3A%2F%2Fwww.webofscience.com%2Fwos%2Fwoscc%2Ffull-record%2FWOS:000300883200021","View Full Record in Web of Science")</f>
        <v>View Full Record in Web of Science</v>
      </c>
    </row>
    <row r="432" spans="1:72" x14ac:dyDescent="0.15">
      <c r="A432" t="s">
        <v>72</v>
      </c>
      <c r="B432" t="s">
        <v>8361</v>
      </c>
      <c r="C432" t="s">
        <v>74</v>
      </c>
      <c r="D432" t="s">
        <v>74</v>
      </c>
      <c r="E432" t="s">
        <v>74</v>
      </c>
      <c r="F432" t="s">
        <v>8362</v>
      </c>
      <c r="G432" t="s">
        <v>74</v>
      </c>
      <c r="H432" t="s">
        <v>74</v>
      </c>
      <c r="I432" t="s">
        <v>8363</v>
      </c>
      <c r="J432" t="s">
        <v>1151</v>
      </c>
      <c r="K432" t="s">
        <v>74</v>
      </c>
      <c r="L432" t="s">
        <v>74</v>
      </c>
      <c r="M432" t="s">
        <v>78</v>
      </c>
      <c r="N432" t="s">
        <v>79</v>
      </c>
      <c r="O432" t="s">
        <v>74</v>
      </c>
      <c r="P432" t="s">
        <v>74</v>
      </c>
      <c r="Q432" t="s">
        <v>74</v>
      </c>
      <c r="R432" t="s">
        <v>74</v>
      </c>
      <c r="S432" t="s">
        <v>74</v>
      </c>
      <c r="T432" t="s">
        <v>74</v>
      </c>
      <c r="U432" t="s">
        <v>8364</v>
      </c>
      <c r="V432" t="s">
        <v>8365</v>
      </c>
      <c r="W432" t="s">
        <v>8366</v>
      </c>
      <c r="X432" t="s">
        <v>8367</v>
      </c>
      <c r="Y432" t="s">
        <v>8368</v>
      </c>
      <c r="Z432" t="s">
        <v>8369</v>
      </c>
      <c r="AA432" t="s">
        <v>74</v>
      </c>
      <c r="AB432" t="s">
        <v>8370</v>
      </c>
      <c r="AC432" t="s">
        <v>8371</v>
      </c>
      <c r="AD432" t="s">
        <v>8372</v>
      </c>
      <c r="AE432" t="s">
        <v>8373</v>
      </c>
      <c r="AF432" t="s">
        <v>74</v>
      </c>
      <c r="AG432">
        <v>57</v>
      </c>
      <c r="AH432">
        <v>270</v>
      </c>
      <c r="AI432">
        <v>298</v>
      </c>
      <c r="AJ432">
        <v>0</v>
      </c>
      <c r="AK432">
        <v>90</v>
      </c>
      <c r="AL432" t="s">
        <v>997</v>
      </c>
      <c r="AM432" t="s">
        <v>998</v>
      </c>
      <c r="AN432" t="s">
        <v>999</v>
      </c>
      <c r="AO432" t="s">
        <v>1163</v>
      </c>
      <c r="AP432" t="s">
        <v>1164</v>
      </c>
      <c r="AQ432" t="s">
        <v>74</v>
      </c>
      <c r="AR432" t="s">
        <v>1165</v>
      </c>
      <c r="AS432" t="s">
        <v>1166</v>
      </c>
      <c r="AT432" t="s">
        <v>6991</v>
      </c>
      <c r="AU432">
        <v>2012</v>
      </c>
      <c r="AV432">
        <v>25</v>
      </c>
      <c r="AW432">
        <v>5</v>
      </c>
      <c r="AX432" t="s">
        <v>74</v>
      </c>
      <c r="AY432" t="s">
        <v>74</v>
      </c>
      <c r="AZ432" t="s">
        <v>74</v>
      </c>
      <c r="BA432" t="s">
        <v>74</v>
      </c>
      <c r="BB432">
        <v>1413</v>
      </c>
      <c r="BC432">
        <v>1430</v>
      </c>
      <c r="BD432" t="s">
        <v>74</v>
      </c>
      <c r="BE432" t="s">
        <v>8374</v>
      </c>
      <c r="BF432" t="str">
        <f>HYPERLINK("http://dx.doi.org/10.1175/JCLI-D-11-00078.1","http://dx.doi.org/10.1175/JCLI-D-11-00078.1")</f>
        <v>http://dx.doi.org/10.1175/JCLI-D-11-00078.1</v>
      </c>
      <c r="BG432" t="s">
        <v>74</v>
      </c>
      <c r="BH432" t="s">
        <v>74</v>
      </c>
      <c r="BI432">
        <v>18</v>
      </c>
      <c r="BJ432" t="s">
        <v>128</v>
      </c>
      <c r="BK432" t="s">
        <v>99</v>
      </c>
      <c r="BL432" t="s">
        <v>128</v>
      </c>
      <c r="BM432" t="s">
        <v>8375</v>
      </c>
      <c r="BN432" t="s">
        <v>74</v>
      </c>
      <c r="BO432" t="s">
        <v>1094</v>
      </c>
      <c r="BP432" t="s">
        <v>74</v>
      </c>
      <c r="BQ432" t="s">
        <v>74</v>
      </c>
      <c r="BR432" t="s">
        <v>101</v>
      </c>
      <c r="BS432" t="s">
        <v>8376</v>
      </c>
      <c r="BT432" t="str">
        <f>HYPERLINK("https%3A%2F%2Fwww.webofscience.com%2Fwos%2Fwoscc%2Ffull-record%2FWOS:000301315200003","View Full Record in Web of Science")</f>
        <v>View Full Record in Web of Science</v>
      </c>
    </row>
    <row r="433" spans="1:72" x14ac:dyDescent="0.15">
      <c r="A433" t="s">
        <v>72</v>
      </c>
      <c r="B433" t="s">
        <v>8377</v>
      </c>
      <c r="C433" t="s">
        <v>74</v>
      </c>
      <c r="D433" t="s">
        <v>74</v>
      </c>
      <c r="E433" t="s">
        <v>74</v>
      </c>
      <c r="F433" t="s">
        <v>8378</v>
      </c>
      <c r="G433" t="s">
        <v>74</v>
      </c>
      <c r="H433" t="s">
        <v>74</v>
      </c>
      <c r="I433" t="s">
        <v>8379</v>
      </c>
      <c r="J433" t="s">
        <v>1151</v>
      </c>
      <c r="K433" t="s">
        <v>74</v>
      </c>
      <c r="L433" t="s">
        <v>74</v>
      </c>
      <c r="M433" t="s">
        <v>78</v>
      </c>
      <c r="N433" t="s">
        <v>79</v>
      </c>
      <c r="O433" t="s">
        <v>74</v>
      </c>
      <c r="P433" t="s">
        <v>74</v>
      </c>
      <c r="Q433" t="s">
        <v>74</v>
      </c>
      <c r="R433" t="s">
        <v>74</v>
      </c>
      <c r="S433" t="s">
        <v>74</v>
      </c>
      <c r="T433" t="s">
        <v>74</v>
      </c>
      <c r="U433" t="s">
        <v>8380</v>
      </c>
      <c r="V433" t="s">
        <v>8381</v>
      </c>
      <c r="W433" t="s">
        <v>8382</v>
      </c>
      <c r="X433" t="s">
        <v>180</v>
      </c>
      <c r="Y433" t="s">
        <v>8383</v>
      </c>
      <c r="Z433" t="s">
        <v>8384</v>
      </c>
      <c r="AA433" t="s">
        <v>8385</v>
      </c>
      <c r="AB433" t="s">
        <v>8386</v>
      </c>
      <c r="AC433" t="s">
        <v>8387</v>
      </c>
      <c r="AD433" t="s">
        <v>8388</v>
      </c>
      <c r="AE433" t="s">
        <v>8389</v>
      </c>
      <c r="AF433" t="s">
        <v>74</v>
      </c>
      <c r="AG433">
        <v>67</v>
      </c>
      <c r="AH433">
        <v>10</v>
      </c>
      <c r="AI433">
        <v>12</v>
      </c>
      <c r="AJ433">
        <v>0</v>
      </c>
      <c r="AK433">
        <v>15</v>
      </c>
      <c r="AL433" t="s">
        <v>997</v>
      </c>
      <c r="AM433" t="s">
        <v>998</v>
      </c>
      <c r="AN433" t="s">
        <v>999</v>
      </c>
      <c r="AO433" t="s">
        <v>1163</v>
      </c>
      <c r="AP433" t="s">
        <v>1164</v>
      </c>
      <c r="AQ433" t="s">
        <v>74</v>
      </c>
      <c r="AR433" t="s">
        <v>1165</v>
      </c>
      <c r="AS433" t="s">
        <v>1166</v>
      </c>
      <c r="AT433" t="s">
        <v>6991</v>
      </c>
      <c r="AU433">
        <v>2012</v>
      </c>
      <c r="AV433">
        <v>25</v>
      </c>
      <c r="AW433">
        <v>5</v>
      </c>
      <c r="AX433" t="s">
        <v>74</v>
      </c>
      <c r="AY433" t="s">
        <v>74</v>
      </c>
      <c r="AZ433" t="s">
        <v>74</v>
      </c>
      <c r="BA433" t="s">
        <v>74</v>
      </c>
      <c r="BB433">
        <v>1470</v>
      </c>
      <c r="BC433">
        <v>1488</v>
      </c>
      <c r="BD433" t="s">
        <v>74</v>
      </c>
      <c r="BE433" t="s">
        <v>8390</v>
      </c>
      <c r="BF433" t="str">
        <f>HYPERLINK("http://dx.doi.org/10.1175/2011JCLI4071.1","http://dx.doi.org/10.1175/2011JCLI4071.1")</f>
        <v>http://dx.doi.org/10.1175/2011JCLI4071.1</v>
      </c>
      <c r="BG433" t="s">
        <v>74</v>
      </c>
      <c r="BH433" t="s">
        <v>74</v>
      </c>
      <c r="BI433">
        <v>19</v>
      </c>
      <c r="BJ433" t="s">
        <v>128</v>
      </c>
      <c r="BK433" t="s">
        <v>99</v>
      </c>
      <c r="BL433" t="s">
        <v>128</v>
      </c>
      <c r="BM433" t="s">
        <v>8375</v>
      </c>
      <c r="BN433" t="s">
        <v>74</v>
      </c>
      <c r="BO433" t="s">
        <v>217</v>
      </c>
      <c r="BP433" t="s">
        <v>74</v>
      </c>
      <c r="BQ433" t="s">
        <v>74</v>
      </c>
      <c r="BR433" t="s">
        <v>101</v>
      </c>
      <c r="BS433" t="s">
        <v>8391</v>
      </c>
      <c r="BT433" t="str">
        <f>HYPERLINK("https%3A%2F%2Fwww.webofscience.com%2Fwos%2Fwoscc%2Ffull-record%2FWOS:000301315200006","View Full Record in Web of Science")</f>
        <v>View Full Record in Web of Science</v>
      </c>
    </row>
    <row r="434" spans="1:72" x14ac:dyDescent="0.15">
      <c r="A434" t="s">
        <v>72</v>
      </c>
      <c r="B434" t="s">
        <v>8392</v>
      </c>
      <c r="C434" t="s">
        <v>74</v>
      </c>
      <c r="D434" t="s">
        <v>74</v>
      </c>
      <c r="E434" t="s">
        <v>74</v>
      </c>
      <c r="F434" t="s">
        <v>8393</v>
      </c>
      <c r="G434" t="s">
        <v>74</v>
      </c>
      <c r="H434" t="s">
        <v>74</v>
      </c>
      <c r="I434" t="s">
        <v>8394</v>
      </c>
      <c r="J434" t="s">
        <v>1151</v>
      </c>
      <c r="K434" t="s">
        <v>74</v>
      </c>
      <c r="L434" t="s">
        <v>74</v>
      </c>
      <c r="M434" t="s">
        <v>78</v>
      </c>
      <c r="N434" t="s">
        <v>79</v>
      </c>
      <c r="O434" t="s">
        <v>74</v>
      </c>
      <c r="P434" t="s">
        <v>74</v>
      </c>
      <c r="Q434" t="s">
        <v>74</v>
      </c>
      <c r="R434" t="s">
        <v>74</v>
      </c>
      <c r="S434" t="s">
        <v>74</v>
      </c>
      <c r="T434" t="s">
        <v>74</v>
      </c>
      <c r="U434" t="s">
        <v>8395</v>
      </c>
      <c r="V434" t="s">
        <v>8396</v>
      </c>
      <c r="W434" t="s">
        <v>8397</v>
      </c>
      <c r="X434" t="s">
        <v>8398</v>
      </c>
      <c r="Y434" t="s">
        <v>8399</v>
      </c>
      <c r="Z434" t="s">
        <v>8400</v>
      </c>
      <c r="AA434" t="s">
        <v>8401</v>
      </c>
      <c r="AB434" t="s">
        <v>8402</v>
      </c>
      <c r="AC434" t="s">
        <v>8403</v>
      </c>
      <c r="AD434" t="s">
        <v>8404</v>
      </c>
      <c r="AE434" t="s">
        <v>8405</v>
      </c>
      <c r="AF434" t="s">
        <v>74</v>
      </c>
      <c r="AG434">
        <v>106</v>
      </c>
      <c r="AH434">
        <v>50</v>
      </c>
      <c r="AI434">
        <v>56</v>
      </c>
      <c r="AJ434">
        <v>3</v>
      </c>
      <c r="AK434">
        <v>43</v>
      </c>
      <c r="AL434" t="s">
        <v>997</v>
      </c>
      <c r="AM434" t="s">
        <v>998</v>
      </c>
      <c r="AN434" t="s">
        <v>999</v>
      </c>
      <c r="AO434" t="s">
        <v>1163</v>
      </c>
      <c r="AP434" t="s">
        <v>1164</v>
      </c>
      <c r="AQ434" t="s">
        <v>74</v>
      </c>
      <c r="AR434" t="s">
        <v>1165</v>
      </c>
      <c r="AS434" t="s">
        <v>1166</v>
      </c>
      <c r="AT434" t="s">
        <v>6991</v>
      </c>
      <c r="AU434">
        <v>2012</v>
      </c>
      <c r="AV434">
        <v>25</v>
      </c>
      <c r="AW434">
        <v>5</v>
      </c>
      <c r="AX434" t="s">
        <v>74</v>
      </c>
      <c r="AY434" t="s">
        <v>74</v>
      </c>
      <c r="AZ434" t="s">
        <v>74</v>
      </c>
      <c r="BA434" t="s">
        <v>74</v>
      </c>
      <c r="BB434">
        <v>1635</v>
      </c>
      <c r="BC434">
        <v>1656</v>
      </c>
      <c r="BD434" t="s">
        <v>74</v>
      </c>
      <c r="BE434" t="s">
        <v>8406</v>
      </c>
      <c r="BF434" t="str">
        <f>HYPERLINK("http://dx.doi.org/10.1175/2011JCLI4078.1","http://dx.doi.org/10.1175/2011JCLI4078.1")</f>
        <v>http://dx.doi.org/10.1175/2011JCLI4078.1</v>
      </c>
      <c r="BG434" t="s">
        <v>74</v>
      </c>
      <c r="BH434" t="s">
        <v>74</v>
      </c>
      <c r="BI434">
        <v>22</v>
      </c>
      <c r="BJ434" t="s">
        <v>128</v>
      </c>
      <c r="BK434" t="s">
        <v>99</v>
      </c>
      <c r="BL434" t="s">
        <v>128</v>
      </c>
      <c r="BM434" t="s">
        <v>8375</v>
      </c>
      <c r="BN434" t="s">
        <v>74</v>
      </c>
      <c r="BO434" t="s">
        <v>197</v>
      </c>
      <c r="BP434" t="s">
        <v>74</v>
      </c>
      <c r="BQ434" t="s">
        <v>74</v>
      </c>
      <c r="BR434" t="s">
        <v>101</v>
      </c>
      <c r="BS434" t="s">
        <v>8407</v>
      </c>
      <c r="BT434" t="str">
        <f>HYPERLINK("https%3A%2F%2Fwww.webofscience.com%2Fwos%2Fwoscc%2Ffull-record%2FWOS:000301315200015","View Full Record in Web of Science")</f>
        <v>View Full Record in Web of Science</v>
      </c>
    </row>
    <row r="435" spans="1:72" x14ac:dyDescent="0.15">
      <c r="A435" t="s">
        <v>72</v>
      </c>
      <c r="B435" t="s">
        <v>8408</v>
      </c>
      <c r="C435" t="s">
        <v>74</v>
      </c>
      <c r="D435" t="s">
        <v>74</v>
      </c>
      <c r="E435" t="s">
        <v>74</v>
      </c>
      <c r="F435" t="s">
        <v>8409</v>
      </c>
      <c r="G435" t="s">
        <v>74</v>
      </c>
      <c r="H435" t="s">
        <v>74</v>
      </c>
      <c r="I435" t="s">
        <v>8410</v>
      </c>
      <c r="J435" t="s">
        <v>985</v>
      </c>
      <c r="K435" t="s">
        <v>74</v>
      </c>
      <c r="L435" t="s">
        <v>74</v>
      </c>
      <c r="M435" t="s">
        <v>78</v>
      </c>
      <c r="N435" t="s">
        <v>79</v>
      </c>
      <c r="O435" t="s">
        <v>74</v>
      </c>
      <c r="P435" t="s">
        <v>74</v>
      </c>
      <c r="Q435" t="s">
        <v>74</v>
      </c>
      <c r="R435" t="s">
        <v>74</v>
      </c>
      <c r="S435" t="s">
        <v>74</v>
      </c>
      <c r="T435" t="s">
        <v>74</v>
      </c>
      <c r="U435" t="s">
        <v>8411</v>
      </c>
      <c r="V435" t="s">
        <v>8412</v>
      </c>
      <c r="W435" t="s">
        <v>8413</v>
      </c>
      <c r="X435" t="s">
        <v>8414</v>
      </c>
      <c r="Y435" t="s">
        <v>8415</v>
      </c>
      <c r="Z435" t="s">
        <v>8416</v>
      </c>
      <c r="AA435" t="s">
        <v>8417</v>
      </c>
      <c r="AB435" t="s">
        <v>8418</v>
      </c>
      <c r="AC435" t="s">
        <v>8419</v>
      </c>
      <c r="AD435" t="s">
        <v>8420</v>
      </c>
      <c r="AE435" t="s">
        <v>8421</v>
      </c>
      <c r="AF435" t="s">
        <v>74</v>
      </c>
      <c r="AG435">
        <v>69</v>
      </c>
      <c r="AH435">
        <v>11</v>
      </c>
      <c r="AI435">
        <v>11</v>
      </c>
      <c r="AJ435">
        <v>0</v>
      </c>
      <c r="AK435">
        <v>12</v>
      </c>
      <c r="AL435" t="s">
        <v>997</v>
      </c>
      <c r="AM435" t="s">
        <v>998</v>
      </c>
      <c r="AN435" t="s">
        <v>999</v>
      </c>
      <c r="AO435" t="s">
        <v>1000</v>
      </c>
      <c r="AP435" t="s">
        <v>5020</v>
      </c>
      <c r="AQ435" t="s">
        <v>74</v>
      </c>
      <c r="AR435" t="s">
        <v>1001</v>
      </c>
      <c r="AS435" t="s">
        <v>1002</v>
      </c>
      <c r="AT435" t="s">
        <v>6892</v>
      </c>
      <c r="AU435">
        <v>2012</v>
      </c>
      <c r="AV435">
        <v>42</v>
      </c>
      <c r="AW435">
        <v>3</v>
      </c>
      <c r="AX435" t="s">
        <v>74</v>
      </c>
      <c r="AY435" t="s">
        <v>74</v>
      </c>
      <c r="AZ435" t="s">
        <v>74</v>
      </c>
      <c r="BA435" t="s">
        <v>74</v>
      </c>
      <c r="BB435">
        <v>370</v>
      </c>
      <c r="BC435">
        <v>385</v>
      </c>
      <c r="BD435" t="s">
        <v>74</v>
      </c>
      <c r="BE435" t="s">
        <v>8422</v>
      </c>
      <c r="BF435" t="str">
        <f>HYPERLINK("http://dx.doi.org/10.1175/2011JPO4573.1","http://dx.doi.org/10.1175/2011JPO4573.1")</f>
        <v>http://dx.doi.org/10.1175/2011JPO4573.1</v>
      </c>
      <c r="BG435" t="s">
        <v>74</v>
      </c>
      <c r="BH435" t="s">
        <v>74</v>
      </c>
      <c r="BI435">
        <v>16</v>
      </c>
      <c r="BJ435" t="s">
        <v>350</v>
      </c>
      <c r="BK435" t="s">
        <v>99</v>
      </c>
      <c r="BL435" t="s">
        <v>350</v>
      </c>
      <c r="BM435" t="s">
        <v>8423</v>
      </c>
      <c r="BN435" t="s">
        <v>74</v>
      </c>
      <c r="BO435" t="s">
        <v>8424</v>
      </c>
      <c r="BP435" t="s">
        <v>74</v>
      </c>
      <c r="BQ435" t="s">
        <v>74</v>
      </c>
      <c r="BR435" t="s">
        <v>101</v>
      </c>
      <c r="BS435" t="s">
        <v>8425</v>
      </c>
      <c r="BT435" t="str">
        <f>HYPERLINK("https%3A%2F%2Fwww.webofscience.com%2Fwos%2Fwoscc%2Ffull-record%2FWOS:000301899400003","View Full Record in Web of Science")</f>
        <v>View Full Record in Web of Science</v>
      </c>
    </row>
    <row r="436" spans="1:72" x14ac:dyDescent="0.15">
      <c r="A436" t="s">
        <v>72</v>
      </c>
      <c r="B436" t="s">
        <v>8426</v>
      </c>
      <c r="C436" t="s">
        <v>74</v>
      </c>
      <c r="D436" t="s">
        <v>74</v>
      </c>
      <c r="E436" t="s">
        <v>74</v>
      </c>
      <c r="F436" t="s">
        <v>8427</v>
      </c>
      <c r="G436" t="s">
        <v>74</v>
      </c>
      <c r="H436" t="s">
        <v>74</v>
      </c>
      <c r="I436" t="s">
        <v>8428</v>
      </c>
      <c r="J436" t="s">
        <v>985</v>
      </c>
      <c r="K436" t="s">
        <v>74</v>
      </c>
      <c r="L436" t="s">
        <v>74</v>
      </c>
      <c r="M436" t="s">
        <v>78</v>
      </c>
      <c r="N436" t="s">
        <v>79</v>
      </c>
      <c r="O436" t="s">
        <v>74</v>
      </c>
      <c r="P436" t="s">
        <v>74</v>
      </c>
      <c r="Q436" t="s">
        <v>74</v>
      </c>
      <c r="R436" t="s">
        <v>74</v>
      </c>
      <c r="S436" t="s">
        <v>74</v>
      </c>
      <c r="T436" t="s">
        <v>74</v>
      </c>
      <c r="U436" t="s">
        <v>8429</v>
      </c>
      <c r="V436" t="s">
        <v>8430</v>
      </c>
      <c r="W436" t="s">
        <v>8431</v>
      </c>
      <c r="X436" t="s">
        <v>8432</v>
      </c>
      <c r="Y436" t="s">
        <v>8433</v>
      </c>
      <c r="Z436" t="s">
        <v>8434</v>
      </c>
      <c r="AA436" t="s">
        <v>8435</v>
      </c>
      <c r="AB436" t="s">
        <v>8436</v>
      </c>
      <c r="AC436" t="s">
        <v>8437</v>
      </c>
      <c r="AD436" t="s">
        <v>8438</v>
      </c>
      <c r="AE436" t="s">
        <v>8439</v>
      </c>
      <c r="AF436" t="s">
        <v>74</v>
      </c>
      <c r="AG436">
        <v>17</v>
      </c>
      <c r="AH436">
        <v>12</v>
      </c>
      <c r="AI436">
        <v>12</v>
      </c>
      <c r="AJ436">
        <v>0</v>
      </c>
      <c r="AK436">
        <v>9</v>
      </c>
      <c r="AL436" t="s">
        <v>997</v>
      </c>
      <c r="AM436" t="s">
        <v>998</v>
      </c>
      <c r="AN436" t="s">
        <v>999</v>
      </c>
      <c r="AO436" t="s">
        <v>1000</v>
      </c>
      <c r="AP436" t="s">
        <v>5020</v>
      </c>
      <c r="AQ436" t="s">
        <v>74</v>
      </c>
      <c r="AR436" t="s">
        <v>1001</v>
      </c>
      <c r="AS436" t="s">
        <v>1002</v>
      </c>
      <c r="AT436" t="s">
        <v>6892</v>
      </c>
      <c r="AU436">
        <v>2012</v>
      </c>
      <c r="AV436">
        <v>42</v>
      </c>
      <c r="AW436">
        <v>3</v>
      </c>
      <c r="AX436" t="s">
        <v>74</v>
      </c>
      <c r="AY436" t="s">
        <v>74</v>
      </c>
      <c r="AZ436" t="s">
        <v>74</v>
      </c>
      <c r="BA436" t="s">
        <v>74</v>
      </c>
      <c r="BB436">
        <v>502</v>
      </c>
      <c r="BC436">
        <v>508</v>
      </c>
      <c r="BD436" t="s">
        <v>74</v>
      </c>
      <c r="BE436" t="s">
        <v>8440</v>
      </c>
      <c r="BF436" t="str">
        <f>HYPERLINK("http://dx.doi.org/10.1175/JPO-D-11-0211.1","http://dx.doi.org/10.1175/JPO-D-11-0211.1")</f>
        <v>http://dx.doi.org/10.1175/JPO-D-11-0211.1</v>
      </c>
      <c r="BG436" t="s">
        <v>74</v>
      </c>
      <c r="BH436" t="s">
        <v>74</v>
      </c>
      <c r="BI436">
        <v>7</v>
      </c>
      <c r="BJ436" t="s">
        <v>350</v>
      </c>
      <c r="BK436" t="s">
        <v>99</v>
      </c>
      <c r="BL436" t="s">
        <v>350</v>
      </c>
      <c r="BM436" t="s">
        <v>8423</v>
      </c>
      <c r="BN436" t="s">
        <v>74</v>
      </c>
      <c r="BO436" t="s">
        <v>638</v>
      </c>
      <c r="BP436" t="s">
        <v>74</v>
      </c>
      <c r="BQ436" t="s">
        <v>74</v>
      </c>
      <c r="BR436" t="s">
        <v>101</v>
      </c>
      <c r="BS436" t="s">
        <v>8441</v>
      </c>
      <c r="BT436" t="str">
        <f>HYPERLINK("https%3A%2F%2Fwww.webofscience.com%2Fwos%2Fwoscc%2Ffull-record%2FWOS:000301899400012","View Full Record in Web of Science")</f>
        <v>View Full Record in Web of Science</v>
      </c>
    </row>
    <row r="437" spans="1:72" x14ac:dyDescent="0.15">
      <c r="A437" t="s">
        <v>72</v>
      </c>
      <c r="B437" t="s">
        <v>8442</v>
      </c>
      <c r="C437" t="s">
        <v>74</v>
      </c>
      <c r="D437" t="s">
        <v>74</v>
      </c>
      <c r="E437" t="s">
        <v>74</v>
      </c>
      <c r="F437" t="s">
        <v>8443</v>
      </c>
      <c r="G437" t="s">
        <v>74</v>
      </c>
      <c r="H437" t="s">
        <v>74</v>
      </c>
      <c r="I437" t="s">
        <v>8444</v>
      </c>
      <c r="J437" t="s">
        <v>4369</v>
      </c>
      <c r="K437" t="s">
        <v>74</v>
      </c>
      <c r="L437" t="s">
        <v>74</v>
      </c>
      <c r="M437" t="s">
        <v>78</v>
      </c>
      <c r="N437" t="s">
        <v>79</v>
      </c>
      <c r="O437" t="s">
        <v>74</v>
      </c>
      <c r="P437" t="s">
        <v>74</v>
      </c>
      <c r="Q437" t="s">
        <v>74</v>
      </c>
      <c r="R437" t="s">
        <v>74</v>
      </c>
      <c r="S437" t="s">
        <v>74</v>
      </c>
      <c r="T437" t="s">
        <v>74</v>
      </c>
      <c r="U437" t="s">
        <v>8445</v>
      </c>
      <c r="V437" t="s">
        <v>8446</v>
      </c>
      <c r="W437" t="s">
        <v>8447</v>
      </c>
      <c r="X437" t="s">
        <v>8448</v>
      </c>
      <c r="Y437" t="s">
        <v>8449</v>
      </c>
      <c r="Z437" t="s">
        <v>8450</v>
      </c>
      <c r="AA437" t="s">
        <v>8451</v>
      </c>
      <c r="AB437" t="s">
        <v>8452</v>
      </c>
      <c r="AC437" t="s">
        <v>8453</v>
      </c>
      <c r="AD437" t="s">
        <v>8454</v>
      </c>
      <c r="AE437" t="s">
        <v>8455</v>
      </c>
      <c r="AF437" t="s">
        <v>74</v>
      </c>
      <c r="AG437">
        <v>57</v>
      </c>
      <c r="AH437">
        <v>34</v>
      </c>
      <c r="AI437">
        <v>36</v>
      </c>
      <c r="AJ437">
        <v>1</v>
      </c>
      <c r="AK437">
        <v>25</v>
      </c>
      <c r="AL437" t="s">
        <v>2414</v>
      </c>
      <c r="AM437" t="s">
        <v>2415</v>
      </c>
      <c r="AN437" t="s">
        <v>2416</v>
      </c>
      <c r="AO437" t="s">
        <v>4380</v>
      </c>
      <c r="AP437" t="s">
        <v>4381</v>
      </c>
      <c r="AQ437" t="s">
        <v>74</v>
      </c>
      <c r="AR437" t="s">
        <v>4382</v>
      </c>
      <c r="AS437" t="s">
        <v>4383</v>
      </c>
      <c r="AT437" t="s">
        <v>6892</v>
      </c>
      <c r="AU437">
        <v>2012</v>
      </c>
      <c r="AV437">
        <v>159</v>
      </c>
      <c r="AW437">
        <v>3</v>
      </c>
      <c r="AX437" t="s">
        <v>74</v>
      </c>
      <c r="AY437" t="s">
        <v>74</v>
      </c>
      <c r="AZ437" t="s">
        <v>74</v>
      </c>
      <c r="BA437" t="s">
        <v>74</v>
      </c>
      <c r="BB437">
        <v>499</v>
      </c>
      <c r="BC437">
        <v>505</v>
      </c>
      <c r="BD437" t="s">
        <v>74</v>
      </c>
      <c r="BE437" t="s">
        <v>8456</v>
      </c>
      <c r="BF437" t="str">
        <f>HYPERLINK("http://dx.doi.org/10.1007/s00227-011-1830-4","http://dx.doi.org/10.1007/s00227-011-1830-4")</f>
        <v>http://dx.doi.org/10.1007/s00227-011-1830-4</v>
      </c>
      <c r="BG437" t="s">
        <v>74</v>
      </c>
      <c r="BH437" t="s">
        <v>74</v>
      </c>
      <c r="BI437">
        <v>7</v>
      </c>
      <c r="BJ437" t="s">
        <v>588</v>
      </c>
      <c r="BK437" t="s">
        <v>99</v>
      </c>
      <c r="BL437" t="s">
        <v>588</v>
      </c>
      <c r="BM437" t="s">
        <v>8457</v>
      </c>
      <c r="BN437" t="s">
        <v>74</v>
      </c>
      <c r="BO437" t="s">
        <v>74</v>
      </c>
      <c r="BP437" t="s">
        <v>74</v>
      </c>
      <c r="BQ437" t="s">
        <v>74</v>
      </c>
      <c r="BR437" t="s">
        <v>101</v>
      </c>
      <c r="BS437" t="s">
        <v>8458</v>
      </c>
      <c r="BT437" t="str">
        <f>HYPERLINK("https%3A%2F%2Fwww.webofscience.com%2Fwos%2Fwoscc%2Ffull-record%2FWOS:000301846400004","View Full Record in Web of Science")</f>
        <v>View Full Record in Web of Science</v>
      </c>
    </row>
    <row r="438" spans="1:72" x14ac:dyDescent="0.15">
      <c r="A438" t="s">
        <v>72</v>
      </c>
      <c r="B438" t="s">
        <v>8459</v>
      </c>
      <c r="C438" t="s">
        <v>74</v>
      </c>
      <c r="D438" t="s">
        <v>74</v>
      </c>
      <c r="E438" t="s">
        <v>74</v>
      </c>
      <c r="F438" t="s">
        <v>8460</v>
      </c>
      <c r="G438" t="s">
        <v>74</v>
      </c>
      <c r="H438" t="s">
        <v>74</v>
      </c>
      <c r="I438" t="s">
        <v>8461</v>
      </c>
      <c r="J438" t="s">
        <v>3865</v>
      </c>
      <c r="K438" t="s">
        <v>74</v>
      </c>
      <c r="L438" t="s">
        <v>74</v>
      </c>
      <c r="M438" t="s">
        <v>78</v>
      </c>
      <c r="N438" t="s">
        <v>79</v>
      </c>
      <c r="O438" t="s">
        <v>74</v>
      </c>
      <c r="P438" t="s">
        <v>74</v>
      </c>
      <c r="Q438" t="s">
        <v>74</v>
      </c>
      <c r="R438" t="s">
        <v>74</v>
      </c>
      <c r="S438" t="s">
        <v>74</v>
      </c>
      <c r="T438" t="s">
        <v>74</v>
      </c>
      <c r="U438" t="s">
        <v>8462</v>
      </c>
      <c r="V438" t="s">
        <v>8463</v>
      </c>
      <c r="W438" t="s">
        <v>8464</v>
      </c>
      <c r="X438" t="s">
        <v>8465</v>
      </c>
      <c r="Y438" t="s">
        <v>8466</v>
      </c>
      <c r="Z438" t="s">
        <v>8467</v>
      </c>
      <c r="AA438" t="s">
        <v>74</v>
      </c>
      <c r="AB438" t="s">
        <v>8468</v>
      </c>
      <c r="AC438" t="s">
        <v>8469</v>
      </c>
      <c r="AD438" t="s">
        <v>8470</v>
      </c>
      <c r="AE438" t="s">
        <v>8471</v>
      </c>
      <c r="AF438" t="s">
        <v>74</v>
      </c>
      <c r="AG438">
        <v>84</v>
      </c>
      <c r="AH438">
        <v>31</v>
      </c>
      <c r="AI438">
        <v>32</v>
      </c>
      <c r="AJ438">
        <v>0</v>
      </c>
      <c r="AK438">
        <v>14</v>
      </c>
      <c r="AL438" t="s">
        <v>627</v>
      </c>
      <c r="AM438" t="s">
        <v>628</v>
      </c>
      <c r="AN438" t="s">
        <v>629</v>
      </c>
      <c r="AO438" t="s">
        <v>3876</v>
      </c>
      <c r="AP438" t="s">
        <v>3877</v>
      </c>
      <c r="AQ438" t="s">
        <v>74</v>
      </c>
      <c r="AR438" t="s">
        <v>3878</v>
      </c>
      <c r="AS438" t="s">
        <v>3879</v>
      </c>
      <c r="AT438" t="s">
        <v>6892</v>
      </c>
      <c r="AU438">
        <v>2012</v>
      </c>
      <c r="AV438">
        <v>47</v>
      </c>
      <c r="AW438">
        <v>3</v>
      </c>
      <c r="AX438" t="s">
        <v>74</v>
      </c>
      <c r="AY438" t="s">
        <v>74</v>
      </c>
      <c r="AZ438" t="s">
        <v>74</v>
      </c>
      <c r="BA438" t="s">
        <v>74</v>
      </c>
      <c r="BB438">
        <v>387</v>
      </c>
      <c r="BC438">
        <v>399</v>
      </c>
      <c r="BD438" t="s">
        <v>74</v>
      </c>
      <c r="BE438" t="s">
        <v>8472</v>
      </c>
      <c r="BF438" t="str">
        <f>HYPERLINK("http://dx.doi.org/10.1111/j.1945-5100.2012.01344.x","http://dx.doi.org/10.1111/j.1945-5100.2012.01344.x")</f>
        <v>http://dx.doi.org/10.1111/j.1945-5100.2012.01344.x</v>
      </c>
      <c r="BG438" t="s">
        <v>74</v>
      </c>
      <c r="BH438" t="s">
        <v>74</v>
      </c>
      <c r="BI438">
        <v>13</v>
      </c>
      <c r="BJ438" t="s">
        <v>1134</v>
      </c>
      <c r="BK438" t="s">
        <v>99</v>
      </c>
      <c r="BL438" t="s">
        <v>1134</v>
      </c>
      <c r="BM438" t="s">
        <v>7291</v>
      </c>
      <c r="BN438" t="s">
        <v>74</v>
      </c>
      <c r="BO438" t="s">
        <v>74</v>
      </c>
      <c r="BP438" t="s">
        <v>74</v>
      </c>
      <c r="BQ438" t="s">
        <v>74</v>
      </c>
      <c r="BR438" t="s">
        <v>101</v>
      </c>
      <c r="BS438" t="s">
        <v>8473</v>
      </c>
      <c r="BT438" t="str">
        <f>HYPERLINK("https%3A%2F%2Fwww.webofscience.com%2Fwos%2Fwoscc%2Ffull-record%2FWOS:000302073300006","View Full Record in Web of Science")</f>
        <v>View Full Record in Web of Science</v>
      </c>
    </row>
    <row r="439" spans="1:72" x14ac:dyDescent="0.15">
      <c r="A439" t="s">
        <v>72</v>
      </c>
      <c r="B439" t="s">
        <v>8474</v>
      </c>
      <c r="C439" t="s">
        <v>74</v>
      </c>
      <c r="D439" t="s">
        <v>74</v>
      </c>
      <c r="E439" t="s">
        <v>74</v>
      </c>
      <c r="F439" t="s">
        <v>8475</v>
      </c>
      <c r="G439" t="s">
        <v>74</v>
      </c>
      <c r="H439" t="s">
        <v>74</v>
      </c>
      <c r="I439" t="s">
        <v>8476</v>
      </c>
      <c r="J439" t="s">
        <v>8477</v>
      </c>
      <c r="K439" t="s">
        <v>74</v>
      </c>
      <c r="L439" t="s">
        <v>74</v>
      </c>
      <c r="M439" t="s">
        <v>78</v>
      </c>
      <c r="N439" t="s">
        <v>79</v>
      </c>
      <c r="O439" t="s">
        <v>74</v>
      </c>
      <c r="P439" t="s">
        <v>74</v>
      </c>
      <c r="Q439" t="s">
        <v>74</v>
      </c>
      <c r="R439" t="s">
        <v>74</v>
      </c>
      <c r="S439" t="s">
        <v>74</v>
      </c>
      <c r="T439" t="s">
        <v>8478</v>
      </c>
      <c r="U439" t="s">
        <v>8479</v>
      </c>
      <c r="V439" t="s">
        <v>8480</v>
      </c>
      <c r="W439" t="s">
        <v>8481</v>
      </c>
      <c r="X439" t="s">
        <v>8482</v>
      </c>
      <c r="Y439" t="s">
        <v>8483</v>
      </c>
      <c r="Z439" t="s">
        <v>8484</v>
      </c>
      <c r="AA439" t="s">
        <v>8485</v>
      </c>
      <c r="AB439" t="s">
        <v>8486</v>
      </c>
      <c r="AC439" t="s">
        <v>8487</v>
      </c>
      <c r="AD439" t="s">
        <v>8488</v>
      </c>
      <c r="AE439" t="s">
        <v>8489</v>
      </c>
      <c r="AF439" t="s">
        <v>74</v>
      </c>
      <c r="AG439">
        <v>45</v>
      </c>
      <c r="AH439">
        <v>57</v>
      </c>
      <c r="AI439">
        <v>66</v>
      </c>
      <c r="AJ439">
        <v>0</v>
      </c>
      <c r="AK439">
        <v>83</v>
      </c>
      <c r="AL439" t="s">
        <v>627</v>
      </c>
      <c r="AM439" t="s">
        <v>628</v>
      </c>
      <c r="AN439" t="s">
        <v>629</v>
      </c>
      <c r="AO439" t="s">
        <v>8490</v>
      </c>
      <c r="AP439" t="s">
        <v>8491</v>
      </c>
      <c r="AQ439" t="s">
        <v>74</v>
      </c>
      <c r="AR439" t="s">
        <v>8492</v>
      </c>
      <c r="AS439" t="s">
        <v>8493</v>
      </c>
      <c r="AT439" t="s">
        <v>6892</v>
      </c>
      <c r="AU439">
        <v>2012</v>
      </c>
      <c r="AV439">
        <v>12</v>
      </c>
      <c r="AW439">
        <v>2</v>
      </c>
      <c r="AX439" t="s">
        <v>74</v>
      </c>
      <c r="AY439" t="s">
        <v>74</v>
      </c>
      <c r="AZ439" t="s">
        <v>74</v>
      </c>
      <c r="BA439" t="s">
        <v>74</v>
      </c>
      <c r="BB439">
        <v>259</v>
      </c>
      <c r="BC439">
        <v>266</v>
      </c>
      <c r="BD439" t="s">
        <v>74</v>
      </c>
      <c r="BE439" t="s">
        <v>8494</v>
      </c>
      <c r="BF439" t="str">
        <f>HYPERLINK("http://dx.doi.org/10.1111/j.1755-0998.2011.03098.x","http://dx.doi.org/10.1111/j.1755-0998.2011.03098.x")</f>
        <v>http://dx.doi.org/10.1111/j.1755-0998.2011.03098.x</v>
      </c>
      <c r="BG439" t="s">
        <v>74</v>
      </c>
      <c r="BH439" t="s">
        <v>74</v>
      </c>
      <c r="BI439">
        <v>8</v>
      </c>
      <c r="BJ439" t="s">
        <v>2217</v>
      </c>
      <c r="BK439" t="s">
        <v>99</v>
      </c>
      <c r="BL439" t="s">
        <v>2218</v>
      </c>
      <c r="BM439" t="s">
        <v>8495</v>
      </c>
      <c r="BN439">
        <v>22176947</v>
      </c>
      <c r="BO439" t="s">
        <v>74</v>
      </c>
      <c r="BP439" t="s">
        <v>74</v>
      </c>
      <c r="BQ439" t="s">
        <v>74</v>
      </c>
      <c r="BR439" t="s">
        <v>101</v>
      </c>
      <c r="BS439" t="s">
        <v>8496</v>
      </c>
      <c r="BT439" t="str">
        <f>HYPERLINK("https%3A%2F%2Fwww.webofscience.com%2Fwos%2Fwoscc%2Ffull-record%2FWOS:000299930300008","View Full Record in Web of Science")</f>
        <v>View Full Record in Web of Science</v>
      </c>
    </row>
    <row r="440" spans="1:72" x14ac:dyDescent="0.15">
      <c r="A440" t="s">
        <v>72</v>
      </c>
      <c r="B440" t="s">
        <v>8497</v>
      </c>
      <c r="C440" t="s">
        <v>74</v>
      </c>
      <c r="D440" t="s">
        <v>74</v>
      </c>
      <c r="E440" t="s">
        <v>74</v>
      </c>
      <c r="F440" t="s">
        <v>8498</v>
      </c>
      <c r="G440" t="s">
        <v>74</v>
      </c>
      <c r="H440" t="s">
        <v>74</v>
      </c>
      <c r="I440" t="s">
        <v>8499</v>
      </c>
      <c r="J440" t="s">
        <v>8500</v>
      </c>
      <c r="K440" t="s">
        <v>74</v>
      </c>
      <c r="L440" t="s">
        <v>74</v>
      </c>
      <c r="M440" t="s">
        <v>78</v>
      </c>
      <c r="N440" t="s">
        <v>79</v>
      </c>
      <c r="O440" t="s">
        <v>74</v>
      </c>
      <c r="P440" t="s">
        <v>74</v>
      </c>
      <c r="Q440" t="s">
        <v>74</v>
      </c>
      <c r="R440" t="s">
        <v>74</v>
      </c>
      <c r="S440" t="s">
        <v>74</v>
      </c>
      <c r="T440" t="s">
        <v>8501</v>
      </c>
      <c r="U440" t="s">
        <v>8502</v>
      </c>
      <c r="V440" t="s">
        <v>8503</v>
      </c>
      <c r="W440" t="s">
        <v>8504</v>
      </c>
      <c r="X440" t="s">
        <v>8505</v>
      </c>
      <c r="Y440" t="s">
        <v>8506</v>
      </c>
      <c r="Z440" t="s">
        <v>8507</v>
      </c>
      <c r="AA440" t="s">
        <v>8508</v>
      </c>
      <c r="AB440" t="s">
        <v>8509</v>
      </c>
      <c r="AC440" t="s">
        <v>8510</v>
      </c>
      <c r="AD440" t="s">
        <v>8511</v>
      </c>
      <c r="AE440" t="s">
        <v>8512</v>
      </c>
      <c r="AF440" t="s">
        <v>74</v>
      </c>
      <c r="AG440">
        <v>45</v>
      </c>
      <c r="AH440">
        <v>8</v>
      </c>
      <c r="AI440">
        <v>10</v>
      </c>
      <c r="AJ440">
        <v>2</v>
      </c>
      <c r="AK440">
        <v>22</v>
      </c>
      <c r="AL440" t="s">
        <v>761</v>
      </c>
      <c r="AM440" t="s">
        <v>762</v>
      </c>
      <c r="AN440" t="s">
        <v>763</v>
      </c>
      <c r="AO440" t="s">
        <v>8513</v>
      </c>
      <c r="AP440" t="s">
        <v>8514</v>
      </c>
      <c r="AQ440" t="s">
        <v>74</v>
      </c>
      <c r="AR440" t="s">
        <v>8515</v>
      </c>
      <c r="AS440" t="s">
        <v>8516</v>
      </c>
      <c r="AT440" t="s">
        <v>6892</v>
      </c>
      <c r="AU440">
        <v>2012</v>
      </c>
      <c r="AV440">
        <v>46</v>
      </c>
      <c r="AW440">
        <v>1</v>
      </c>
      <c r="AX440" t="s">
        <v>74</v>
      </c>
      <c r="AY440" t="s">
        <v>74</v>
      </c>
      <c r="AZ440" t="s">
        <v>74</v>
      </c>
      <c r="BA440" t="s">
        <v>74</v>
      </c>
      <c r="BB440">
        <v>3</v>
      </c>
      <c r="BC440">
        <v>12</v>
      </c>
      <c r="BD440" t="s">
        <v>74</v>
      </c>
      <c r="BE440" t="s">
        <v>8517</v>
      </c>
      <c r="BF440" t="str">
        <f>HYPERLINK("http://dx.doi.org/10.1080/00288330.2011.579981","http://dx.doi.org/10.1080/00288330.2011.579981")</f>
        <v>http://dx.doi.org/10.1080/00288330.2011.579981</v>
      </c>
      <c r="BG440" t="s">
        <v>74</v>
      </c>
      <c r="BH440" t="s">
        <v>74</v>
      </c>
      <c r="BI440">
        <v>10</v>
      </c>
      <c r="BJ440" t="s">
        <v>8518</v>
      </c>
      <c r="BK440" t="s">
        <v>99</v>
      </c>
      <c r="BL440" t="s">
        <v>8518</v>
      </c>
      <c r="BM440" t="s">
        <v>8519</v>
      </c>
      <c r="BN440" t="s">
        <v>74</v>
      </c>
      <c r="BO440" t="s">
        <v>74</v>
      </c>
      <c r="BP440" t="s">
        <v>74</v>
      </c>
      <c r="BQ440" t="s">
        <v>74</v>
      </c>
      <c r="BR440" t="s">
        <v>101</v>
      </c>
      <c r="BS440" t="s">
        <v>8520</v>
      </c>
      <c r="BT440" t="str">
        <f>HYPERLINK("https%3A%2F%2Fwww.webofscience.com%2Fwos%2Fwoscc%2Ffull-record%2FWOS:000304675700002","View Full Record in Web of Science")</f>
        <v>View Full Record in Web of Science</v>
      </c>
    </row>
    <row r="441" spans="1:72" x14ac:dyDescent="0.15">
      <c r="A441" t="s">
        <v>72</v>
      </c>
      <c r="B441" t="s">
        <v>8521</v>
      </c>
      <c r="C441" t="s">
        <v>74</v>
      </c>
      <c r="D441" t="s">
        <v>74</v>
      </c>
      <c r="E441" t="s">
        <v>74</v>
      </c>
      <c r="F441" t="s">
        <v>8522</v>
      </c>
      <c r="G441" t="s">
        <v>74</v>
      </c>
      <c r="H441" t="s">
        <v>74</v>
      </c>
      <c r="I441" t="s">
        <v>8523</v>
      </c>
      <c r="J441" t="s">
        <v>8524</v>
      </c>
      <c r="K441" t="s">
        <v>74</v>
      </c>
      <c r="L441" t="s">
        <v>74</v>
      </c>
      <c r="M441" t="s">
        <v>78</v>
      </c>
      <c r="N441" t="s">
        <v>79</v>
      </c>
      <c r="O441" t="s">
        <v>74</v>
      </c>
      <c r="P441" t="s">
        <v>74</v>
      </c>
      <c r="Q441" t="s">
        <v>74</v>
      </c>
      <c r="R441" t="s">
        <v>74</v>
      </c>
      <c r="S441" t="s">
        <v>74</v>
      </c>
      <c r="T441" t="s">
        <v>74</v>
      </c>
      <c r="U441" t="s">
        <v>8525</v>
      </c>
      <c r="V441" t="s">
        <v>8526</v>
      </c>
      <c r="W441" t="s">
        <v>8527</v>
      </c>
      <c r="X441" t="s">
        <v>8528</v>
      </c>
      <c r="Y441" t="s">
        <v>8529</v>
      </c>
      <c r="Z441" t="s">
        <v>8530</v>
      </c>
      <c r="AA441" t="s">
        <v>8531</v>
      </c>
      <c r="AB441" t="s">
        <v>8532</v>
      </c>
      <c r="AC441" t="s">
        <v>8533</v>
      </c>
      <c r="AD441" t="s">
        <v>8534</v>
      </c>
      <c r="AE441" t="s">
        <v>8535</v>
      </c>
      <c r="AF441" t="s">
        <v>74</v>
      </c>
      <c r="AG441">
        <v>43</v>
      </c>
      <c r="AH441">
        <v>37</v>
      </c>
      <c r="AI441">
        <v>54</v>
      </c>
      <c r="AJ441">
        <v>0</v>
      </c>
      <c r="AK441">
        <v>22</v>
      </c>
      <c r="AL441" t="s">
        <v>1620</v>
      </c>
      <c r="AM441" t="s">
        <v>278</v>
      </c>
      <c r="AN441" t="s">
        <v>1621</v>
      </c>
      <c r="AO441" t="s">
        <v>8536</v>
      </c>
      <c r="AP441" t="s">
        <v>8537</v>
      </c>
      <c r="AQ441" t="s">
        <v>74</v>
      </c>
      <c r="AR441" t="s">
        <v>8538</v>
      </c>
      <c r="AS441" t="s">
        <v>8539</v>
      </c>
      <c r="AT441" t="s">
        <v>6892</v>
      </c>
      <c r="AU441">
        <v>2012</v>
      </c>
      <c r="AV441">
        <v>40</v>
      </c>
      <c r="AW441">
        <v>5</v>
      </c>
      <c r="AX441" t="s">
        <v>74</v>
      </c>
      <c r="AY441" t="s">
        <v>74</v>
      </c>
      <c r="AZ441" t="s">
        <v>74</v>
      </c>
      <c r="BA441" t="s">
        <v>74</v>
      </c>
      <c r="BB441" t="s">
        <v>74</v>
      </c>
      <c r="BC441" t="s">
        <v>74</v>
      </c>
      <c r="BD441" t="s">
        <v>8540</v>
      </c>
      <c r="BE441" t="s">
        <v>8541</v>
      </c>
      <c r="BF441" t="str">
        <f>HYPERLINK("http://dx.doi.org/10.1093/nar/gkr1204","http://dx.doi.org/10.1093/nar/gkr1204")</f>
        <v>http://dx.doi.org/10.1093/nar/gkr1204</v>
      </c>
      <c r="BG441" t="s">
        <v>74</v>
      </c>
      <c r="BH441" t="s">
        <v>74</v>
      </c>
      <c r="BI441">
        <v>14</v>
      </c>
      <c r="BJ441" t="s">
        <v>2524</v>
      </c>
      <c r="BK441" t="s">
        <v>99</v>
      </c>
      <c r="BL441" t="s">
        <v>2524</v>
      </c>
      <c r="BM441" t="s">
        <v>8542</v>
      </c>
      <c r="BN441">
        <v>22180538</v>
      </c>
      <c r="BO441" t="s">
        <v>8543</v>
      </c>
      <c r="BP441" t="s">
        <v>74</v>
      </c>
      <c r="BQ441" t="s">
        <v>74</v>
      </c>
      <c r="BR441" t="s">
        <v>101</v>
      </c>
      <c r="BS441" t="s">
        <v>8544</v>
      </c>
      <c r="BT441" t="str">
        <f>HYPERLINK("https%3A%2F%2Fwww.webofscience.com%2Fwos%2Fwoscc%2Ffull-record%2FWOS:000302019900002","View Full Record in Web of Science")</f>
        <v>View Full Record in Web of Science</v>
      </c>
    </row>
    <row r="442" spans="1:72" x14ac:dyDescent="0.15">
      <c r="A442" t="s">
        <v>72</v>
      </c>
      <c r="B442" t="s">
        <v>8545</v>
      </c>
      <c r="C442" t="s">
        <v>74</v>
      </c>
      <c r="D442" t="s">
        <v>74</v>
      </c>
      <c r="E442" t="s">
        <v>74</v>
      </c>
      <c r="F442" t="s">
        <v>8546</v>
      </c>
      <c r="G442" t="s">
        <v>74</v>
      </c>
      <c r="H442" t="s">
        <v>74</v>
      </c>
      <c r="I442" t="s">
        <v>8547</v>
      </c>
      <c r="J442" t="s">
        <v>8548</v>
      </c>
      <c r="K442" t="s">
        <v>74</v>
      </c>
      <c r="L442" t="s">
        <v>74</v>
      </c>
      <c r="M442" t="s">
        <v>78</v>
      </c>
      <c r="N442" t="s">
        <v>79</v>
      </c>
      <c r="O442" t="s">
        <v>74</v>
      </c>
      <c r="P442" t="s">
        <v>74</v>
      </c>
      <c r="Q442" t="s">
        <v>74</v>
      </c>
      <c r="R442" t="s">
        <v>74</v>
      </c>
      <c r="S442" t="s">
        <v>74</v>
      </c>
      <c r="T442" t="s">
        <v>8549</v>
      </c>
      <c r="U442" t="s">
        <v>8550</v>
      </c>
      <c r="V442" t="s">
        <v>8551</v>
      </c>
      <c r="W442" t="s">
        <v>8552</v>
      </c>
      <c r="X442" t="s">
        <v>8553</v>
      </c>
      <c r="Y442" t="s">
        <v>8554</v>
      </c>
      <c r="Z442" t="s">
        <v>8555</v>
      </c>
      <c r="AA442" t="s">
        <v>8556</v>
      </c>
      <c r="AB442" t="s">
        <v>8557</v>
      </c>
      <c r="AC442" t="s">
        <v>8558</v>
      </c>
      <c r="AD442" t="s">
        <v>8559</v>
      </c>
      <c r="AE442" t="s">
        <v>8560</v>
      </c>
      <c r="AF442" t="s">
        <v>74</v>
      </c>
      <c r="AG442">
        <v>89</v>
      </c>
      <c r="AH442">
        <v>38</v>
      </c>
      <c r="AI442">
        <v>43</v>
      </c>
      <c r="AJ442">
        <v>0</v>
      </c>
      <c r="AK442">
        <v>25</v>
      </c>
      <c r="AL442" t="s">
        <v>2414</v>
      </c>
      <c r="AM442" t="s">
        <v>2415</v>
      </c>
      <c r="AN442" t="s">
        <v>2416</v>
      </c>
      <c r="AO442" t="s">
        <v>8561</v>
      </c>
      <c r="AP442" t="s">
        <v>8562</v>
      </c>
      <c r="AQ442" t="s">
        <v>74</v>
      </c>
      <c r="AR442" t="s">
        <v>8563</v>
      </c>
      <c r="AS442" t="s">
        <v>8564</v>
      </c>
      <c r="AT442" t="s">
        <v>6892</v>
      </c>
      <c r="AU442">
        <v>2012</v>
      </c>
      <c r="AV442">
        <v>12</v>
      </c>
      <c r="AW442">
        <v>1</v>
      </c>
      <c r="AX442" t="s">
        <v>74</v>
      </c>
      <c r="AY442" t="s">
        <v>74</v>
      </c>
      <c r="AZ442" t="s">
        <v>74</v>
      </c>
      <c r="BA442" t="s">
        <v>74</v>
      </c>
      <c r="BB442">
        <v>17</v>
      </c>
      <c r="BC442">
        <v>37</v>
      </c>
      <c r="BD442" t="s">
        <v>74</v>
      </c>
      <c r="BE442" t="s">
        <v>8565</v>
      </c>
      <c r="BF442" t="str">
        <f>HYPERLINK("http://dx.doi.org/10.1007/s13127-011-0066-y","http://dx.doi.org/10.1007/s13127-011-0066-y")</f>
        <v>http://dx.doi.org/10.1007/s13127-011-0066-y</v>
      </c>
      <c r="BG442" t="s">
        <v>74</v>
      </c>
      <c r="BH442" t="s">
        <v>74</v>
      </c>
      <c r="BI442">
        <v>21</v>
      </c>
      <c r="BJ442" t="s">
        <v>8566</v>
      </c>
      <c r="BK442" t="s">
        <v>99</v>
      </c>
      <c r="BL442" t="s">
        <v>8566</v>
      </c>
      <c r="BM442" t="s">
        <v>8567</v>
      </c>
      <c r="BN442" t="s">
        <v>74</v>
      </c>
      <c r="BO442" t="s">
        <v>74</v>
      </c>
      <c r="BP442" t="s">
        <v>74</v>
      </c>
      <c r="BQ442" t="s">
        <v>74</v>
      </c>
      <c r="BR442" t="s">
        <v>101</v>
      </c>
      <c r="BS442" t="s">
        <v>8568</v>
      </c>
      <c r="BT442" t="str">
        <f>HYPERLINK("https%3A%2F%2Fwww.webofscience.com%2Fwos%2Fwoscc%2Ffull-record%2FWOS:000305527700002","View Full Record in Web of Science")</f>
        <v>View Full Record in Web of Science</v>
      </c>
    </row>
    <row r="443" spans="1:72" x14ac:dyDescent="0.15">
      <c r="A443" t="s">
        <v>72</v>
      </c>
      <c r="B443" t="s">
        <v>8569</v>
      </c>
      <c r="C443" t="s">
        <v>74</v>
      </c>
      <c r="D443" t="s">
        <v>74</v>
      </c>
      <c r="E443" t="s">
        <v>74</v>
      </c>
      <c r="F443" t="s">
        <v>8570</v>
      </c>
      <c r="G443" t="s">
        <v>74</v>
      </c>
      <c r="H443" t="s">
        <v>74</v>
      </c>
      <c r="I443" t="s">
        <v>8571</v>
      </c>
      <c r="J443" t="s">
        <v>8572</v>
      </c>
      <c r="K443" t="s">
        <v>74</v>
      </c>
      <c r="L443" t="s">
        <v>74</v>
      </c>
      <c r="M443" t="s">
        <v>78</v>
      </c>
      <c r="N443" t="s">
        <v>79</v>
      </c>
      <c r="O443" t="s">
        <v>74</v>
      </c>
      <c r="P443" t="s">
        <v>74</v>
      </c>
      <c r="Q443" t="s">
        <v>74</v>
      </c>
      <c r="R443" t="s">
        <v>74</v>
      </c>
      <c r="S443" t="s">
        <v>74</v>
      </c>
      <c r="T443" t="s">
        <v>8573</v>
      </c>
      <c r="U443" t="s">
        <v>8574</v>
      </c>
      <c r="V443" t="s">
        <v>8575</v>
      </c>
      <c r="W443" t="s">
        <v>8576</v>
      </c>
      <c r="X443" t="s">
        <v>8577</v>
      </c>
      <c r="Y443" t="s">
        <v>8578</v>
      </c>
      <c r="Z443" t="s">
        <v>8579</v>
      </c>
      <c r="AA443" t="s">
        <v>8580</v>
      </c>
      <c r="AB443" t="s">
        <v>74</v>
      </c>
      <c r="AC443" t="s">
        <v>8581</v>
      </c>
      <c r="AD443" t="s">
        <v>2291</v>
      </c>
      <c r="AE443" t="s">
        <v>74</v>
      </c>
      <c r="AF443" t="s">
        <v>74</v>
      </c>
      <c r="AG443">
        <v>76</v>
      </c>
      <c r="AH443">
        <v>6</v>
      </c>
      <c r="AI443">
        <v>6</v>
      </c>
      <c r="AJ443">
        <v>0</v>
      </c>
      <c r="AK443">
        <v>1</v>
      </c>
      <c r="AL443" t="s">
        <v>3895</v>
      </c>
      <c r="AM443" t="s">
        <v>628</v>
      </c>
      <c r="AN443" t="s">
        <v>629</v>
      </c>
      <c r="AO443" t="s">
        <v>8582</v>
      </c>
      <c r="AP443" t="s">
        <v>8583</v>
      </c>
      <c r="AQ443" t="s">
        <v>74</v>
      </c>
      <c r="AR443" t="s">
        <v>8572</v>
      </c>
      <c r="AS443" t="s">
        <v>5138</v>
      </c>
      <c r="AT443" t="s">
        <v>6892</v>
      </c>
      <c r="AU443">
        <v>2012</v>
      </c>
      <c r="AV443">
        <v>55</v>
      </c>
      <c r="AW443" t="s">
        <v>74</v>
      </c>
      <c r="AX443">
        <v>2</v>
      </c>
      <c r="AY443" t="s">
        <v>74</v>
      </c>
      <c r="AZ443" t="s">
        <v>74</v>
      </c>
      <c r="BA443" t="s">
        <v>74</v>
      </c>
      <c r="BB443">
        <v>305</v>
      </c>
      <c r="BC443">
        <v>324</v>
      </c>
      <c r="BD443" t="s">
        <v>74</v>
      </c>
      <c r="BE443" t="s">
        <v>8584</v>
      </c>
      <c r="BF443" t="str">
        <f>HYPERLINK("http://dx.doi.org/10.1111/j.1475-4983.2012.01129.x","http://dx.doi.org/10.1111/j.1475-4983.2012.01129.x")</f>
        <v>http://dx.doi.org/10.1111/j.1475-4983.2012.01129.x</v>
      </c>
      <c r="BG443" t="s">
        <v>74</v>
      </c>
      <c r="BH443" t="s">
        <v>74</v>
      </c>
      <c r="BI443">
        <v>20</v>
      </c>
      <c r="BJ443" t="s">
        <v>5138</v>
      </c>
      <c r="BK443" t="s">
        <v>99</v>
      </c>
      <c r="BL443" t="s">
        <v>5138</v>
      </c>
      <c r="BM443" t="s">
        <v>8585</v>
      </c>
      <c r="BN443" t="s">
        <v>74</v>
      </c>
      <c r="BO443" t="s">
        <v>217</v>
      </c>
      <c r="BP443" t="s">
        <v>74</v>
      </c>
      <c r="BQ443" t="s">
        <v>74</v>
      </c>
      <c r="BR443" t="s">
        <v>101</v>
      </c>
      <c r="BS443" t="s">
        <v>8586</v>
      </c>
      <c r="BT443" t="str">
        <f>HYPERLINK("https%3A%2F%2Fwww.webofscience.com%2Fwos%2Fwoscc%2Ffull-record%2FWOS:000301434100005","View Full Record in Web of Science")</f>
        <v>View Full Record in Web of Science</v>
      </c>
    </row>
    <row r="444" spans="1:72" x14ac:dyDescent="0.15">
      <c r="A444" t="s">
        <v>72</v>
      </c>
      <c r="B444" t="s">
        <v>8587</v>
      </c>
      <c r="C444" t="s">
        <v>74</v>
      </c>
      <c r="D444" t="s">
        <v>74</v>
      </c>
      <c r="E444" t="s">
        <v>74</v>
      </c>
      <c r="F444" t="s">
        <v>8588</v>
      </c>
      <c r="G444" t="s">
        <v>74</v>
      </c>
      <c r="H444" t="s">
        <v>74</v>
      </c>
      <c r="I444" t="s">
        <v>8589</v>
      </c>
      <c r="J444" t="s">
        <v>8590</v>
      </c>
      <c r="K444" t="s">
        <v>74</v>
      </c>
      <c r="L444" t="s">
        <v>74</v>
      </c>
      <c r="M444" t="s">
        <v>78</v>
      </c>
      <c r="N444" t="s">
        <v>79</v>
      </c>
      <c r="O444" t="s">
        <v>74</v>
      </c>
      <c r="P444" t="s">
        <v>74</v>
      </c>
      <c r="Q444" t="s">
        <v>74</v>
      </c>
      <c r="R444" t="s">
        <v>74</v>
      </c>
      <c r="S444" t="s">
        <v>74</v>
      </c>
      <c r="T444" t="s">
        <v>8591</v>
      </c>
      <c r="U444" t="s">
        <v>8592</v>
      </c>
      <c r="V444" t="s">
        <v>8593</v>
      </c>
      <c r="W444" t="s">
        <v>8594</v>
      </c>
      <c r="X444" t="s">
        <v>8595</v>
      </c>
      <c r="Y444" t="s">
        <v>8596</v>
      </c>
      <c r="Z444" t="s">
        <v>8597</v>
      </c>
      <c r="AA444" t="s">
        <v>8598</v>
      </c>
      <c r="AB444" t="s">
        <v>8599</v>
      </c>
      <c r="AC444" t="s">
        <v>8600</v>
      </c>
      <c r="AD444" t="s">
        <v>8601</v>
      </c>
      <c r="AE444" t="s">
        <v>8602</v>
      </c>
      <c r="AF444" t="s">
        <v>74</v>
      </c>
      <c r="AG444">
        <v>38</v>
      </c>
      <c r="AH444">
        <v>46</v>
      </c>
      <c r="AI444">
        <v>47</v>
      </c>
      <c r="AJ444">
        <v>2</v>
      </c>
      <c r="AK444">
        <v>47</v>
      </c>
      <c r="AL444" t="s">
        <v>277</v>
      </c>
      <c r="AM444" t="s">
        <v>278</v>
      </c>
      <c r="AN444" t="s">
        <v>279</v>
      </c>
      <c r="AO444" t="s">
        <v>8603</v>
      </c>
      <c r="AP444" t="s">
        <v>74</v>
      </c>
      <c r="AQ444" t="s">
        <v>74</v>
      </c>
      <c r="AR444" t="s">
        <v>8604</v>
      </c>
      <c r="AS444" t="s">
        <v>8605</v>
      </c>
      <c r="AT444" t="s">
        <v>6892</v>
      </c>
      <c r="AU444">
        <v>2012</v>
      </c>
      <c r="AV444">
        <v>62</v>
      </c>
      <c r="AW444">
        <v>1</v>
      </c>
      <c r="AX444" t="s">
        <v>74</v>
      </c>
      <c r="AY444" t="s">
        <v>74</v>
      </c>
      <c r="AZ444" t="s">
        <v>74</v>
      </c>
      <c r="BA444" t="s">
        <v>74</v>
      </c>
      <c r="BB444">
        <v>48</v>
      </c>
      <c r="BC444">
        <v>54</v>
      </c>
      <c r="BD444" t="s">
        <v>74</v>
      </c>
      <c r="BE444" t="s">
        <v>8606</v>
      </c>
      <c r="BF444" t="str">
        <f>HYPERLINK("http://dx.doi.org/10.1016/j.pss.2011.12.006","http://dx.doi.org/10.1016/j.pss.2011.12.006")</f>
        <v>http://dx.doi.org/10.1016/j.pss.2011.12.006</v>
      </c>
      <c r="BG444" t="s">
        <v>74</v>
      </c>
      <c r="BH444" t="s">
        <v>74</v>
      </c>
      <c r="BI444">
        <v>7</v>
      </c>
      <c r="BJ444" t="s">
        <v>438</v>
      </c>
      <c r="BK444" t="s">
        <v>99</v>
      </c>
      <c r="BL444" t="s">
        <v>438</v>
      </c>
      <c r="BM444" t="s">
        <v>8607</v>
      </c>
      <c r="BN444" t="s">
        <v>74</v>
      </c>
      <c r="BO444" t="s">
        <v>328</v>
      </c>
      <c r="BP444" t="s">
        <v>74</v>
      </c>
      <c r="BQ444" t="s">
        <v>74</v>
      </c>
      <c r="BR444" t="s">
        <v>101</v>
      </c>
      <c r="BS444" t="s">
        <v>8608</v>
      </c>
      <c r="BT444" t="str">
        <f>HYPERLINK("https%3A%2F%2Fwww.webofscience.com%2Fwos%2Fwoscc%2Ffull-record%2FWOS:000301469500006","View Full Record in Web of Science")</f>
        <v>View Full Record in Web of Science</v>
      </c>
    </row>
    <row r="445" spans="1:72" x14ac:dyDescent="0.15">
      <c r="A445" t="s">
        <v>72</v>
      </c>
      <c r="B445" t="s">
        <v>8609</v>
      </c>
      <c r="C445" t="s">
        <v>74</v>
      </c>
      <c r="D445" t="s">
        <v>74</v>
      </c>
      <c r="E445" t="s">
        <v>74</v>
      </c>
      <c r="F445" t="s">
        <v>8610</v>
      </c>
      <c r="G445" t="s">
        <v>74</v>
      </c>
      <c r="H445" t="s">
        <v>74</v>
      </c>
      <c r="I445" t="s">
        <v>8611</v>
      </c>
      <c r="J445" t="s">
        <v>502</v>
      </c>
      <c r="K445" t="s">
        <v>74</v>
      </c>
      <c r="L445" t="s">
        <v>74</v>
      </c>
      <c r="M445" t="s">
        <v>78</v>
      </c>
      <c r="N445" t="s">
        <v>79</v>
      </c>
      <c r="O445" t="s">
        <v>74</v>
      </c>
      <c r="P445" t="s">
        <v>74</v>
      </c>
      <c r="Q445" t="s">
        <v>74</v>
      </c>
      <c r="R445" t="s">
        <v>74</v>
      </c>
      <c r="S445" t="s">
        <v>74</v>
      </c>
      <c r="T445" t="s">
        <v>74</v>
      </c>
      <c r="U445" t="s">
        <v>8612</v>
      </c>
      <c r="V445" t="s">
        <v>8613</v>
      </c>
      <c r="W445" t="s">
        <v>8614</v>
      </c>
      <c r="X445" t="s">
        <v>8615</v>
      </c>
      <c r="Y445" t="s">
        <v>8616</v>
      </c>
      <c r="Z445" t="s">
        <v>8617</v>
      </c>
      <c r="AA445" t="s">
        <v>8618</v>
      </c>
      <c r="AB445" t="s">
        <v>8619</v>
      </c>
      <c r="AC445" t="s">
        <v>8620</v>
      </c>
      <c r="AD445" t="s">
        <v>8621</v>
      </c>
      <c r="AE445" t="s">
        <v>8622</v>
      </c>
      <c r="AF445" t="s">
        <v>74</v>
      </c>
      <c r="AG445">
        <v>36</v>
      </c>
      <c r="AH445">
        <v>13</v>
      </c>
      <c r="AI445">
        <v>13</v>
      </c>
      <c r="AJ445">
        <v>0</v>
      </c>
      <c r="AK445">
        <v>7</v>
      </c>
      <c r="AL445" t="s">
        <v>513</v>
      </c>
      <c r="AM445" t="s">
        <v>514</v>
      </c>
      <c r="AN445" t="s">
        <v>515</v>
      </c>
      <c r="AO445" t="s">
        <v>516</v>
      </c>
      <c r="AP445" t="s">
        <v>74</v>
      </c>
      <c r="AQ445" t="s">
        <v>74</v>
      </c>
      <c r="AR445" t="s">
        <v>502</v>
      </c>
      <c r="AS445" t="s">
        <v>517</v>
      </c>
      <c r="AT445" t="s">
        <v>6991</v>
      </c>
      <c r="AU445">
        <v>2012</v>
      </c>
      <c r="AV445">
        <v>7</v>
      </c>
      <c r="AW445">
        <v>3</v>
      </c>
      <c r="AX445" t="s">
        <v>74</v>
      </c>
      <c r="AY445" t="s">
        <v>74</v>
      </c>
      <c r="AZ445" t="s">
        <v>74</v>
      </c>
      <c r="BA445" t="s">
        <v>74</v>
      </c>
      <c r="BB445" t="s">
        <v>74</v>
      </c>
      <c r="BC445" t="s">
        <v>74</v>
      </c>
      <c r="BD445" t="s">
        <v>8623</v>
      </c>
      <c r="BE445" t="s">
        <v>8624</v>
      </c>
      <c r="BF445" t="str">
        <f>HYPERLINK("http://dx.doi.org/10.1371/journal.pone.0032365","http://dx.doi.org/10.1371/journal.pone.0032365")</f>
        <v>http://dx.doi.org/10.1371/journal.pone.0032365</v>
      </c>
      <c r="BG445" t="s">
        <v>74</v>
      </c>
      <c r="BH445" t="s">
        <v>74</v>
      </c>
      <c r="BI445">
        <v>11</v>
      </c>
      <c r="BJ445" t="s">
        <v>153</v>
      </c>
      <c r="BK445" t="s">
        <v>99</v>
      </c>
      <c r="BL445" t="s">
        <v>154</v>
      </c>
      <c r="BM445" t="s">
        <v>8625</v>
      </c>
      <c r="BN445">
        <v>22396761</v>
      </c>
      <c r="BO445" t="s">
        <v>8626</v>
      </c>
      <c r="BP445" t="s">
        <v>74</v>
      </c>
      <c r="BQ445" t="s">
        <v>74</v>
      </c>
      <c r="BR445" t="s">
        <v>101</v>
      </c>
      <c r="BS445" t="s">
        <v>8627</v>
      </c>
      <c r="BT445" t="str">
        <f>HYPERLINK("https%3A%2F%2Fwww.webofscience.com%2Fwos%2Fwoscc%2Ffull-record%2FWOS:000303005000023","View Full Record in Web of Science")</f>
        <v>View Full Record in Web of Science</v>
      </c>
    </row>
    <row r="446" spans="1:72" x14ac:dyDescent="0.15">
      <c r="A446" t="s">
        <v>72</v>
      </c>
      <c r="B446" t="s">
        <v>8628</v>
      </c>
      <c r="C446" t="s">
        <v>74</v>
      </c>
      <c r="D446" t="s">
        <v>74</v>
      </c>
      <c r="E446" t="s">
        <v>74</v>
      </c>
      <c r="F446" t="s">
        <v>8629</v>
      </c>
      <c r="G446" t="s">
        <v>74</v>
      </c>
      <c r="H446" t="s">
        <v>74</v>
      </c>
      <c r="I446" t="s">
        <v>8630</v>
      </c>
      <c r="J446" t="s">
        <v>2303</v>
      </c>
      <c r="K446" t="s">
        <v>74</v>
      </c>
      <c r="L446" t="s">
        <v>74</v>
      </c>
      <c r="M446" t="s">
        <v>78</v>
      </c>
      <c r="N446" t="s">
        <v>79</v>
      </c>
      <c r="O446" t="s">
        <v>74</v>
      </c>
      <c r="P446" t="s">
        <v>74</v>
      </c>
      <c r="Q446" t="s">
        <v>74</v>
      </c>
      <c r="R446" t="s">
        <v>74</v>
      </c>
      <c r="S446" t="s">
        <v>74</v>
      </c>
      <c r="T446" t="s">
        <v>8631</v>
      </c>
      <c r="U446" t="s">
        <v>8632</v>
      </c>
      <c r="V446" t="s">
        <v>8633</v>
      </c>
      <c r="W446" t="s">
        <v>8634</v>
      </c>
      <c r="X446" t="s">
        <v>8635</v>
      </c>
      <c r="Y446" t="s">
        <v>8636</v>
      </c>
      <c r="Z446" t="s">
        <v>8637</v>
      </c>
      <c r="AA446" t="s">
        <v>8638</v>
      </c>
      <c r="AB446" t="s">
        <v>8639</v>
      </c>
      <c r="AC446" t="s">
        <v>8640</v>
      </c>
      <c r="AD446" t="s">
        <v>8641</v>
      </c>
      <c r="AE446" t="s">
        <v>8642</v>
      </c>
      <c r="AF446" t="s">
        <v>74</v>
      </c>
      <c r="AG446">
        <v>67</v>
      </c>
      <c r="AH446">
        <v>40</v>
      </c>
      <c r="AI446">
        <v>40</v>
      </c>
      <c r="AJ446">
        <v>0</v>
      </c>
      <c r="AK446">
        <v>24</v>
      </c>
      <c r="AL446" t="s">
        <v>655</v>
      </c>
      <c r="AM446" t="s">
        <v>656</v>
      </c>
      <c r="AN446" t="s">
        <v>657</v>
      </c>
      <c r="AO446" t="s">
        <v>2316</v>
      </c>
      <c r="AP446" t="s">
        <v>2338</v>
      </c>
      <c r="AQ446" t="s">
        <v>74</v>
      </c>
      <c r="AR446" t="s">
        <v>2317</v>
      </c>
      <c r="AS446" t="s">
        <v>2318</v>
      </c>
      <c r="AT446" t="s">
        <v>6892</v>
      </c>
      <c r="AU446">
        <v>2012</v>
      </c>
      <c r="AV446">
        <v>35</v>
      </c>
      <c r="AW446">
        <v>3</v>
      </c>
      <c r="AX446" t="s">
        <v>74</v>
      </c>
      <c r="AY446" t="s">
        <v>74</v>
      </c>
      <c r="AZ446" t="s">
        <v>74</v>
      </c>
      <c r="BA446" t="s">
        <v>74</v>
      </c>
      <c r="BB446">
        <v>355</v>
      </c>
      <c r="BC446">
        <v>367</v>
      </c>
      <c r="BD446" t="s">
        <v>74</v>
      </c>
      <c r="BE446" t="s">
        <v>8643</v>
      </c>
      <c r="BF446" t="str">
        <f>HYPERLINK("http://dx.doi.org/10.1007/s00300-011-1081-3","http://dx.doi.org/10.1007/s00300-011-1081-3")</f>
        <v>http://dx.doi.org/10.1007/s00300-011-1081-3</v>
      </c>
      <c r="BG446" t="s">
        <v>74</v>
      </c>
      <c r="BH446" t="s">
        <v>74</v>
      </c>
      <c r="BI446">
        <v>13</v>
      </c>
      <c r="BJ446" t="s">
        <v>2320</v>
      </c>
      <c r="BK446" t="s">
        <v>99</v>
      </c>
      <c r="BL446" t="s">
        <v>1784</v>
      </c>
      <c r="BM446" t="s">
        <v>7593</v>
      </c>
      <c r="BN446" t="s">
        <v>74</v>
      </c>
      <c r="BO446" t="s">
        <v>1094</v>
      </c>
      <c r="BP446" t="s">
        <v>74</v>
      </c>
      <c r="BQ446" t="s">
        <v>74</v>
      </c>
      <c r="BR446" t="s">
        <v>101</v>
      </c>
      <c r="BS446" t="s">
        <v>8644</v>
      </c>
      <c r="BT446" t="str">
        <f>HYPERLINK("https%3A%2F%2Fwww.webofscience.com%2Fwos%2Fwoscc%2Ffull-record%2FWOS:000301452600004","View Full Record in Web of Science")</f>
        <v>View Full Record in Web of Science</v>
      </c>
    </row>
    <row r="447" spans="1:72" x14ac:dyDescent="0.15">
      <c r="A447" t="s">
        <v>72</v>
      </c>
      <c r="B447" t="s">
        <v>8645</v>
      </c>
      <c r="C447" t="s">
        <v>74</v>
      </c>
      <c r="D447" t="s">
        <v>74</v>
      </c>
      <c r="E447" t="s">
        <v>74</v>
      </c>
      <c r="F447" t="s">
        <v>8646</v>
      </c>
      <c r="G447" t="s">
        <v>74</v>
      </c>
      <c r="H447" t="s">
        <v>74</v>
      </c>
      <c r="I447" t="s">
        <v>8647</v>
      </c>
      <c r="J447" t="s">
        <v>2303</v>
      </c>
      <c r="K447" t="s">
        <v>74</v>
      </c>
      <c r="L447" t="s">
        <v>74</v>
      </c>
      <c r="M447" t="s">
        <v>78</v>
      </c>
      <c r="N447" t="s">
        <v>79</v>
      </c>
      <c r="O447" t="s">
        <v>74</v>
      </c>
      <c r="P447" t="s">
        <v>74</v>
      </c>
      <c r="Q447" t="s">
        <v>74</v>
      </c>
      <c r="R447" t="s">
        <v>74</v>
      </c>
      <c r="S447" t="s">
        <v>74</v>
      </c>
      <c r="T447" t="s">
        <v>8648</v>
      </c>
      <c r="U447" t="s">
        <v>8649</v>
      </c>
      <c r="V447" t="s">
        <v>8650</v>
      </c>
      <c r="W447" t="s">
        <v>8651</v>
      </c>
      <c r="X447" t="s">
        <v>8652</v>
      </c>
      <c r="Y447" t="s">
        <v>8653</v>
      </c>
      <c r="Z447" t="s">
        <v>8654</v>
      </c>
      <c r="AA447" t="s">
        <v>8655</v>
      </c>
      <c r="AB447" t="s">
        <v>8656</v>
      </c>
      <c r="AC447" t="s">
        <v>8657</v>
      </c>
      <c r="AD447" t="s">
        <v>1862</v>
      </c>
      <c r="AE447" t="s">
        <v>74</v>
      </c>
      <c r="AF447" t="s">
        <v>74</v>
      </c>
      <c r="AG447">
        <v>77</v>
      </c>
      <c r="AH447">
        <v>38</v>
      </c>
      <c r="AI447">
        <v>48</v>
      </c>
      <c r="AJ447">
        <v>1</v>
      </c>
      <c r="AK447">
        <v>36</v>
      </c>
      <c r="AL447" t="s">
        <v>655</v>
      </c>
      <c r="AM447" t="s">
        <v>656</v>
      </c>
      <c r="AN447" t="s">
        <v>1908</v>
      </c>
      <c r="AO447" t="s">
        <v>2316</v>
      </c>
      <c r="AP447" t="s">
        <v>2338</v>
      </c>
      <c r="AQ447" t="s">
        <v>74</v>
      </c>
      <c r="AR447" t="s">
        <v>2317</v>
      </c>
      <c r="AS447" t="s">
        <v>2318</v>
      </c>
      <c r="AT447" t="s">
        <v>6892</v>
      </c>
      <c r="AU447">
        <v>2012</v>
      </c>
      <c r="AV447">
        <v>35</v>
      </c>
      <c r="AW447">
        <v>3</v>
      </c>
      <c r="AX447" t="s">
        <v>74</v>
      </c>
      <c r="AY447" t="s">
        <v>74</v>
      </c>
      <c r="AZ447" t="s">
        <v>74</v>
      </c>
      <c r="BA447" t="s">
        <v>74</v>
      </c>
      <c r="BB447">
        <v>387</v>
      </c>
      <c r="BC447">
        <v>399</v>
      </c>
      <c r="BD447" t="s">
        <v>74</v>
      </c>
      <c r="BE447" t="s">
        <v>8658</v>
      </c>
      <c r="BF447" t="str">
        <f>HYPERLINK("http://dx.doi.org/10.1007/s00300-011-1084-0","http://dx.doi.org/10.1007/s00300-011-1084-0")</f>
        <v>http://dx.doi.org/10.1007/s00300-011-1084-0</v>
      </c>
      <c r="BG447" t="s">
        <v>74</v>
      </c>
      <c r="BH447" t="s">
        <v>74</v>
      </c>
      <c r="BI447">
        <v>13</v>
      </c>
      <c r="BJ447" t="s">
        <v>2320</v>
      </c>
      <c r="BK447" t="s">
        <v>99</v>
      </c>
      <c r="BL447" t="s">
        <v>1784</v>
      </c>
      <c r="BM447" t="s">
        <v>7593</v>
      </c>
      <c r="BN447" t="s">
        <v>74</v>
      </c>
      <c r="BO447" t="s">
        <v>74</v>
      </c>
      <c r="BP447" t="s">
        <v>74</v>
      </c>
      <c r="BQ447" t="s">
        <v>74</v>
      </c>
      <c r="BR447" t="s">
        <v>101</v>
      </c>
      <c r="BS447" t="s">
        <v>8659</v>
      </c>
      <c r="BT447" t="str">
        <f>HYPERLINK("https%3A%2F%2Fwww.webofscience.com%2Fwos%2Fwoscc%2Ffull-record%2FWOS:000301452600006","View Full Record in Web of Science")</f>
        <v>View Full Record in Web of Science</v>
      </c>
    </row>
    <row r="448" spans="1:72" x14ac:dyDescent="0.15">
      <c r="A448" t="s">
        <v>72</v>
      </c>
      <c r="B448" t="s">
        <v>8660</v>
      </c>
      <c r="C448" t="s">
        <v>74</v>
      </c>
      <c r="D448" t="s">
        <v>74</v>
      </c>
      <c r="E448" t="s">
        <v>74</v>
      </c>
      <c r="F448" t="s">
        <v>8661</v>
      </c>
      <c r="G448" t="s">
        <v>74</v>
      </c>
      <c r="H448" t="s">
        <v>74</v>
      </c>
      <c r="I448" t="s">
        <v>8662</v>
      </c>
      <c r="J448" t="s">
        <v>2303</v>
      </c>
      <c r="K448" t="s">
        <v>74</v>
      </c>
      <c r="L448" t="s">
        <v>74</v>
      </c>
      <c r="M448" t="s">
        <v>78</v>
      </c>
      <c r="N448" t="s">
        <v>79</v>
      </c>
      <c r="O448" t="s">
        <v>74</v>
      </c>
      <c r="P448" t="s">
        <v>74</v>
      </c>
      <c r="Q448" t="s">
        <v>74</v>
      </c>
      <c r="R448" t="s">
        <v>74</v>
      </c>
      <c r="S448" t="s">
        <v>74</v>
      </c>
      <c r="T448" t="s">
        <v>8663</v>
      </c>
      <c r="U448" t="s">
        <v>8664</v>
      </c>
      <c r="V448" t="s">
        <v>8665</v>
      </c>
      <c r="W448" t="s">
        <v>8666</v>
      </c>
      <c r="X448" t="s">
        <v>8667</v>
      </c>
      <c r="Y448" t="s">
        <v>8668</v>
      </c>
      <c r="Z448" t="s">
        <v>8669</v>
      </c>
      <c r="AA448" t="s">
        <v>8670</v>
      </c>
      <c r="AB448" t="s">
        <v>8671</v>
      </c>
      <c r="AC448" t="s">
        <v>8672</v>
      </c>
      <c r="AD448" t="s">
        <v>8673</v>
      </c>
      <c r="AE448" t="s">
        <v>8674</v>
      </c>
      <c r="AF448" t="s">
        <v>74</v>
      </c>
      <c r="AG448">
        <v>44</v>
      </c>
      <c r="AH448">
        <v>30</v>
      </c>
      <c r="AI448">
        <v>35</v>
      </c>
      <c r="AJ448">
        <v>0</v>
      </c>
      <c r="AK448">
        <v>27</v>
      </c>
      <c r="AL448" t="s">
        <v>655</v>
      </c>
      <c r="AM448" t="s">
        <v>656</v>
      </c>
      <c r="AN448" t="s">
        <v>1908</v>
      </c>
      <c r="AO448" t="s">
        <v>2316</v>
      </c>
      <c r="AP448" t="s">
        <v>2338</v>
      </c>
      <c r="AQ448" t="s">
        <v>74</v>
      </c>
      <c r="AR448" t="s">
        <v>2317</v>
      </c>
      <c r="AS448" t="s">
        <v>2318</v>
      </c>
      <c r="AT448" t="s">
        <v>6892</v>
      </c>
      <c r="AU448">
        <v>2012</v>
      </c>
      <c r="AV448">
        <v>35</v>
      </c>
      <c r="AW448">
        <v>3</v>
      </c>
      <c r="AX448" t="s">
        <v>74</v>
      </c>
      <c r="AY448" t="s">
        <v>74</v>
      </c>
      <c r="AZ448" t="s">
        <v>74</v>
      </c>
      <c r="BA448" t="s">
        <v>74</v>
      </c>
      <c r="BB448">
        <v>425</v>
      </c>
      <c r="BC448">
        <v>433</v>
      </c>
      <c r="BD448" t="s">
        <v>74</v>
      </c>
      <c r="BE448" t="s">
        <v>8675</v>
      </c>
      <c r="BF448" t="str">
        <f>HYPERLINK("http://dx.doi.org/10.1007/s00300-011-1090-2","http://dx.doi.org/10.1007/s00300-011-1090-2")</f>
        <v>http://dx.doi.org/10.1007/s00300-011-1090-2</v>
      </c>
      <c r="BG448" t="s">
        <v>74</v>
      </c>
      <c r="BH448" t="s">
        <v>74</v>
      </c>
      <c r="BI448">
        <v>9</v>
      </c>
      <c r="BJ448" t="s">
        <v>2320</v>
      </c>
      <c r="BK448" t="s">
        <v>99</v>
      </c>
      <c r="BL448" t="s">
        <v>1784</v>
      </c>
      <c r="BM448" t="s">
        <v>7593</v>
      </c>
      <c r="BN448" t="s">
        <v>74</v>
      </c>
      <c r="BO448" t="s">
        <v>1094</v>
      </c>
      <c r="BP448" t="s">
        <v>74</v>
      </c>
      <c r="BQ448" t="s">
        <v>74</v>
      </c>
      <c r="BR448" t="s">
        <v>101</v>
      </c>
      <c r="BS448" t="s">
        <v>8676</v>
      </c>
      <c r="BT448" t="str">
        <f>HYPERLINK("https%3A%2F%2Fwww.webofscience.com%2Fwos%2Fwoscc%2Ffull-record%2FWOS:000301452600009","View Full Record in Web of Science")</f>
        <v>View Full Record in Web of Science</v>
      </c>
    </row>
    <row r="449" spans="1:72" x14ac:dyDescent="0.15">
      <c r="A449" t="s">
        <v>72</v>
      </c>
      <c r="B449" t="s">
        <v>8677</v>
      </c>
      <c r="C449" t="s">
        <v>74</v>
      </c>
      <c r="D449" t="s">
        <v>74</v>
      </c>
      <c r="E449" t="s">
        <v>74</v>
      </c>
      <c r="F449" t="s">
        <v>8678</v>
      </c>
      <c r="G449" t="s">
        <v>74</v>
      </c>
      <c r="H449" t="s">
        <v>74</v>
      </c>
      <c r="I449" t="s">
        <v>8679</v>
      </c>
      <c r="J449" t="s">
        <v>8680</v>
      </c>
      <c r="K449" t="s">
        <v>74</v>
      </c>
      <c r="L449" t="s">
        <v>74</v>
      </c>
      <c r="M449" t="s">
        <v>78</v>
      </c>
      <c r="N449" t="s">
        <v>79</v>
      </c>
      <c r="O449" t="s">
        <v>74</v>
      </c>
      <c r="P449" t="s">
        <v>74</v>
      </c>
      <c r="Q449" t="s">
        <v>74</v>
      </c>
      <c r="R449" t="s">
        <v>74</v>
      </c>
      <c r="S449" t="s">
        <v>74</v>
      </c>
      <c r="T449" t="s">
        <v>8681</v>
      </c>
      <c r="U449" t="s">
        <v>8682</v>
      </c>
      <c r="V449" t="s">
        <v>8683</v>
      </c>
      <c r="W449" t="s">
        <v>8684</v>
      </c>
      <c r="X449" t="s">
        <v>8685</v>
      </c>
      <c r="Y449" t="s">
        <v>8686</v>
      </c>
      <c r="Z449" t="s">
        <v>8687</v>
      </c>
      <c r="AA449" t="s">
        <v>74</v>
      </c>
      <c r="AB449" t="s">
        <v>8688</v>
      </c>
      <c r="AC449" t="s">
        <v>8689</v>
      </c>
      <c r="AD449" t="s">
        <v>8690</v>
      </c>
      <c r="AE449" t="s">
        <v>8691</v>
      </c>
      <c r="AF449" t="s">
        <v>74</v>
      </c>
      <c r="AG449">
        <v>48</v>
      </c>
      <c r="AH449">
        <v>3</v>
      </c>
      <c r="AI449">
        <v>4</v>
      </c>
      <c r="AJ449">
        <v>0</v>
      </c>
      <c r="AK449">
        <v>17</v>
      </c>
      <c r="AL449" t="s">
        <v>627</v>
      </c>
      <c r="AM449" t="s">
        <v>628</v>
      </c>
      <c r="AN449" t="s">
        <v>629</v>
      </c>
      <c r="AO449" t="s">
        <v>8692</v>
      </c>
      <c r="AP449" t="s">
        <v>8693</v>
      </c>
      <c r="AQ449" t="s">
        <v>74</v>
      </c>
      <c r="AR449" t="s">
        <v>8680</v>
      </c>
      <c r="AS449" t="s">
        <v>8694</v>
      </c>
      <c r="AT449" t="s">
        <v>6892</v>
      </c>
      <c r="AU449">
        <v>2012</v>
      </c>
      <c r="AV449">
        <v>12</v>
      </c>
      <c r="AW449">
        <v>6</v>
      </c>
      <c r="AX449" t="s">
        <v>74</v>
      </c>
      <c r="AY449" t="s">
        <v>74</v>
      </c>
      <c r="AZ449" t="s">
        <v>74</v>
      </c>
      <c r="BA449" t="s">
        <v>74</v>
      </c>
      <c r="BB449">
        <v>775</v>
      </c>
      <c r="BC449">
        <v>789</v>
      </c>
      <c r="BD449" t="s">
        <v>74</v>
      </c>
      <c r="BE449" t="s">
        <v>8695</v>
      </c>
      <c r="BF449" t="str">
        <f>HYPERLINK("http://dx.doi.org/10.1002/pmic.201100159","http://dx.doi.org/10.1002/pmic.201100159")</f>
        <v>http://dx.doi.org/10.1002/pmic.201100159</v>
      </c>
      <c r="BG449" t="s">
        <v>74</v>
      </c>
      <c r="BH449" t="s">
        <v>74</v>
      </c>
      <c r="BI449">
        <v>15</v>
      </c>
      <c r="BJ449" t="s">
        <v>8696</v>
      </c>
      <c r="BK449" t="s">
        <v>99</v>
      </c>
      <c r="BL449" t="s">
        <v>2524</v>
      </c>
      <c r="BM449" t="s">
        <v>8697</v>
      </c>
      <c r="BN449">
        <v>22539428</v>
      </c>
      <c r="BO449" t="s">
        <v>74</v>
      </c>
      <c r="BP449" t="s">
        <v>74</v>
      </c>
      <c r="BQ449" t="s">
        <v>74</v>
      </c>
      <c r="BR449" t="s">
        <v>101</v>
      </c>
      <c r="BS449" t="s">
        <v>8698</v>
      </c>
      <c r="BT449" t="str">
        <f>HYPERLINK("https%3A%2F%2Fwww.webofscience.com%2Fwos%2Fwoscc%2Ffull-record%2FWOS:000303232800004","View Full Record in Web of Science")</f>
        <v>View Full Record in Web of Science</v>
      </c>
    </row>
    <row r="450" spans="1:72" x14ac:dyDescent="0.15">
      <c r="A450" t="s">
        <v>72</v>
      </c>
      <c r="B450" t="s">
        <v>8699</v>
      </c>
      <c r="C450" t="s">
        <v>74</v>
      </c>
      <c r="D450" t="s">
        <v>74</v>
      </c>
      <c r="E450" t="s">
        <v>74</v>
      </c>
      <c r="F450" t="s">
        <v>8700</v>
      </c>
      <c r="G450" t="s">
        <v>74</v>
      </c>
      <c r="H450" t="s">
        <v>74</v>
      </c>
      <c r="I450" t="s">
        <v>8701</v>
      </c>
      <c r="J450" t="s">
        <v>8702</v>
      </c>
      <c r="K450" t="s">
        <v>74</v>
      </c>
      <c r="L450" t="s">
        <v>74</v>
      </c>
      <c r="M450" t="s">
        <v>78</v>
      </c>
      <c r="N450" t="s">
        <v>79</v>
      </c>
      <c r="O450" t="s">
        <v>74</v>
      </c>
      <c r="P450" t="s">
        <v>74</v>
      </c>
      <c r="Q450" t="s">
        <v>74</v>
      </c>
      <c r="R450" t="s">
        <v>74</v>
      </c>
      <c r="S450" t="s">
        <v>74</v>
      </c>
      <c r="T450" t="s">
        <v>8703</v>
      </c>
      <c r="U450" t="s">
        <v>8704</v>
      </c>
      <c r="V450" t="s">
        <v>8705</v>
      </c>
      <c r="W450" t="s">
        <v>8706</v>
      </c>
      <c r="X450" t="s">
        <v>8707</v>
      </c>
      <c r="Y450" t="s">
        <v>8708</v>
      </c>
      <c r="Z450" t="s">
        <v>8709</v>
      </c>
      <c r="AA450" t="s">
        <v>8710</v>
      </c>
      <c r="AB450" t="s">
        <v>8711</v>
      </c>
      <c r="AC450" t="s">
        <v>8712</v>
      </c>
      <c r="AD450" t="s">
        <v>8713</v>
      </c>
      <c r="AE450" t="s">
        <v>8714</v>
      </c>
      <c r="AF450" t="s">
        <v>74</v>
      </c>
      <c r="AG450">
        <v>44</v>
      </c>
      <c r="AH450">
        <v>13</v>
      </c>
      <c r="AI450">
        <v>13</v>
      </c>
      <c r="AJ450">
        <v>0</v>
      </c>
      <c r="AK450">
        <v>14</v>
      </c>
      <c r="AL450" t="s">
        <v>1111</v>
      </c>
      <c r="AM450" t="s">
        <v>656</v>
      </c>
      <c r="AN450" t="s">
        <v>1209</v>
      </c>
      <c r="AO450" t="s">
        <v>8715</v>
      </c>
      <c r="AP450" t="s">
        <v>8716</v>
      </c>
      <c r="AQ450" t="s">
        <v>74</v>
      </c>
      <c r="AR450" t="s">
        <v>8717</v>
      </c>
      <c r="AS450" t="s">
        <v>8718</v>
      </c>
      <c r="AT450" t="s">
        <v>6892</v>
      </c>
      <c r="AU450">
        <v>2012</v>
      </c>
      <c r="AV450">
        <v>77</v>
      </c>
      <c r="AW450">
        <v>2</v>
      </c>
      <c r="AX450" t="s">
        <v>74</v>
      </c>
      <c r="AY450" t="s">
        <v>74</v>
      </c>
      <c r="AZ450" t="s">
        <v>74</v>
      </c>
      <c r="BA450" t="s">
        <v>74</v>
      </c>
      <c r="BB450">
        <v>273</v>
      </c>
      <c r="BC450">
        <v>280</v>
      </c>
      <c r="BD450" t="s">
        <v>74</v>
      </c>
      <c r="BE450" t="s">
        <v>8719</v>
      </c>
      <c r="BF450" t="str">
        <f>HYPERLINK("http://dx.doi.org/10.1016/j.yqres.2011.11.012","http://dx.doi.org/10.1016/j.yqres.2011.11.012")</f>
        <v>http://dx.doi.org/10.1016/j.yqres.2011.11.012</v>
      </c>
      <c r="BG450" t="s">
        <v>74</v>
      </c>
      <c r="BH450" t="s">
        <v>74</v>
      </c>
      <c r="BI450">
        <v>8</v>
      </c>
      <c r="BJ450" t="s">
        <v>943</v>
      </c>
      <c r="BK450" t="s">
        <v>99</v>
      </c>
      <c r="BL450" t="s">
        <v>944</v>
      </c>
      <c r="BM450" t="s">
        <v>8720</v>
      </c>
      <c r="BN450" t="s">
        <v>74</v>
      </c>
      <c r="BO450" t="s">
        <v>74</v>
      </c>
      <c r="BP450" t="s">
        <v>74</v>
      </c>
      <c r="BQ450" t="s">
        <v>74</v>
      </c>
      <c r="BR450" t="s">
        <v>101</v>
      </c>
      <c r="BS450" t="s">
        <v>8721</v>
      </c>
      <c r="BT450" t="str">
        <f>HYPERLINK("https%3A%2F%2Fwww.webofscience.com%2Fwos%2Fwoscc%2Ffull-record%2FWOS:000301693500008","View Full Record in Web of Science")</f>
        <v>View Full Record in Web of Science</v>
      </c>
    </row>
    <row r="451" spans="1:72" x14ac:dyDescent="0.15">
      <c r="A451" t="s">
        <v>72</v>
      </c>
      <c r="B451" t="s">
        <v>8722</v>
      </c>
      <c r="C451" t="s">
        <v>74</v>
      </c>
      <c r="D451" t="s">
        <v>74</v>
      </c>
      <c r="E451" t="s">
        <v>74</v>
      </c>
      <c r="F451" t="s">
        <v>8723</v>
      </c>
      <c r="G451" t="s">
        <v>74</v>
      </c>
      <c r="H451" t="s">
        <v>74</v>
      </c>
      <c r="I451" t="s">
        <v>8724</v>
      </c>
      <c r="J451" t="s">
        <v>8725</v>
      </c>
      <c r="K451" t="s">
        <v>74</v>
      </c>
      <c r="L451" t="s">
        <v>74</v>
      </c>
      <c r="M451" t="s">
        <v>78</v>
      </c>
      <c r="N451" t="s">
        <v>79</v>
      </c>
      <c r="O451" t="s">
        <v>74</v>
      </c>
      <c r="P451" t="s">
        <v>74</v>
      </c>
      <c r="Q451" t="s">
        <v>74</v>
      </c>
      <c r="R451" t="s">
        <v>74</v>
      </c>
      <c r="S451" t="s">
        <v>74</v>
      </c>
      <c r="T451" t="s">
        <v>8726</v>
      </c>
      <c r="U451" t="s">
        <v>8727</v>
      </c>
      <c r="V451" t="s">
        <v>8728</v>
      </c>
      <c r="W451" t="s">
        <v>8729</v>
      </c>
      <c r="X451" t="s">
        <v>8730</v>
      </c>
      <c r="Y451" t="s">
        <v>8731</v>
      </c>
      <c r="Z451" t="s">
        <v>8732</v>
      </c>
      <c r="AA451" t="s">
        <v>8733</v>
      </c>
      <c r="AB451" t="s">
        <v>8734</v>
      </c>
      <c r="AC451" t="s">
        <v>8735</v>
      </c>
      <c r="AD451" t="s">
        <v>8736</v>
      </c>
      <c r="AE451" t="s">
        <v>8737</v>
      </c>
      <c r="AF451" t="s">
        <v>74</v>
      </c>
      <c r="AG451">
        <v>137</v>
      </c>
      <c r="AH451">
        <v>22</v>
      </c>
      <c r="AI451">
        <v>26</v>
      </c>
      <c r="AJ451">
        <v>1</v>
      </c>
      <c r="AK451">
        <v>18</v>
      </c>
      <c r="AL451" t="s">
        <v>8738</v>
      </c>
      <c r="AM451" t="s">
        <v>8739</v>
      </c>
      <c r="AN451" t="s">
        <v>8740</v>
      </c>
      <c r="AO451" t="s">
        <v>8741</v>
      </c>
      <c r="AP451" t="s">
        <v>74</v>
      </c>
      <c r="AQ451" t="s">
        <v>74</v>
      </c>
      <c r="AR451" t="s">
        <v>8742</v>
      </c>
      <c r="AS451" t="s">
        <v>8743</v>
      </c>
      <c r="AT451" t="s">
        <v>6917</v>
      </c>
      <c r="AU451">
        <v>2012</v>
      </c>
      <c r="AV451">
        <v>21</v>
      </c>
      <c r="AW451">
        <v>2</v>
      </c>
      <c r="AX451" t="s">
        <v>74</v>
      </c>
      <c r="AY451" t="s">
        <v>74</v>
      </c>
      <c r="AZ451" t="s">
        <v>74</v>
      </c>
      <c r="BA451" t="s">
        <v>74</v>
      </c>
      <c r="BB451">
        <v>153</v>
      </c>
      <c r="BC451">
        <v>186</v>
      </c>
      <c r="BD451" t="s">
        <v>74</v>
      </c>
      <c r="BE451" t="s">
        <v>8744</v>
      </c>
      <c r="BF451" t="str">
        <f>HYPERLINK("http://dx.doi.org/10.3906/yer-1005-29","http://dx.doi.org/10.3906/yer-1005-29")</f>
        <v>http://dx.doi.org/10.3906/yer-1005-29</v>
      </c>
      <c r="BG451" t="s">
        <v>74</v>
      </c>
      <c r="BH451" t="s">
        <v>74</v>
      </c>
      <c r="BI451">
        <v>34</v>
      </c>
      <c r="BJ451" t="s">
        <v>194</v>
      </c>
      <c r="BK451" t="s">
        <v>99</v>
      </c>
      <c r="BL451" t="s">
        <v>195</v>
      </c>
      <c r="BM451" t="s">
        <v>8745</v>
      </c>
      <c r="BN451" t="s">
        <v>74</v>
      </c>
      <c r="BO451" t="s">
        <v>217</v>
      </c>
      <c r="BP451" t="s">
        <v>74</v>
      </c>
      <c r="BQ451" t="s">
        <v>74</v>
      </c>
      <c r="BR451" t="s">
        <v>101</v>
      </c>
      <c r="BS451" t="s">
        <v>8746</v>
      </c>
      <c r="BT451" t="str">
        <f>HYPERLINK("https%3A%2F%2Fwww.webofscience.com%2Fwos%2Fwoscc%2Ffull-record%2FWOS:000301031000002","View Full Record in Web of Science")</f>
        <v>View Full Record in Web of Science</v>
      </c>
    </row>
    <row r="452" spans="1:72" x14ac:dyDescent="0.15">
      <c r="A452" t="s">
        <v>72</v>
      </c>
      <c r="B452" t="s">
        <v>8747</v>
      </c>
      <c r="C452" t="s">
        <v>74</v>
      </c>
      <c r="D452" t="s">
        <v>74</v>
      </c>
      <c r="E452" t="s">
        <v>74</v>
      </c>
      <c r="F452" t="s">
        <v>8748</v>
      </c>
      <c r="G452" t="s">
        <v>74</v>
      </c>
      <c r="H452" t="s">
        <v>74</v>
      </c>
      <c r="I452" t="s">
        <v>8749</v>
      </c>
      <c r="J452" t="s">
        <v>8750</v>
      </c>
      <c r="K452" t="s">
        <v>74</v>
      </c>
      <c r="L452" t="s">
        <v>74</v>
      </c>
      <c r="M452" t="s">
        <v>78</v>
      </c>
      <c r="N452" t="s">
        <v>79</v>
      </c>
      <c r="O452" t="s">
        <v>74</v>
      </c>
      <c r="P452" t="s">
        <v>74</v>
      </c>
      <c r="Q452" t="s">
        <v>74</v>
      </c>
      <c r="R452" t="s">
        <v>74</v>
      </c>
      <c r="S452" t="s">
        <v>74</v>
      </c>
      <c r="T452" t="s">
        <v>8751</v>
      </c>
      <c r="U452" t="s">
        <v>8752</v>
      </c>
      <c r="V452" t="s">
        <v>8753</v>
      </c>
      <c r="W452" t="s">
        <v>8754</v>
      </c>
      <c r="X452" t="s">
        <v>8755</v>
      </c>
      <c r="Y452" t="s">
        <v>8756</v>
      </c>
      <c r="Z452" t="s">
        <v>8757</v>
      </c>
      <c r="AA452" t="s">
        <v>8758</v>
      </c>
      <c r="AB452" t="s">
        <v>8759</v>
      </c>
      <c r="AC452" t="s">
        <v>8760</v>
      </c>
      <c r="AD452" t="s">
        <v>8761</v>
      </c>
      <c r="AE452" t="s">
        <v>8762</v>
      </c>
      <c r="AF452" t="s">
        <v>74</v>
      </c>
      <c r="AG452">
        <v>29</v>
      </c>
      <c r="AH452">
        <v>14</v>
      </c>
      <c r="AI452">
        <v>16</v>
      </c>
      <c r="AJ452">
        <v>0</v>
      </c>
      <c r="AK452">
        <v>21</v>
      </c>
      <c r="AL452" t="s">
        <v>8763</v>
      </c>
      <c r="AM452" t="s">
        <v>8764</v>
      </c>
      <c r="AN452" t="s">
        <v>8765</v>
      </c>
      <c r="AO452" t="s">
        <v>8766</v>
      </c>
      <c r="AP452" t="s">
        <v>8767</v>
      </c>
      <c r="AQ452" t="s">
        <v>74</v>
      </c>
      <c r="AR452" t="s">
        <v>8750</v>
      </c>
      <c r="AS452" t="s">
        <v>8768</v>
      </c>
      <c r="AT452" t="s">
        <v>6892</v>
      </c>
      <c r="AU452">
        <v>2012</v>
      </c>
      <c r="AV452">
        <v>163</v>
      </c>
      <c r="AW452">
        <v>2</v>
      </c>
      <c r="AX452" t="s">
        <v>74</v>
      </c>
      <c r="AY452" t="s">
        <v>74</v>
      </c>
      <c r="AZ452" t="s">
        <v>74</v>
      </c>
      <c r="BA452" t="s">
        <v>74</v>
      </c>
      <c r="BB452">
        <v>284</v>
      </c>
      <c r="BC452">
        <v>295</v>
      </c>
      <c r="BD452" t="s">
        <v>74</v>
      </c>
      <c r="BE452" t="s">
        <v>8769</v>
      </c>
      <c r="BF452" t="str">
        <f>HYPERLINK("http://dx.doi.org/10.1016/j.protis.2011.07.003","http://dx.doi.org/10.1016/j.protis.2011.07.003")</f>
        <v>http://dx.doi.org/10.1016/j.protis.2011.07.003</v>
      </c>
      <c r="BG452" t="s">
        <v>74</v>
      </c>
      <c r="BH452" t="s">
        <v>74</v>
      </c>
      <c r="BI452">
        <v>12</v>
      </c>
      <c r="BJ452" t="s">
        <v>686</v>
      </c>
      <c r="BK452" t="s">
        <v>99</v>
      </c>
      <c r="BL452" t="s">
        <v>686</v>
      </c>
      <c r="BM452" t="s">
        <v>8770</v>
      </c>
      <c r="BN452">
        <v>21803651</v>
      </c>
      <c r="BO452" t="s">
        <v>74</v>
      </c>
      <c r="BP452" t="s">
        <v>74</v>
      </c>
      <c r="BQ452" t="s">
        <v>74</v>
      </c>
      <c r="BR452" t="s">
        <v>101</v>
      </c>
      <c r="BS452" t="s">
        <v>8771</v>
      </c>
      <c r="BT452" t="str">
        <f>HYPERLINK("https%3A%2F%2Fwww.webofscience.com%2Fwos%2Fwoscc%2Ffull-record%2FWOS:000299812800009","View Full Record in Web of Science")</f>
        <v>View Full Record in Web of Science</v>
      </c>
    </row>
    <row r="453" spans="1:72" x14ac:dyDescent="0.15">
      <c r="A453" t="s">
        <v>72</v>
      </c>
      <c r="B453" t="s">
        <v>8772</v>
      </c>
      <c r="C453" t="s">
        <v>74</v>
      </c>
      <c r="D453" t="s">
        <v>74</v>
      </c>
      <c r="E453" t="s">
        <v>74</v>
      </c>
      <c r="F453" t="s">
        <v>8773</v>
      </c>
      <c r="G453" t="s">
        <v>74</v>
      </c>
      <c r="H453" t="s">
        <v>74</v>
      </c>
      <c r="I453" t="s">
        <v>8774</v>
      </c>
      <c r="J453" t="s">
        <v>176</v>
      </c>
      <c r="K453" t="s">
        <v>74</v>
      </c>
      <c r="L453" t="s">
        <v>74</v>
      </c>
      <c r="M453" t="s">
        <v>78</v>
      </c>
      <c r="N453" t="s">
        <v>79</v>
      </c>
      <c r="O453" t="s">
        <v>74</v>
      </c>
      <c r="P453" t="s">
        <v>74</v>
      </c>
      <c r="Q453" t="s">
        <v>74</v>
      </c>
      <c r="R453" t="s">
        <v>74</v>
      </c>
      <c r="S453" t="s">
        <v>74</v>
      </c>
      <c r="T453" t="s">
        <v>74</v>
      </c>
      <c r="U453" t="s">
        <v>8775</v>
      </c>
      <c r="V453" t="s">
        <v>8776</v>
      </c>
      <c r="W453" t="s">
        <v>8777</v>
      </c>
      <c r="X453" t="s">
        <v>8778</v>
      </c>
      <c r="Y453" t="s">
        <v>8779</v>
      </c>
      <c r="Z453" t="s">
        <v>8780</v>
      </c>
      <c r="AA453" t="s">
        <v>8781</v>
      </c>
      <c r="AB453" t="s">
        <v>8782</v>
      </c>
      <c r="AC453" t="s">
        <v>7302</v>
      </c>
      <c r="AD453" t="s">
        <v>3874</v>
      </c>
      <c r="AE453" t="s">
        <v>8783</v>
      </c>
      <c r="AF453" t="s">
        <v>74</v>
      </c>
      <c r="AG453">
        <v>23</v>
      </c>
      <c r="AH453">
        <v>6</v>
      </c>
      <c r="AI453">
        <v>6</v>
      </c>
      <c r="AJ453">
        <v>0</v>
      </c>
      <c r="AK453">
        <v>3</v>
      </c>
      <c r="AL453" t="s">
        <v>118</v>
      </c>
      <c r="AM453" t="s">
        <v>119</v>
      </c>
      <c r="AN453" t="s">
        <v>120</v>
      </c>
      <c r="AO453" t="s">
        <v>187</v>
      </c>
      <c r="AP453" t="s">
        <v>188</v>
      </c>
      <c r="AQ453" t="s">
        <v>74</v>
      </c>
      <c r="AR453" t="s">
        <v>189</v>
      </c>
      <c r="AS453" t="s">
        <v>190</v>
      </c>
      <c r="AT453" t="s">
        <v>8784</v>
      </c>
      <c r="AU453">
        <v>2012</v>
      </c>
      <c r="AV453">
        <v>39</v>
      </c>
      <c r="AW453" t="s">
        <v>74</v>
      </c>
      <c r="AX453" t="s">
        <v>74</v>
      </c>
      <c r="AY453" t="s">
        <v>74</v>
      </c>
      <c r="AZ453" t="s">
        <v>74</v>
      </c>
      <c r="BA453" t="s">
        <v>74</v>
      </c>
      <c r="BB453" t="s">
        <v>74</v>
      </c>
      <c r="BC453" t="s">
        <v>74</v>
      </c>
      <c r="BD453" t="s">
        <v>8785</v>
      </c>
      <c r="BE453" t="s">
        <v>8786</v>
      </c>
      <c r="BF453" t="str">
        <f>HYPERLINK("http://dx.doi.org/10.1029/2011GL050671","http://dx.doi.org/10.1029/2011GL050671")</f>
        <v>http://dx.doi.org/10.1029/2011GL050671</v>
      </c>
      <c r="BG453" t="s">
        <v>74</v>
      </c>
      <c r="BH453" t="s">
        <v>74</v>
      </c>
      <c r="BI453">
        <v>6</v>
      </c>
      <c r="BJ453" t="s">
        <v>194</v>
      </c>
      <c r="BK453" t="s">
        <v>99</v>
      </c>
      <c r="BL453" t="s">
        <v>195</v>
      </c>
      <c r="BM453" t="s">
        <v>8787</v>
      </c>
      <c r="BN453" t="s">
        <v>74</v>
      </c>
      <c r="BO453" t="s">
        <v>328</v>
      </c>
      <c r="BP453" t="s">
        <v>74</v>
      </c>
      <c r="BQ453" t="s">
        <v>74</v>
      </c>
      <c r="BR453" t="s">
        <v>101</v>
      </c>
      <c r="BS453" t="s">
        <v>8788</v>
      </c>
      <c r="BT453" t="str">
        <f>HYPERLINK("https%3A%2F%2Fwww.webofscience.com%2Fwos%2Fwoscc%2Ffull-record%2FWOS:000301127800003","View Full Record in Web of Science")</f>
        <v>View Full Record in Web of Science</v>
      </c>
    </row>
    <row r="454" spans="1:72" x14ac:dyDescent="0.15">
      <c r="A454" t="s">
        <v>72</v>
      </c>
      <c r="B454" t="s">
        <v>8789</v>
      </c>
      <c r="C454" t="s">
        <v>74</v>
      </c>
      <c r="D454" t="s">
        <v>74</v>
      </c>
      <c r="E454" t="s">
        <v>74</v>
      </c>
      <c r="F454" t="s">
        <v>8790</v>
      </c>
      <c r="G454" t="s">
        <v>74</v>
      </c>
      <c r="H454" t="s">
        <v>74</v>
      </c>
      <c r="I454" t="s">
        <v>8791</v>
      </c>
      <c r="J454" t="s">
        <v>239</v>
      </c>
      <c r="K454" t="s">
        <v>74</v>
      </c>
      <c r="L454" t="s">
        <v>74</v>
      </c>
      <c r="M454" t="s">
        <v>78</v>
      </c>
      <c r="N454" t="s">
        <v>79</v>
      </c>
      <c r="O454" t="s">
        <v>74</v>
      </c>
      <c r="P454" t="s">
        <v>74</v>
      </c>
      <c r="Q454" t="s">
        <v>74</v>
      </c>
      <c r="R454" t="s">
        <v>74</v>
      </c>
      <c r="S454" t="s">
        <v>74</v>
      </c>
      <c r="T454" t="s">
        <v>8792</v>
      </c>
      <c r="U454" t="s">
        <v>8793</v>
      </c>
      <c r="V454" t="s">
        <v>8794</v>
      </c>
      <c r="W454" t="s">
        <v>8795</v>
      </c>
      <c r="X454" t="s">
        <v>8796</v>
      </c>
      <c r="Y454" t="s">
        <v>8797</v>
      </c>
      <c r="Z454" t="s">
        <v>8798</v>
      </c>
      <c r="AA454" t="s">
        <v>8799</v>
      </c>
      <c r="AB454" t="s">
        <v>8800</v>
      </c>
      <c r="AC454" t="s">
        <v>8801</v>
      </c>
      <c r="AD454" t="s">
        <v>8802</v>
      </c>
      <c r="AE454" t="s">
        <v>8803</v>
      </c>
      <c r="AF454" t="s">
        <v>74</v>
      </c>
      <c r="AG454">
        <v>60</v>
      </c>
      <c r="AH454">
        <v>228</v>
      </c>
      <c r="AI454">
        <v>255</v>
      </c>
      <c r="AJ454">
        <v>0</v>
      </c>
      <c r="AK454">
        <v>167</v>
      </c>
      <c r="AL454" t="s">
        <v>252</v>
      </c>
      <c r="AM454" t="s">
        <v>119</v>
      </c>
      <c r="AN454" t="s">
        <v>253</v>
      </c>
      <c r="AO454" t="s">
        <v>254</v>
      </c>
      <c r="AP454" t="s">
        <v>2853</v>
      </c>
      <c r="AQ454" t="s">
        <v>74</v>
      </c>
      <c r="AR454" t="s">
        <v>255</v>
      </c>
      <c r="AS454" t="s">
        <v>256</v>
      </c>
      <c r="AT454" t="s">
        <v>8784</v>
      </c>
      <c r="AU454">
        <v>2012</v>
      </c>
      <c r="AV454">
        <v>109</v>
      </c>
      <c r="AW454">
        <v>9</v>
      </c>
      <c r="AX454" t="s">
        <v>74</v>
      </c>
      <c r="AY454" t="s">
        <v>74</v>
      </c>
      <c r="AZ454" t="s">
        <v>74</v>
      </c>
      <c r="BA454" t="s">
        <v>74</v>
      </c>
      <c r="BB454">
        <v>3434</v>
      </c>
      <c r="BC454">
        <v>3439</v>
      </c>
      <c r="BD454" t="s">
        <v>74</v>
      </c>
      <c r="BE454" t="s">
        <v>8804</v>
      </c>
      <c r="BF454" t="str">
        <f>HYPERLINK("http://dx.doi.org/10.1073/pnas.1115169109","http://dx.doi.org/10.1073/pnas.1115169109")</f>
        <v>http://dx.doi.org/10.1073/pnas.1115169109</v>
      </c>
      <c r="BG454" t="s">
        <v>74</v>
      </c>
      <c r="BH454" t="s">
        <v>74</v>
      </c>
      <c r="BI454">
        <v>6</v>
      </c>
      <c r="BJ454" t="s">
        <v>153</v>
      </c>
      <c r="BK454" t="s">
        <v>99</v>
      </c>
      <c r="BL454" t="s">
        <v>154</v>
      </c>
      <c r="BM454" t="s">
        <v>8805</v>
      </c>
      <c r="BN454">
        <v>22331888</v>
      </c>
      <c r="BO454" t="s">
        <v>308</v>
      </c>
      <c r="BP454" t="s">
        <v>74</v>
      </c>
      <c r="BQ454" t="s">
        <v>74</v>
      </c>
      <c r="BR454" t="s">
        <v>101</v>
      </c>
      <c r="BS454" t="s">
        <v>8806</v>
      </c>
      <c r="BT454" t="str">
        <f>HYPERLINK("https%3A%2F%2Fwww.webofscience.com%2Fwos%2Fwoscc%2Ffull-record%2FWOS:000300828200051","View Full Record in Web of Science")</f>
        <v>View Full Record in Web of Science</v>
      </c>
    </row>
    <row r="455" spans="1:72" x14ac:dyDescent="0.15">
      <c r="A455" t="s">
        <v>72</v>
      </c>
      <c r="B455" t="s">
        <v>8807</v>
      </c>
      <c r="C455" t="s">
        <v>74</v>
      </c>
      <c r="D455" t="s">
        <v>74</v>
      </c>
      <c r="E455" t="s">
        <v>74</v>
      </c>
      <c r="F455" t="s">
        <v>8808</v>
      </c>
      <c r="G455" t="s">
        <v>74</v>
      </c>
      <c r="H455" t="s">
        <v>74</v>
      </c>
      <c r="I455" t="s">
        <v>8809</v>
      </c>
      <c r="J455" t="s">
        <v>6025</v>
      </c>
      <c r="K455" t="s">
        <v>74</v>
      </c>
      <c r="L455" t="s">
        <v>74</v>
      </c>
      <c r="M455" t="s">
        <v>78</v>
      </c>
      <c r="N455" t="s">
        <v>79</v>
      </c>
      <c r="O455" t="s">
        <v>74</v>
      </c>
      <c r="P455" t="s">
        <v>74</v>
      </c>
      <c r="Q455" t="s">
        <v>74</v>
      </c>
      <c r="R455" t="s">
        <v>74</v>
      </c>
      <c r="S455" t="s">
        <v>74</v>
      </c>
      <c r="T455" t="s">
        <v>8810</v>
      </c>
      <c r="U455" t="s">
        <v>8811</v>
      </c>
      <c r="V455" t="s">
        <v>8812</v>
      </c>
      <c r="W455" t="s">
        <v>8813</v>
      </c>
      <c r="X455" t="s">
        <v>6030</v>
      </c>
      <c r="Y455" t="s">
        <v>8814</v>
      </c>
      <c r="Z455" t="s">
        <v>8815</v>
      </c>
      <c r="AA455" t="s">
        <v>74</v>
      </c>
      <c r="AB455" t="s">
        <v>74</v>
      </c>
      <c r="AC455" t="s">
        <v>8816</v>
      </c>
      <c r="AD455" t="s">
        <v>8816</v>
      </c>
      <c r="AE455" t="s">
        <v>8817</v>
      </c>
      <c r="AF455" t="s">
        <v>74</v>
      </c>
      <c r="AG455">
        <v>23</v>
      </c>
      <c r="AH455">
        <v>8</v>
      </c>
      <c r="AI455">
        <v>9</v>
      </c>
      <c r="AJ455">
        <v>0</v>
      </c>
      <c r="AK455">
        <v>6</v>
      </c>
      <c r="AL455" t="s">
        <v>3556</v>
      </c>
      <c r="AM455" t="s">
        <v>3557</v>
      </c>
      <c r="AN455" t="s">
        <v>3558</v>
      </c>
      <c r="AO455" t="s">
        <v>6038</v>
      </c>
      <c r="AP455" t="s">
        <v>74</v>
      </c>
      <c r="AQ455" t="s">
        <v>74</v>
      </c>
      <c r="AR455" t="s">
        <v>6039</v>
      </c>
      <c r="AS455" t="s">
        <v>6040</v>
      </c>
      <c r="AT455" t="s">
        <v>8818</v>
      </c>
      <c r="AU455">
        <v>2012</v>
      </c>
      <c r="AV455">
        <v>102</v>
      </c>
      <c r="AW455">
        <v>4</v>
      </c>
      <c r="AX455" t="s">
        <v>74</v>
      </c>
      <c r="AY455" t="s">
        <v>74</v>
      </c>
      <c r="AZ455" t="s">
        <v>74</v>
      </c>
      <c r="BA455" t="s">
        <v>74</v>
      </c>
      <c r="BB455">
        <v>605</v>
      </c>
      <c r="BC455">
        <v>609</v>
      </c>
      <c r="BD455" t="s">
        <v>74</v>
      </c>
      <c r="BE455" t="s">
        <v>74</v>
      </c>
      <c r="BF455" t="s">
        <v>74</v>
      </c>
      <c r="BG455" t="s">
        <v>74</v>
      </c>
      <c r="BH455" t="s">
        <v>74</v>
      </c>
      <c r="BI455">
        <v>5</v>
      </c>
      <c r="BJ455" t="s">
        <v>153</v>
      </c>
      <c r="BK455" t="s">
        <v>99</v>
      </c>
      <c r="BL455" t="s">
        <v>154</v>
      </c>
      <c r="BM455" t="s">
        <v>8819</v>
      </c>
      <c r="BN455" t="s">
        <v>74</v>
      </c>
      <c r="BO455" t="s">
        <v>74</v>
      </c>
      <c r="BP455" t="s">
        <v>74</v>
      </c>
      <c r="BQ455" t="s">
        <v>74</v>
      </c>
      <c r="BR455" t="s">
        <v>101</v>
      </c>
      <c r="BS455" t="s">
        <v>8820</v>
      </c>
      <c r="BT455" t="str">
        <f>HYPERLINK("https%3A%2F%2Fwww.webofscience.com%2Fwos%2Fwoscc%2Ffull-record%2FWOS:000301330100022","View Full Record in Web of Science")</f>
        <v>View Full Record in Web of Science</v>
      </c>
    </row>
    <row r="456" spans="1:72" x14ac:dyDescent="0.15">
      <c r="A456" t="s">
        <v>72</v>
      </c>
      <c r="B456" t="s">
        <v>8821</v>
      </c>
      <c r="C456" t="s">
        <v>74</v>
      </c>
      <c r="D456" t="s">
        <v>74</v>
      </c>
      <c r="E456" t="s">
        <v>74</v>
      </c>
      <c r="F456" t="s">
        <v>8822</v>
      </c>
      <c r="G456" t="s">
        <v>74</v>
      </c>
      <c r="H456" t="s">
        <v>74</v>
      </c>
      <c r="I456" t="s">
        <v>8823</v>
      </c>
      <c r="J456" t="s">
        <v>106</v>
      </c>
      <c r="K456" t="s">
        <v>74</v>
      </c>
      <c r="L456" t="s">
        <v>74</v>
      </c>
      <c r="M456" t="s">
        <v>78</v>
      </c>
      <c r="N456" t="s">
        <v>79</v>
      </c>
      <c r="O456" t="s">
        <v>74</v>
      </c>
      <c r="P456" t="s">
        <v>74</v>
      </c>
      <c r="Q456" t="s">
        <v>74</v>
      </c>
      <c r="R456" t="s">
        <v>74</v>
      </c>
      <c r="S456" t="s">
        <v>74</v>
      </c>
      <c r="T456" t="s">
        <v>74</v>
      </c>
      <c r="U456" t="s">
        <v>8824</v>
      </c>
      <c r="V456" t="s">
        <v>8825</v>
      </c>
      <c r="W456" t="s">
        <v>8826</v>
      </c>
      <c r="X456" t="s">
        <v>8827</v>
      </c>
      <c r="Y456" t="s">
        <v>8828</v>
      </c>
      <c r="Z456" t="s">
        <v>8829</v>
      </c>
      <c r="AA456" t="s">
        <v>74</v>
      </c>
      <c r="AB456" t="s">
        <v>8830</v>
      </c>
      <c r="AC456" t="s">
        <v>8831</v>
      </c>
      <c r="AD456" t="s">
        <v>8832</v>
      </c>
      <c r="AE456" t="s">
        <v>8833</v>
      </c>
      <c r="AF456" t="s">
        <v>74</v>
      </c>
      <c r="AG456">
        <v>53</v>
      </c>
      <c r="AH456">
        <v>3</v>
      </c>
      <c r="AI456">
        <v>3</v>
      </c>
      <c r="AJ456">
        <v>0</v>
      </c>
      <c r="AK456">
        <v>10</v>
      </c>
      <c r="AL456" t="s">
        <v>118</v>
      </c>
      <c r="AM456" t="s">
        <v>119</v>
      </c>
      <c r="AN456" t="s">
        <v>120</v>
      </c>
      <c r="AO456" t="s">
        <v>121</v>
      </c>
      <c r="AP456" t="s">
        <v>122</v>
      </c>
      <c r="AQ456" t="s">
        <v>74</v>
      </c>
      <c r="AR456" t="s">
        <v>123</v>
      </c>
      <c r="AS456" t="s">
        <v>124</v>
      </c>
      <c r="AT456" t="s">
        <v>8834</v>
      </c>
      <c r="AU456">
        <v>2012</v>
      </c>
      <c r="AV456">
        <v>117</v>
      </c>
      <c r="AW456" t="s">
        <v>74</v>
      </c>
      <c r="AX456" t="s">
        <v>74</v>
      </c>
      <c r="AY456" t="s">
        <v>74</v>
      </c>
      <c r="AZ456" t="s">
        <v>74</v>
      </c>
      <c r="BA456" t="s">
        <v>74</v>
      </c>
      <c r="BB456" t="s">
        <v>74</v>
      </c>
      <c r="BC456" t="s">
        <v>74</v>
      </c>
      <c r="BD456" t="s">
        <v>8835</v>
      </c>
      <c r="BE456" t="s">
        <v>8836</v>
      </c>
      <c r="BF456" t="str">
        <f>HYPERLINK("http://dx.doi.org/10.1029/2011JD016494","http://dx.doi.org/10.1029/2011JD016494")</f>
        <v>http://dx.doi.org/10.1029/2011JD016494</v>
      </c>
      <c r="BG456" t="s">
        <v>74</v>
      </c>
      <c r="BH456" t="s">
        <v>74</v>
      </c>
      <c r="BI456">
        <v>14</v>
      </c>
      <c r="BJ456" t="s">
        <v>128</v>
      </c>
      <c r="BK456" t="s">
        <v>99</v>
      </c>
      <c r="BL456" t="s">
        <v>128</v>
      </c>
      <c r="BM456" t="s">
        <v>8837</v>
      </c>
      <c r="BN456" t="s">
        <v>74</v>
      </c>
      <c r="BO456" t="s">
        <v>217</v>
      </c>
      <c r="BP456" t="s">
        <v>74</v>
      </c>
      <c r="BQ456" t="s">
        <v>74</v>
      </c>
      <c r="BR456" t="s">
        <v>101</v>
      </c>
      <c r="BS456" t="s">
        <v>8838</v>
      </c>
      <c r="BT456" t="str">
        <f>HYPERLINK("https%3A%2F%2Fwww.webofscience.com%2Fwos%2Fwoscc%2Ffull-record%2FWOS:000300796700002","View Full Record in Web of Science")</f>
        <v>View Full Record in Web of Science</v>
      </c>
    </row>
    <row r="457" spans="1:72" x14ac:dyDescent="0.15">
      <c r="A457" t="s">
        <v>72</v>
      </c>
      <c r="B457" t="s">
        <v>8839</v>
      </c>
      <c r="C457" t="s">
        <v>74</v>
      </c>
      <c r="D457" t="s">
        <v>74</v>
      </c>
      <c r="E457" t="s">
        <v>74</v>
      </c>
      <c r="F457" t="s">
        <v>8840</v>
      </c>
      <c r="G457" t="s">
        <v>74</v>
      </c>
      <c r="H457" t="s">
        <v>74</v>
      </c>
      <c r="I457" t="s">
        <v>8841</v>
      </c>
      <c r="J457" t="s">
        <v>135</v>
      </c>
      <c r="K457" t="s">
        <v>74</v>
      </c>
      <c r="L457" t="s">
        <v>74</v>
      </c>
      <c r="M457" t="s">
        <v>78</v>
      </c>
      <c r="N457" t="s">
        <v>79</v>
      </c>
      <c r="O457" t="s">
        <v>74</v>
      </c>
      <c r="P457" t="s">
        <v>74</v>
      </c>
      <c r="Q457" t="s">
        <v>74</v>
      </c>
      <c r="R457" t="s">
        <v>74</v>
      </c>
      <c r="S457" t="s">
        <v>74</v>
      </c>
      <c r="T457" t="s">
        <v>74</v>
      </c>
      <c r="U457" t="s">
        <v>8842</v>
      </c>
      <c r="V457" t="s">
        <v>8843</v>
      </c>
      <c r="W457" t="s">
        <v>8844</v>
      </c>
      <c r="X457" t="s">
        <v>8845</v>
      </c>
      <c r="Y457" t="s">
        <v>8846</v>
      </c>
      <c r="Z457" t="s">
        <v>8847</v>
      </c>
      <c r="AA457" t="s">
        <v>8848</v>
      </c>
      <c r="AB457" t="s">
        <v>8849</v>
      </c>
      <c r="AC457" t="s">
        <v>8850</v>
      </c>
      <c r="AD457" t="s">
        <v>8851</v>
      </c>
      <c r="AE457" t="s">
        <v>8852</v>
      </c>
      <c r="AF457" t="s">
        <v>74</v>
      </c>
      <c r="AG457">
        <v>29</v>
      </c>
      <c r="AH457">
        <v>768</v>
      </c>
      <c r="AI457">
        <v>891</v>
      </c>
      <c r="AJ457">
        <v>14</v>
      </c>
      <c r="AK457">
        <v>402</v>
      </c>
      <c r="AL457" t="s">
        <v>146</v>
      </c>
      <c r="AM457" t="s">
        <v>147</v>
      </c>
      <c r="AN457" t="s">
        <v>148</v>
      </c>
      <c r="AO457" t="s">
        <v>149</v>
      </c>
      <c r="AP457" t="s">
        <v>150</v>
      </c>
      <c r="AQ457" t="s">
        <v>74</v>
      </c>
      <c r="AR457" t="s">
        <v>135</v>
      </c>
      <c r="AS457" t="s">
        <v>151</v>
      </c>
      <c r="AT457" t="s">
        <v>8853</v>
      </c>
      <c r="AU457">
        <v>2012</v>
      </c>
      <c r="AV457">
        <v>482</v>
      </c>
      <c r="AW457">
        <v>7386</v>
      </c>
      <c r="AX457" t="s">
        <v>74</v>
      </c>
      <c r="AY457" t="s">
        <v>74</v>
      </c>
      <c r="AZ457" t="s">
        <v>74</v>
      </c>
      <c r="BA457" t="s">
        <v>74</v>
      </c>
      <c r="BB457">
        <v>514</v>
      </c>
      <c r="BC457">
        <v>518</v>
      </c>
      <c r="BD457" t="s">
        <v>74</v>
      </c>
      <c r="BE457" t="s">
        <v>8854</v>
      </c>
      <c r="BF457" t="str">
        <f>HYPERLINK("http://dx.doi.org/10.1038/nature10847","http://dx.doi.org/10.1038/nature10847")</f>
        <v>http://dx.doi.org/10.1038/nature10847</v>
      </c>
      <c r="BG457" t="s">
        <v>74</v>
      </c>
      <c r="BH457" t="s">
        <v>74</v>
      </c>
      <c r="BI457">
        <v>5</v>
      </c>
      <c r="BJ457" t="s">
        <v>153</v>
      </c>
      <c r="BK457" t="s">
        <v>99</v>
      </c>
      <c r="BL457" t="s">
        <v>154</v>
      </c>
      <c r="BM457" t="s">
        <v>8855</v>
      </c>
      <c r="BN457">
        <v>22318519</v>
      </c>
      <c r="BO457" t="s">
        <v>74</v>
      </c>
      <c r="BP457" t="s">
        <v>74</v>
      </c>
      <c r="BQ457" t="s">
        <v>74</v>
      </c>
      <c r="BR457" t="s">
        <v>101</v>
      </c>
      <c r="BS457" t="s">
        <v>8856</v>
      </c>
      <c r="BT457" t="str">
        <f>HYPERLINK("https%3A%2F%2Fwww.webofscience.com%2Fwos%2Fwoscc%2Ffull-record%2FWOS:000300770500048","View Full Record in Web of Science")</f>
        <v>View Full Record in Web of Science</v>
      </c>
    </row>
    <row r="458" spans="1:72" x14ac:dyDescent="0.15">
      <c r="A458" t="s">
        <v>72</v>
      </c>
      <c r="B458" t="s">
        <v>8857</v>
      </c>
      <c r="C458" t="s">
        <v>74</v>
      </c>
      <c r="D458" t="s">
        <v>74</v>
      </c>
      <c r="E458" t="s">
        <v>74</v>
      </c>
      <c r="F458" t="s">
        <v>8858</v>
      </c>
      <c r="G458" t="s">
        <v>74</v>
      </c>
      <c r="H458" t="s">
        <v>74</v>
      </c>
      <c r="I458" t="s">
        <v>8859</v>
      </c>
      <c r="J458" t="s">
        <v>502</v>
      </c>
      <c r="K458" t="s">
        <v>74</v>
      </c>
      <c r="L458" t="s">
        <v>74</v>
      </c>
      <c r="M458" t="s">
        <v>78</v>
      </c>
      <c r="N458" t="s">
        <v>79</v>
      </c>
      <c r="O458" t="s">
        <v>74</v>
      </c>
      <c r="P458" t="s">
        <v>74</v>
      </c>
      <c r="Q458" t="s">
        <v>74</v>
      </c>
      <c r="R458" t="s">
        <v>74</v>
      </c>
      <c r="S458" t="s">
        <v>74</v>
      </c>
      <c r="T458" t="s">
        <v>74</v>
      </c>
      <c r="U458" t="s">
        <v>8860</v>
      </c>
      <c r="V458" t="s">
        <v>8861</v>
      </c>
      <c r="W458" t="s">
        <v>8862</v>
      </c>
      <c r="X458" t="s">
        <v>8863</v>
      </c>
      <c r="Y458" t="s">
        <v>8864</v>
      </c>
      <c r="Z458" t="s">
        <v>8865</v>
      </c>
      <c r="AA458" t="s">
        <v>8866</v>
      </c>
      <c r="AB458" t="s">
        <v>8867</v>
      </c>
      <c r="AC458" t="s">
        <v>8868</v>
      </c>
      <c r="AD458" t="s">
        <v>8869</v>
      </c>
      <c r="AE458" t="s">
        <v>8870</v>
      </c>
      <c r="AF458" t="s">
        <v>74</v>
      </c>
      <c r="AG458">
        <v>80</v>
      </c>
      <c r="AH458">
        <v>88</v>
      </c>
      <c r="AI458">
        <v>98</v>
      </c>
      <c r="AJ458">
        <v>0</v>
      </c>
      <c r="AK458">
        <v>76</v>
      </c>
      <c r="AL458" t="s">
        <v>513</v>
      </c>
      <c r="AM458" t="s">
        <v>514</v>
      </c>
      <c r="AN458" t="s">
        <v>515</v>
      </c>
      <c r="AO458" t="s">
        <v>516</v>
      </c>
      <c r="AP458" t="s">
        <v>74</v>
      </c>
      <c r="AQ458" t="s">
        <v>74</v>
      </c>
      <c r="AR458" t="s">
        <v>502</v>
      </c>
      <c r="AS458" t="s">
        <v>517</v>
      </c>
      <c r="AT458" t="s">
        <v>8853</v>
      </c>
      <c r="AU458">
        <v>2012</v>
      </c>
      <c r="AV458">
        <v>7</v>
      </c>
      <c r="AW458">
        <v>2</v>
      </c>
      <c r="AX458" t="s">
        <v>74</v>
      </c>
      <c r="AY458" t="s">
        <v>74</v>
      </c>
      <c r="AZ458" t="s">
        <v>74</v>
      </c>
      <c r="BA458" t="s">
        <v>74</v>
      </c>
      <c r="BB458" t="s">
        <v>74</v>
      </c>
      <c r="BC458" t="s">
        <v>74</v>
      </c>
      <c r="BD458" t="s">
        <v>8871</v>
      </c>
      <c r="BE458" t="s">
        <v>8872</v>
      </c>
      <c r="BF458" t="str">
        <f>HYPERLINK("http://dx.doi.org/10.1371/journal.pone.0031775","http://dx.doi.org/10.1371/journal.pone.0031775")</f>
        <v>http://dx.doi.org/10.1371/journal.pone.0031775</v>
      </c>
      <c r="BG458" t="s">
        <v>74</v>
      </c>
      <c r="BH458" t="s">
        <v>74</v>
      </c>
      <c r="BI458">
        <v>11</v>
      </c>
      <c r="BJ458" t="s">
        <v>153</v>
      </c>
      <c r="BK458" t="s">
        <v>99</v>
      </c>
      <c r="BL458" t="s">
        <v>154</v>
      </c>
      <c r="BM458" t="s">
        <v>8873</v>
      </c>
      <c r="BN458">
        <v>22384073</v>
      </c>
      <c r="BO458" t="s">
        <v>2787</v>
      </c>
      <c r="BP458" t="s">
        <v>74</v>
      </c>
      <c r="BQ458" t="s">
        <v>74</v>
      </c>
      <c r="BR458" t="s">
        <v>101</v>
      </c>
      <c r="BS458" t="s">
        <v>8874</v>
      </c>
      <c r="BT458" t="str">
        <f>HYPERLINK("https%3A%2F%2Fwww.webofscience.com%2Fwos%2Fwoscc%2Ffull-record%2FWOS:000302916100034","View Full Record in Web of Science")</f>
        <v>View Full Record in Web of Science</v>
      </c>
    </row>
    <row r="459" spans="1:72" x14ac:dyDescent="0.15">
      <c r="A459" t="s">
        <v>72</v>
      </c>
      <c r="B459" t="s">
        <v>8875</v>
      </c>
      <c r="C459" t="s">
        <v>74</v>
      </c>
      <c r="D459" t="s">
        <v>74</v>
      </c>
      <c r="E459" t="s">
        <v>74</v>
      </c>
      <c r="F459" t="s">
        <v>8876</v>
      </c>
      <c r="G459" t="s">
        <v>74</v>
      </c>
      <c r="H459" t="s">
        <v>74</v>
      </c>
      <c r="I459" t="s">
        <v>8877</v>
      </c>
      <c r="J459" t="s">
        <v>420</v>
      </c>
      <c r="K459" t="s">
        <v>74</v>
      </c>
      <c r="L459" t="s">
        <v>74</v>
      </c>
      <c r="M459" t="s">
        <v>78</v>
      </c>
      <c r="N459" t="s">
        <v>79</v>
      </c>
      <c r="O459" t="s">
        <v>74</v>
      </c>
      <c r="P459" t="s">
        <v>74</v>
      </c>
      <c r="Q459" t="s">
        <v>74</v>
      </c>
      <c r="R459" t="s">
        <v>74</v>
      </c>
      <c r="S459" t="s">
        <v>74</v>
      </c>
      <c r="T459" t="s">
        <v>74</v>
      </c>
      <c r="U459" t="s">
        <v>8878</v>
      </c>
      <c r="V459" t="s">
        <v>8879</v>
      </c>
      <c r="W459" t="s">
        <v>8880</v>
      </c>
      <c r="X459" t="s">
        <v>8881</v>
      </c>
      <c r="Y459" t="s">
        <v>8882</v>
      </c>
      <c r="Z459" t="s">
        <v>74</v>
      </c>
      <c r="AA459" t="s">
        <v>8883</v>
      </c>
      <c r="AB459" t="s">
        <v>8884</v>
      </c>
      <c r="AC459" t="s">
        <v>8885</v>
      </c>
      <c r="AD459" t="s">
        <v>8886</v>
      </c>
      <c r="AE459" t="s">
        <v>8887</v>
      </c>
      <c r="AF459" t="s">
        <v>74</v>
      </c>
      <c r="AG459">
        <v>41</v>
      </c>
      <c r="AH459">
        <v>13</v>
      </c>
      <c r="AI459">
        <v>13</v>
      </c>
      <c r="AJ459">
        <v>0</v>
      </c>
      <c r="AK459">
        <v>5</v>
      </c>
      <c r="AL459" t="s">
        <v>118</v>
      </c>
      <c r="AM459" t="s">
        <v>119</v>
      </c>
      <c r="AN459" t="s">
        <v>120</v>
      </c>
      <c r="AO459" t="s">
        <v>432</v>
      </c>
      <c r="AP459" t="s">
        <v>433</v>
      </c>
      <c r="AQ459" t="s">
        <v>74</v>
      </c>
      <c r="AR459" t="s">
        <v>434</v>
      </c>
      <c r="AS459" t="s">
        <v>435</v>
      </c>
      <c r="AT459" t="s">
        <v>8888</v>
      </c>
      <c r="AU459">
        <v>2012</v>
      </c>
      <c r="AV459">
        <v>117</v>
      </c>
      <c r="AW459" t="s">
        <v>74</v>
      </c>
      <c r="AX459" t="s">
        <v>74</v>
      </c>
      <c r="AY459" t="s">
        <v>74</v>
      </c>
      <c r="AZ459" t="s">
        <v>74</v>
      </c>
      <c r="BA459" t="s">
        <v>74</v>
      </c>
      <c r="BB459" t="s">
        <v>74</v>
      </c>
      <c r="BC459" t="s">
        <v>74</v>
      </c>
      <c r="BD459" t="s">
        <v>8889</v>
      </c>
      <c r="BE459" t="s">
        <v>8890</v>
      </c>
      <c r="BF459" t="str">
        <f>HYPERLINK("http://dx.doi.org/10.1029/2011JA016933","http://dx.doi.org/10.1029/2011JA016933")</f>
        <v>http://dx.doi.org/10.1029/2011JA016933</v>
      </c>
      <c r="BG459" t="s">
        <v>74</v>
      </c>
      <c r="BH459" t="s">
        <v>74</v>
      </c>
      <c r="BI459">
        <v>12</v>
      </c>
      <c r="BJ459" t="s">
        <v>438</v>
      </c>
      <c r="BK459" t="s">
        <v>99</v>
      </c>
      <c r="BL459" t="s">
        <v>438</v>
      </c>
      <c r="BM459" t="s">
        <v>8891</v>
      </c>
      <c r="BN459" t="s">
        <v>74</v>
      </c>
      <c r="BO459" t="s">
        <v>440</v>
      </c>
      <c r="BP459" t="s">
        <v>74</v>
      </c>
      <c r="BQ459" t="s">
        <v>74</v>
      </c>
      <c r="BR459" t="s">
        <v>101</v>
      </c>
      <c r="BS459" t="s">
        <v>8892</v>
      </c>
      <c r="BT459" t="str">
        <f>HYPERLINK("https%3A%2F%2Fwww.webofscience.com%2Fwos%2Fwoscc%2Ffull-record%2FWOS:000300823100002","View Full Record in Web of Science")</f>
        <v>View Full Record in Web of Science</v>
      </c>
    </row>
    <row r="460" spans="1:72" x14ac:dyDescent="0.15">
      <c r="A460" t="s">
        <v>72</v>
      </c>
      <c r="B460" t="s">
        <v>8893</v>
      </c>
      <c r="C460" t="s">
        <v>74</v>
      </c>
      <c r="D460" t="s">
        <v>74</v>
      </c>
      <c r="E460" t="s">
        <v>74</v>
      </c>
      <c r="F460" t="s">
        <v>8894</v>
      </c>
      <c r="G460" t="s">
        <v>74</v>
      </c>
      <c r="H460" t="s">
        <v>74</v>
      </c>
      <c r="I460" t="s">
        <v>8895</v>
      </c>
      <c r="J460" t="s">
        <v>77</v>
      </c>
      <c r="K460" t="s">
        <v>74</v>
      </c>
      <c r="L460" t="s">
        <v>74</v>
      </c>
      <c r="M460" t="s">
        <v>78</v>
      </c>
      <c r="N460" t="s">
        <v>79</v>
      </c>
      <c r="O460" t="s">
        <v>74</v>
      </c>
      <c r="P460" t="s">
        <v>74</v>
      </c>
      <c r="Q460" t="s">
        <v>74</v>
      </c>
      <c r="R460" t="s">
        <v>74</v>
      </c>
      <c r="S460" t="s">
        <v>74</v>
      </c>
      <c r="T460" t="s">
        <v>8896</v>
      </c>
      <c r="U460" t="s">
        <v>8897</v>
      </c>
      <c r="V460" t="s">
        <v>8898</v>
      </c>
      <c r="W460" t="s">
        <v>8899</v>
      </c>
      <c r="X460" t="s">
        <v>8900</v>
      </c>
      <c r="Y460" t="s">
        <v>8901</v>
      </c>
      <c r="Z460" t="s">
        <v>8902</v>
      </c>
      <c r="AA460" t="s">
        <v>74</v>
      </c>
      <c r="AB460" t="s">
        <v>74</v>
      </c>
      <c r="AC460" t="s">
        <v>8903</v>
      </c>
      <c r="AD460" t="s">
        <v>8903</v>
      </c>
      <c r="AE460" t="s">
        <v>8904</v>
      </c>
      <c r="AF460" t="s">
        <v>74</v>
      </c>
      <c r="AG460">
        <v>139</v>
      </c>
      <c r="AH460">
        <v>0</v>
      </c>
      <c r="AI460">
        <v>0</v>
      </c>
      <c r="AJ460">
        <v>0</v>
      </c>
      <c r="AK460">
        <v>4</v>
      </c>
      <c r="AL460" t="s">
        <v>91</v>
      </c>
      <c r="AM460" t="s">
        <v>92</v>
      </c>
      <c r="AN460" t="s">
        <v>392</v>
      </c>
      <c r="AO460" t="s">
        <v>94</v>
      </c>
      <c r="AP460" t="s">
        <v>95</v>
      </c>
      <c r="AQ460" t="s">
        <v>74</v>
      </c>
      <c r="AR460" t="s">
        <v>77</v>
      </c>
      <c r="AS460" t="s">
        <v>96</v>
      </c>
      <c r="AT460" t="s">
        <v>8888</v>
      </c>
      <c r="AU460">
        <v>2012</v>
      </c>
      <c r="AV460" t="s">
        <v>74</v>
      </c>
      <c r="AW460">
        <v>3203</v>
      </c>
      <c r="AX460" t="s">
        <v>74</v>
      </c>
      <c r="AY460" t="s">
        <v>74</v>
      </c>
      <c r="AZ460" t="s">
        <v>74</v>
      </c>
      <c r="BA460" t="s">
        <v>74</v>
      </c>
      <c r="BB460">
        <v>3</v>
      </c>
      <c r="BC460" t="s">
        <v>1734</v>
      </c>
      <c r="BD460" t="s">
        <v>74</v>
      </c>
      <c r="BE460" t="s">
        <v>74</v>
      </c>
      <c r="BF460" t="s">
        <v>74</v>
      </c>
      <c r="BG460" t="s">
        <v>74</v>
      </c>
      <c r="BH460" t="s">
        <v>74</v>
      </c>
      <c r="BI460">
        <v>63</v>
      </c>
      <c r="BJ460" t="s">
        <v>98</v>
      </c>
      <c r="BK460" t="s">
        <v>99</v>
      </c>
      <c r="BL460" t="s">
        <v>98</v>
      </c>
      <c r="BM460" t="s">
        <v>8905</v>
      </c>
      <c r="BN460" t="s">
        <v>74</v>
      </c>
      <c r="BO460" t="s">
        <v>74</v>
      </c>
      <c r="BP460" t="s">
        <v>74</v>
      </c>
      <c r="BQ460" t="s">
        <v>74</v>
      </c>
      <c r="BR460" t="s">
        <v>101</v>
      </c>
      <c r="BS460" t="s">
        <v>8906</v>
      </c>
      <c r="BT460" t="str">
        <f>HYPERLINK("https%3A%2F%2Fwww.webofscience.com%2Fwos%2Fwoscc%2Ffull-record%2FWOS:000300838800001","View Full Record in Web of Science")</f>
        <v>View Full Record in Web of Science</v>
      </c>
    </row>
    <row r="461" spans="1:72" x14ac:dyDescent="0.15">
      <c r="A461" t="s">
        <v>72</v>
      </c>
      <c r="B461" t="s">
        <v>8907</v>
      </c>
      <c r="C461" t="s">
        <v>74</v>
      </c>
      <c r="D461" t="s">
        <v>74</v>
      </c>
      <c r="E461" t="s">
        <v>74</v>
      </c>
      <c r="F461" t="s">
        <v>8908</v>
      </c>
      <c r="G461" t="s">
        <v>74</v>
      </c>
      <c r="H461" t="s">
        <v>74</v>
      </c>
      <c r="I461" t="s">
        <v>8909</v>
      </c>
      <c r="J461" t="s">
        <v>502</v>
      </c>
      <c r="K461" t="s">
        <v>74</v>
      </c>
      <c r="L461" t="s">
        <v>74</v>
      </c>
      <c r="M461" t="s">
        <v>78</v>
      </c>
      <c r="N461" t="s">
        <v>79</v>
      </c>
      <c r="O461" t="s">
        <v>74</v>
      </c>
      <c r="P461" t="s">
        <v>74</v>
      </c>
      <c r="Q461" t="s">
        <v>74</v>
      </c>
      <c r="R461" t="s">
        <v>74</v>
      </c>
      <c r="S461" t="s">
        <v>74</v>
      </c>
      <c r="T461" t="s">
        <v>74</v>
      </c>
      <c r="U461" t="s">
        <v>8910</v>
      </c>
      <c r="V461" t="s">
        <v>8911</v>
      </c>
      <c r="W461" t="s">
        <v>8912</v>
      </c>
      <c r="X461" t="s">
        <v>8913</v>
      </c>
      <c r="Y461" t="s">
        <v>8914</v>
      </c>
      <c r="Z461" t="s">
        <v>8915</v>
      </c>
      <c r="AA461" t="s">
        <v>8916</v>
      </c>
      <c r="AB461" t="s">
        <v>8917</v>
      </c>
      <c r="AC461" t="s">
        <v>8918</v>
      </c>
      <c r="AD461" t="s">
        <v>8919</v>
      </c>
      <c r="AE461" t="s">
        <v>8920</v>
      </c>
      <c r="AF461" t="s">
        <v>74</v>
      </c>
      <c r="AG461">
        <v>105</v>
      </c>
      <c r="AH461">
        <v>28</v>
      </c>
      <c r="AI461">
        <v>29</v>
      </c>
      <c r="AJ461">
        <v>0</v>
      </c>
      <c r="AK461">
        <v>24</v>
      </c>
      <c r="AL461" t="s">
        <v>513</v>
      </c>
      <c r="AM461" t="s">
        <v>514</v>
      </c>
      <c r="AN461" t="s">
        <v>515</v>
      </c>
      <c r="AO461" t="s">
        <v>516</v>
      </c>
      <c r="AP461" t="s">
        <v>74</v>
      </c>
      <c r="AQ461" t="s">
        <v>74</v>
      </c>
      <c r="AR461" t="s">
        <v>502</v>
      </c>
      <c r="AS461" t="s">
        <v>517</v>
      </c>
      <c r="AT461" t="s">
        <v>8921</v>
      </c>
      <c r="AU461">
        <v>2012</v>
      </c>
      <c r="AV461">
        <v>7</v>
      </c>
      <c r="AW461">
        <v>2</v>
      </c>
      <c r="AX461" t="s">
        <v>74</v>
      </c>
      <c r="AY461" t="s">
        <v>74</v>
      </c>
      <c r="AZ461" t="s">
        <v>74</v>
      </c>
      <c r="BA461" t="s">
        <v>74</v>
      </c>
      <c r="BB461" t="s">
        <v>74</v>
      </c>
      <c r="BC461" t="s">
        <v>74</v>
      </c>
      <c r="BD461" t="s">
        <v>8922</v>
      </c>
      <c r="BE461" t="s">
        <v>8923</v>
      </c>
      <c r="BF461" t="str">
        <f>HYPERLINK("http://dx.doi.org/10.1371/journal.pone.0031860","http://dx.doi.org/10.1371/journal.pone.0031860")</f>
        <v>http://dx.doi.org/10.1371/journal.pone.0031860</v>
      </c>
      <c r="BG461" t="s">
        <v>74</v>
      </c>
      <c r="BH461" t="s">
        <v>74</v>
      </c>
      <c r="BI461">
        <v>12</v>
      </c>
      <c r="BJ461" t="s">
        <v>153</v>
      </c>
      <c r="BK461" t="s">
        <v>99</v>
      </c>
      <c r="BL461" t="s">
        <v>154</v>
      </c>
      <c r="BM461" t="s">
        <v>8924</v>
      </c>
      <c r="BN461">
        <v>22363756</v>
      </c>
      <c r="BO461" t="s">
        <v>2787</v>
      </c>
      <c r="BP461" t="s">
        <v>74</v>
      </c>
      <c r="BQ461" t="s">
        <v>74</v>
      </c>
      <c r="BR461" t="s">
        <v>101</v>
      </c>
      <c r="BS461" t="s">
        <v>8925</v>
      </c>
      <c r="BT461" t="str">
        <f>HYPERLINK("https%3A%2F%2Fwww.webofscience.com%2Fwos%2Fwoscc%2Ffull-record%2FWOS:000302873700111","View Full Record in Web of Science")</f>
        <v>View Full Record in Web of Science</v>
      </c>
    </row>
    <row r="462" spans="1:72" x14ac:dyDescent="0.15">
      <c r="A462" t="s">
        <v>72</v>
      </c>
      <c r="B462" t="s">
        <v>8926</v>
      </c>
      <c r="C462" t="s">
        <v>74</v>
      </c>
      <c r="D462" t="s">
        <v>74</v>
      </c>
      <c r="E462" t="s">
        <v>74</v>
      </c>
      <c r="F462" t="s">
        <v>8927</v>
      </c>
      <c r="G462" t="s">
        <v>74</v>
      </c>
      <c r="H462" t="s">
        <v>74</v>
      </c>
      <c r="I462" t="s">
        <v>8928</v>
      </c>
      <c r="J462" t="s">
        <v>176</v>
      </c>
      <c r="K462" t="s">
        <v>74</v>
      </c>
      <c r="L462" t="s">
        <v>74</v>
      </c>
      <c r="M462" t="s">
        <v>78</v>
      </c>
      <c r="N462" t="s">
        <v>79</v>
      </c>
      <c r="O462" t="s">
        <v>74</v>
      </c>
      <c r="P462" t="s">
        <v>74</v>
      </c>
      <c r="Q462" t="s">
        <v>74</v>
      </c>
      <c r="R462" t="s">
        <v>74</v>
      </c>
      <c r="S462" t="s">
        <v>74</v>
      </c>
      <c r="T462" t="s">
        <v>74</v>
      </c>
      <c r="U462" t="s">
        <v>8929</v>
      </c>
      <c r="V462" t="s">
        <v>8930</v>
      </c>
      <c r="W462" t="s">
        <v>8931</v>
      </c>
      <c r="X462" t="s">
        <v>8932</v>
      </c>
      <c r="Y462" t="s">
        <v>8933</v>
      </c>
      <c r="Z462" t="s">
        <v>6811</v>
      </c>
      <c r="AA462" t="s">
        <v>8934</v>
      </c>
      <c r="AB462" t="s">
        <v>8935</v>
      </c>
      <c r="AC462" t="s">
        <v>143</v>
      </c>
      <c r="AD462" t="s">
        <v>144</v>
      </c>
      <c r="AE462" t="s">
        <v>8936</v>
      </c>
      <c r="AF462" t="s">
        <v>74</v>
      </c>
      <c r="AG462">
        <v>25</v>
      </c>
      <c r="AH462">
        <v>291</v>
      </c>
      <c r="AI462">
        <v>314</v>
      </c>
      <c r="AJ462">
        <v>3</v>
      </c>
      <c r="AK462">
        <v>63</v>
      </c>
      <c r="AL462" t="s">
        <v>118</v>
      </c>
      <c r="AM462" t="s">
        <v>119</v>
      </c>
      <c r="AN462" t="s">
        <v>120</v>
      </c>
      <c r="AO462" t="s">
        <v>187</v>
      </c>
      <c r="AP462" t="s">
        <v>74</v>
      </c>
      <c r="AQ462" t="s">
        <v>74</v>
      </c>
      <c r="AR462" t="s">
        <v>189</v>
      </c>
      <c r="AS462" t="s">
        <v>190</v>
      </c>
      <c r="AT462" t="s">
        <v>8921</v>
      </c>
      <c r="AU462">
        <v>2012</v>
      </c>
      <c r="AV462">
        <v>39</v>
      </c>
      <c r="AW462" t="s">
        <v>74</v>
      </c>
      <c r="AX462" t="s">
        <v>74</v>
      </c>
      <c r="AY462" t="s">
        <v>74</v>
      </c>
      <c r="AZ462" t="s">
        <v>74</v>
      </c>
      <c r="BA462" t="s">
        <v>74</v>
      </c>
      <c r="BB462" t="s">
        <v>74</v>
      </c>
      <c r="BC462" t="s">
        <v>74</v>
      </c>
      <c r="BD462" t="s">
        <v>8937</v>
      </c>
      <c r="BE462" t="s">
        <v>8938</v>
      </c>
      <c r="BF462" t="str">
        <f>HYPERLINK("http://dx.doi.org/10.1029/2011GL050713","http://dx.doi.org/10.1029/2011GL050713")</f>
        <v>http://dx.doi.org/10.1029/2011GL050713</v>
      </c>
      <c r="BG462" t="s">
        <v>74</v>
      </c>
      <c r="BH462" t="s">
        <v>74</v>
      </c>
      <c r="BI462">
        <v>5</v>
      </c>
      <c r="BJ462" t="s">
        <v>194</v>
      </c>
      <c r="BK462" t="s">
        <v>99</v>
      </c>
      <c r="BL462" t="s">
        <v>195</v>
      </c>
      <c r="BM462" t="s">
        <v>8939</v>
      </c>
      <c r="BN462" t="s">
        <v>74</v>
      </c>
      <c r="BO462" t="s">
        <v>217</v>
      </c>
      <c r="BP462" t="s">
        <v>74</v>
      </c>
      <c r="BQ462" t="s">
        <v>74</v>
      </c>
      <c r="BR462" t="s">
        <v>101</v>
      </c>
      <c r="BS462" t="s">
        <v>8940</v>
      </c>
      <c r="BT462" t="str">
        <f>HYPERLINK("https%3A%2F%2Fwww.webofscience.com%2Fwos%2Fwoscc%2Ffull-record%2FWOS:000300794400004","View Full Record in Web of Science")</f>
        <v>View Full Record in Web of Science</v>
      </c>
    </row>
    <row r="463" spans="1:72" x14ac:dyDescent="0.15">
      <c r="A463" t="s">
        <v>72</v>
      </c>
      <c r="B463" t="s">
        <v>8941</v>
      </c>
      <c r="C463" t="s">
        <v>74</v>
      </c>
      <c r="D463" t="s">
        <v>74</v>
      </c>
      <c r="E463" t="s">
        <v>74</v>
      </c>
      <c r="F463" t="s">
        <v>8942</v>
      </c>
      <c r="G463" t="s">
        <v>74</v>
      </c>
      <c r="H463" t="s">
        <v>74</v>
      </c>
      <c r="I463" t="s">
        <v>8943</v>
      </c>
      <c r="J463" t="s">
        <v>176</v>
      </c>
      <c r="K463" t="s">
        <v>74</v>
      </c>
      <c r="L463" t="s">
        <v>74</v>
      </c>
      <c r="M463" t="s">
        <v>78</v>
      </c>
      <c r="N463" t="s">
        <v>79</v>
      </c>
      <c r="O463" t="s">
        <v>74</v>
      </c>
      <c r="P463" t="s">
        <v>74</v>
      </c>
      <c r="Q463" t="s">
        <v>74</v>
      </c>
      <c r="R463" t="s">
        <v>74</v>
      </c>
      <c r="S463" t="s">
        <v>74</v>
      </c>
      <c r="T463" t="s">
        <v>74</v>
      </c>
      <c r="U463" t="s">
        <v>8944</v>
      </c>
      <c r="V463" t="s">
        <v>8945</v>
      </c>
      <c r="W463" t="s">
        <v>8946</v>
      </c>
      <c r="X463" t="s">
        <v>8947</v>
      </c>
      <c r="Y463" t="s">
        <v>8948</v>
      </c>
      <c r="Z463" t="s">
        <v>8949</v>
      </c>
      <c r="AA463" t="s">
        <v>8950</v>
      </c>
      <c r="AB463" t="s">
        <v>8951</v>
      </c>
      <c r="AC463" t="s">
        <v>8952</v>
      </c>
      <c r="AD463" t="s">
        <v>8953</v>
      </c>
      <c r="AE463" t="s">
        <v>8954</v>
      </c>
      <c r="AF463" t="s">
        <v>74</v>
      </c>
      <c r="AG463">
        <v>12</v>
      </c>
      <c r="AH463">
        <v>10</v>
      </c>
      <c r="AI463">
        <v>10</v>
      </c>
      <c r="AJ463">
        <v>0</v>
      </c>
      <c r="AK463">
        <v>2</v>
      </c>
      <c r="AL463" t="s">
        <v>118</v>
      </c>
      <c r="AM463" t="s">
        <v>119</v>
      </c>
      <c r="AN463" t="s">
        <v>120</v>
      </c>
      <c r="AO463" t="s">
        <v>187</v>
      </c>
      <c r="AP463" t="s">
        <v>188</v>
      </c>
      <c r="AQ463" t="s">
        <v>74</v>
      </c>
      <c r="AR463" t="s">
        <v>189</v>
      </c>
      <c r="AS463" t="s">
        <v>190</v>
      </c>
      <c r="AT463" t="s">
        <v>8921</v>
      </c>
      <c r="AU463">
        <v>2012</v>
      </c>
      <c r="AV463">
        <v>39</v>
      </c>
      <c r="AW463" t="s">
        <v>74</v>
      </c>
      <c r="AX463" t="s">
        <v>74</v>
      </c>
      <c r="AY463" t="s">
        <v>74</v>
      </c>
      <c r="AZ463" t="s">
        <v>74</v>
      </c>
      <c r="BA463" t="s">
        <v>74</v>
      </c>
      <c r="BB463" t="s">
        <v>74</v>
      </c>
      <c r="BC463" t="s">
        <v>74</v>
      </c>
      <c r="BD463" t="s">
        <v>8955</v>
      </c>
      <c r="BE463" t="s">
        <v>8956</v>
      </c>
      <c r="BF463" t="str">
        <f>HYPERLINK("http://dx.doi.org/10.1029/2011GL050420","http://dx.doi.org/10.1029/2011GL050420")</f>
        <v>http://dx.doi.org/10.1029/2011GL050420</v>
      </c>
      <c r="BG463" t="s">
        <v>74</v>
      </c>
      <c r="BH463" t="s">
        <v>74</v>
      </c>
      <c r="BI463">
        <v>5</v>
      </c>
      <c r="BJ463" t="s">
        <v>194</v>
      </c>
      <c r="BK463" t="s">
        <v>99</v>
      </c>
      <c r="BL463" t="s">
        <v>195</v>
      </c>
      <c r="BM463" t="s">
        <v>8939</v>
      </c>
      <c r="BN463" t="s">
        <v>74</v>
      </c>
      <c r="BO463" t="s">
        <v>74</v>
      </c>
      <c r="BP463" t="s">
        <v>74</v>
      </c>
      <c r="BQ463" t="s">
        <v>74</v>
      </c>
      <c r="BR463" t="s">
        <v>101</v>
      </c>
      <c r="BS463" t="s">
        <v>8957</v>
      </c>
      <c r="BT463" t="str">
        <f>HYPERLINK("https%3A%2F%2Fwww.webofscience.com%2Fwos%2Fwoscc%2Ffull-record%2FWOS:000300794400003","View Full Record in Web of Science")</f>
        <v>View Full Record in Web of Science</v>
      </c>
    </row>
    <row r="464" spans="1:72" x14ac:dyDescent="0.15">
      <c r="A464" t="s">
        <v>72</v>
      </c>
      <c r="B464" t="s">
        <v>8958</v>
      </c>
      <c r="C464" t="s">
        <v>74</v>
      </c>
      <c r="D464" t="s">
        <v>74</v>
      </c>
      <c r="E464" t="s">
        <v>74</v>
      </c>
      <c r="F464" t="s">
        <v>8959</v>
      </c>
      <c r="G464" t="s">
        <v>74</v>
      </c>
      <c r="H464" t="s">
        <v>74</v>
      </c>
      <c r="I464" t="s">
        <v>8960</v>
      </c>
      <c r="J464" t="s">
        <v>2975</v>
      </c>
      <c r="K464" t="s">
        <v>74</v>
      </c>
      <c r="L464" t="s">
        <v>74</v>
      </c>
      <c r="M464" t="s">
        <v>78</v>
      </c>
      <c r="N464" t="s">
        <v>1073</v>
      </c>
      <c r="O464" t="s">
        <v>74</v>
      </c>
      <c r="P464" t="s">
        <v>74</v>
      </c>
      <c r="Q464" t="s">
        <v>74</v>
      </c>
      <c r="R464" t="s">
        <v>74</v>
      </c>
      <c r="S464" t="s">
        <v>74</v>
      </c>
      <c r="T464" t="s">
        <v>8961</v>
      </c>
      <c r="U464" t="s">
        <v>8962</v>
      </c>
      <c r="V464" t="s">
        <v>8963</v>
      </c>
      <c r="W464" t="s">
        <v>8964</v>
      </c>
      <c r="X464" t="s">
        <v>8965</v>
      </c>
      <c r="Y464" t="s">
        <v>8966</v>
      </c>
      <c r="Z464" t="s">
        <v>2847</v>
      </c>
      <c r="AA464" t="s">
        <v>8967</v>
      </c>
      <c r="AB464" t="s">
        <v>8968</v>
      </c>
      <c r="AC464" t="s">
        <v>8969</v>
      </c>
      <c r="AD464" t="s">
        <v>8970</v>
      </c>
      <c r="AE464" t="s">
        <v>8971</v>
      </c>
      <c r="AF464" t="s">
        <v>74</v>
      </c>
      <c r="AG464">
        <v>95</v>
      </c>
      <c r="AH464">
        <v>58</v>
      </c>
      <c r="AI464">
        <v>76</v>
      </c>
      <c r="AJ464">
        <v>1</v>
      </c>
      <c r="AK464">
        <v>52</v>
      </c>
      <c r="AL464" t="s">
        <v>277</v>
      </c>
      <c r="AM464" t="s">
        <v>278</v>
      </c>
      <c r="AN464" t="s">
        <v>279</v>
      </c>
      <c r="AO464" t="s">
        <v>2988</v>
      </c>
      <c r="AP464" t="s">
        <v>8972</v>
      </c>
      <c r="AQ464" t="s">
        <v>74</v>
      </c>
      <c r="AR464" t="s">
        <v>2989</v>
      </c>
      <c r="AS464" t="s">
        <v>2990</v>
      </c>
      <c r="AT464" t="s">
        <v>8921</v>
      </c>
      <c r="AU464">
        <v>2012</v>
      </c>
      <c r="AV464">
        <v>34</v>
      </c>
      <c r="AW464" t="s">
        <v>74</v>
      </c>
      <c r="AX464" t="s">
        <v>74</v>
      </c>
      <c r="AY464" t="s">
        <v>74</v>
      </c>
      <c r="AZ464" t="s">
        <v>74</v>
      </c>
      <c r="BA464" t="s">
        <v>74</v>
      </c>
      <c r="BB464">
        <v>93</v>
      </c>
      <c r="BC464">
        <v>112</v>
      </c>
      <c r="BD464" t="s">
        <v>74</v>
      </c>
      <c r="BE464" t="s">
        <v>8973</v>
      </c>
      <c r="BF464" t="str">
        <f>HYPERLINK("http://dx.doi.org/10.1016/j.quascirev.2011.12.012","http://dx.doi.org/10.1016/j.quascirev.2011.12.012")</f>
        <v>http://dx.doi.org/10.1016/j.quascirev.2011.12.012</v>
      </c>
      <c r="BG464" t="s">
        <v>74</v>
      </c>
      <c r="BH464" t="s">
        <v>74</v>
      </c>
      <c r="BI464">
        <v>20</v>
      </c>
      <c r="BJ464" t="s">
        <v>943</v>
      </c>
      <c r="BK464" t="s">
        <v>99</v>
      </c>
      <c r="BL464" t="s">
        <v>944</v>
      </c>
      <c r="BM464" t="s">
        <v>8974</v>
      </c>
      <c r="BN464" t="s">
        <v>74</v>
      </c>
      <c r="BO464" t="s">
        <v>74</v>
      </c>
      <c r="BP464" t="s">
        <v>74</v>
      </c>
      <c r="BQ464" t="s">
        <v>74</v>
      </c>
      <c r="BR464" t="s">
        <v>101</v>
      </c>
      <c r="BS464" t="s">
        <v>8975</v>
      </c>
      <c r="BT464" t="str">
        <f>HYPERLINK("https%3A%2F%2Fwww.webofscience.com%2Fwos%2Fwoscc%2Ffull-record%2FWOS:000301826100008","View Full Record in Web of Science")</f>
        <v>View Full Record in Web of Science</v>
      </c>
    </row>
    <row r="465" spans="1:72" x14ac:dyDescent="0.15">
      <c r="A465" t="s">
        <v>72</v>
      </c>
      <c r="B465" t="s">
        <v>8976</v>
      </c>
      <c r="C465" t="s">
        <v>74</v>
      </c>
      <c r="D465" t="s">
        <v>74</v>
      </c>
      <c r="E465" t="s">
        <v>74</v>
      </c>
      <c r="F465" t="s">
        <v>8977</v>
      </c>
      <c r="G465" t="s">
        <v>74</v>
      </c>
      <c r="H465" t="s">
        <v>74</v>
      </c>
      <c r="I465" t="s">
        <v>8978</v>
      </c>
      <c r="J465" t="s">
        <v>2899</v>
      </c>
      <c r="K465" t="s">
        <v>74</v>
      </c>
      <c r="L465" t="s">
        <v>74</v>
      </c>
      <c r="M465" t="s">
        <v>78</v>
      </c>
      <c r="N465" t="s">
        <v>79</v>
      </c>
      <c r="O465" t="s">
        <v>74</v>
      </c>
      <c r="P465" t="s">
        <v>74</v>
      </c>
      <c r="Q465" t="s">
        <v>74</v>
      </c>
      <c r="R465" t="s">
        <v>74</v>
      </c>
      <c r="S465" t="s">
        <v>74</v>
      </c>
      <c r="T465" t="s">
        <v>8979</v>
      </c>
      <c r="U465" t="s">
        <v>8980</v>
      </c>
      <c r="V465" t="s">
        <v>8981</v>
      </c>
      <c r="W465" t="s">
        <v>8982</v>
      </c>
      <c r="X465" t="s">
        <v>8983</v>
      </c>
      <c r="Y465" t="s">
        <v>8984</v>
      </c>
      <c r="Z465" t="s">
        <v>8985</v>
      </c>
      <c r="AA465" t="s">
        <v>8986</v>
      </c>
      <c r="AB465" t="s">
        <v>8987</v>
      </c>
      <c r="AC465" t="s">
        <v>8988</v>
      </c>
      <c r="AD465" t="s">
        <v>8989</v>
      </c>
      <c r="AE465" t="s">
        <v>8990</v>
      </c>
      <c r="AF465" t="s">
        <v>74</v>
      </c>
      <c r="AG465">
        <v>98</v>
      </c>
      <c r="AH465">
        <v>47</v>
      </c>
      <c r="AI465">
        <v>48</v>
      </c>
      <c r="AJ465">
        <v>0</v>
      </c>
      <c r="AK465">
        <v>41</v>
      </c>
      <c r="AL465" t="s">
        <v>935</v>
      </c>
      <c r="AM465" t="s">
        <v>369</v>
      </c>
      <c r="AN465" t="s">
        <v>936</v>
      </c>
      <c r="AO465" t="s">
        <v>2910</v>
      </c>
      <c r="AP465" t="s">
        <v>2911</v>
      </c>
      <c r="AQ465" t="s">
        <v>74</v>
      </c>
      <c r="AR465" t="s">
        <v>2912</v>
      </c>
      <c r="AS465" t="s">
        <v>2913</v>
      </c>
      <c r="AT465" t="s">
        <v>8991</v>
      </c>
      <c r="AU465">
        <v>2012</v>
      </c>
      <c r="AV465">
        <v>130</v>
      </c>
      <c r="AW465" t="s">
        <v>74</v>
      </c>
      <c r="AX465" t="s">
        <v>74</v>
      </c>
      <c r="AY465" t="s">
        <v>74</v>
      </c>
      <c r="AZ465" t="s">
        <v>74</v>
      </c>
      <c r="BA465" t="s">
        <v>74</v>
      </c>
      <c r="BB465">
        <v>62</v>
      </c>
      <c r="BC465">
        <v>72</v>
      </c>
      <c r="BD465" t="s">
        <v>74</v>
      </c>
      <c r="BE465" t="s">
        <v>8992</v>
      </c>
      <c r="BF465" t="str">
        <f>HYPERLINK("http://dx.doi.org/10.1016/j.marchem.2011.12.004","http://dx.doi.org/10.1016/j.marchem.2011.12.004")</f>
        <v>http://dx.doi.org/10.1016/j.marchem.2011.12.004</v>
      </c>
      <c r="BG465" t="s">
        <v>74</v>
      </c>
      <c r="BH465" t="s">
        <v>74</v>
      </c>
      <c r="BI465">
        <v>11</v>
      </c>
      <c r="BJ465" t="s">
        <v>2916</v>
      </c>
      <c r="BK465" t="s">
        <v>99</v>
      </c>
      <c r="BL465" t="s">
        <v>2917</v>
      </c>
      <c r="BM465" t="s">
        <v>8993</v>
      </c>
      <c r="BN465" t="s">
        <v>74</v>
      </c>
      <c r="BO465" t="s">
        <v>74</v>
      </c>
      <c r="BP465" t="s">
        <v>74</v>
      </c>
      <c r="BQ465" t="s">
        <v>74</v>
      </c>
      <c r="BR465" t="s">
        <v>101</v>
      </c>
      <c r="BS465" t="s">
        <v>8994</v>
      </c>
      <c r="BT465" t="str">
        <f>HYPERLINK("https%3A%2F%2Fwww.webofscience.com%2Fwos%2Fwoscc%2Ffull-record%2FWOS:000301966500008","View Full Record in Web of Science")</f>
        <v>View Full Record in Web of Science</v>
      </c>
    </row>
    <row r="466" spans="1:72" x14ac:dyDescent="0.15">
      <c r="A466" t="s">
        <v>72</v>
      </c>
      <c r="B466" t="s">
        <v>8995</v>
      </c>
      <c r="C466" t="s">
        <v>74</v>
      </c>
      <c r="D466" t="s">
        <v>74</v>
      </c>
      <c r="E466" t="s">
        <v>74</v>
      </c>
      <c r="F466" t="s">
        <v>8996</v>
      </c>
      <c r="G466" t="s">
        <v>74</v>
      </c>
      <c r="H466" t="s">
        <v>74</v>
      </c>
      <c r="I466" t="s">
        <v>8997</v>
      </c>
      <c r="J466" t="s">
        <v>333</v>
      </c>
      <c r="K466" t="s">
        <v>74</v>
      </c>
      <c r="L466" t="s">
        <v>74</v>
      </c>
      <c r="M466" t="s">
        <v>78</v>
      </c>
      <c r="N466" t="s">
        <v>79</v>
      </c>
      <c r="O466" t="s">
        <v>74</v>
      </c>
      <c r="P466" t="s">
        <v>74</v>
      </c>
      <c r="Q466" t="s">
        <v>74</v>
      </c>
      <c r="R466" t="s">
        <v>74</v>
      </c>
      <c r="S466" t="s">
        <v>74</v>
      </c>
      <c r="T466" t="s">
        <v>74</v>
      </c>
      <c r="U466" t="s">
        <v>8998</v>
      </c>
      <c r="V466" t="s">
        <v>8999</v>
      </c>
      <c r="W466" t="s">
        <v>9000</v>
      </c>
      <c r="X466" t="s">
        <v>180</v>
      </c>
      <c r="Y466" t="s">
        <v>9001</v>
      </c>
      <c r="Z466" t="s">
        <v>9002</v>
      </c>
      <c r="AA466" t="s">
        <v>9003</v>
      </c>
      <c r="AB466" t="s">
        <v>9004</v>
      </c>
      <c r="AC466" t="s">
        <v>9005</v>
      </c>
      <c r="AD466" t="s">
        <v>8851</v>
      </c>
      <c r="AE466" t="s">
        <v>9006</v>
      </c>
      <c r="AF466" t="s">
        <v>74</v>
      </c>
      <c r="AG466">
        <v>77</v>
      </c>
      <c r="AH466">
        <v>45</v>
      </c>
      <c r="AI466">
        <v>50</v>
      </c>
      <c r="AJ466">
        <v>0</v>
      </c>
      <c r="AK466">
        <v>32</v>
      </c>
      <c r="AL466" t="s">
        <v>118</v>
      </c>
      <c r="AM466" t="s">
        <v>119</v>
      </c>
      <c r="AN466" t="s">
        <v>120</v>
      </c>
      <c r="AO466" t="s">
        <v>344</v>
      </c>
      <c r="AP466" t="s">
        <v>345</v>
      </c>
      <c r="AQ466" t="s">
        <v>74</v>
      </c>
      <c r="AR466" t="s">
        <v>346</v>
      </c>
      <c r="AS466" t="s">
        <v>347</v>
      </c>
      <c r="AT466" t="s">
        <v>9007</v>
      </c>
      <c r="AU466">
        <v>2012</v>
      </c>
      <c r="AV466">
        <v>117</v>
      </c>
      <c r="AW466" t="s">
        <v>74</v>
      </c>
      <c r="AX466" t="s">
        <v>74</v>
      </c>
      <c r="AY466" t="s">
        <v>74</v>
      </c>
      <c r="AZ466" t="s">
        <v>74</v>
      </c>
      <c r="BA466" t="s">
        <v>74</v>
      </c>
      <c r="BB466" t="s">
        <v>74</v>
      </c>
      <c r="BC466" t="s">
        <v>74</v>
      </c>
      <c r="BD466" t="s">
        <v>9008</v>
      </c>
      <c r="BE466" t="s">
        <v>9009</v>
      </c>
      <c r="BF466" t="str">
        <f>HYPERLINK("http://dx.doi.org/10.1029/2011JC007126","http://dx.doi.org/10.1029/2011JC007126")</f>
        <v>http://dx.doi.org/10.1029/2011JC007126</v>
      </c>
      <c r="BG466" t="s">
        <v>74</v>
      </c>
      <c r="BH466" t="s">
        <v>74</v>
      </c>
      <c r="BI466">
        <v>17</v>
      </c>
      <c r="BJ466" t="s">
        <v>350</v>
      </c>
      <c r="BK466" t="s">
        <v>99</v>
      </c>
      <c r="BL466" t="s">
        <v>350</v>
      </c>
      <c r="BM466" t="s">
        <v>9010</v>
      </c>
      <c r="BN466" t="s">
        <v>74</v>
      </c>
      <c r="BO466" t="s">
        <v>217</v>
      </c>
      <c r="BP466" t="s">
        <v>74</v>
      </c>
      <c r="BQ466" t="s">
        <v>74</v>
      </c>
      <c r="BR466" t="s">
        <v>101</v>
      </c>
      <c r="BS466" t="s">
        <v>9011</v>
      </c>
      <c r="BT466" t="str">
        <f>HYPERLINK("https%3A%2F%2Fwww.webofscience.com%2Fwos%2Fwoscc%2Ffull-record%2FWOS:000300825500001","View Full Record in Web of Science")</f>
        <v>View Full Record in Web of Science</v>
      </c>
    </row>
    <row r="467" spans="1:72" x14ac:dyDescent="0.15">
      <c r="A467" t="s">
        <v>72</v>
      </c>
      <c r="B467" t="s">
        <v>9012</v>
      </c>
      <c r="C467" t="s">
        <v>74</v>
      </c>
      <c r="D467" t="s">
        <v>74</v>
      </c>
      <c r="E467" t="s">
        <v>74</v>
      </c>
      <c r="F467" t="s">
        <v>9013</v>
      </c>
      <c r="G467" t="s">
        <v>74</v>
      </c>
      <c r="H467" t="s">
        <v>74</v>
      </c>
      <c r="I467" t="s">
        <v>9014</v>
      </c>
      <c r="J467" t="s">
        <v>2697</v>
      </c>
      <c r="K467" t="s">
        <v>74</v>
      </c>
      <c r="L467" t="s">
        <v>74</v>
      </c>
      <c r="M467" t="s">
        <v>78</v>
      </c>
      <c r="N467" t="s">
        <v>79</v>
      </c>
      <c r="O467" t="s">
        <v>74</v>
      </c>
      <c r="P467" t="s">
        <v>74</v>
      </c>
      <c r="Q467" t="s">
        <v>74</v>
      </c>
      <c r="R467" t="s">
        <v>74</v>
      </c>
      <c r="S467" t="s">
        <v>74</v>
      </c>
      <c r="T467" t="s">
        <v>74</v>
      </c>
      <c r="U467" t="s">
        <v>9015</v>
      </c>
      <c r="V467" t="s">
        <v>9016</v>
      </c>
      <c r="W467" t="s">
        <v>9017</v>
      </c>
      <c r="X467" t="s">
        <v>9018</v>
      </c>
      <c r="Y467" t="s">
        <v>9019</v>
      </c>
      <c r="Z467" t="s">
        <v>9020</v>
      </c>
      <c r="AA467" t="s">
        <v>74</v>
      </c>
      <c r="AB467" t="s">
        <v>74</v>
      </c>
      <c r="AC467" t="s">
        <v>9021</v>
      </c>
      <c r="AD467" t="s">
        <v>9022</v>
      </c>
      <c r="AE467" t="s">
        <v>9023</v>
      </c>
      <c r="AF467" t="s">
        <v>74</v>
      </c>
      <c r="AG467">
        <v>30</v>
      </c>
      <c r="AH467">
        <v>175</v>
      </c>
      <c r="AI467">
        <v>202</v>
      </c>
      <c r="AJ467">
        <v>2</v>
      </c>
      <c r="AK467">
        <v>70</v>
      </c>
      <c r="AL467" t="s">
        <v>2709</v>
      </c>
      <c r="AM467" t="s">
        <v>119</v>
      </c>
      <c r="AN467" t="s">
        <v>2710</v>
      </c>
      <c r="AO467" t="s">
        <v>2711</v>
      </c>
      <c r="AP467" t="s">
        <v>2712</v>
      </c>
      <c r="AQ467" t="s">
        <v>74</v>
      </c>
      <c r="AR467" t="s">
        <v>2697</v>
      </c>
      <c r="AS467" t="s">
        <v>2713</v>
      </c>
      <c r="AT467" t="s">
        <v>9007</v>
      </c>
      <c r="AU467">
        <v>2012</v>
      </c>
      <c r="AV467">
        <v>335</v>
      </c>
      <c r="AW467">
        <v>6070</v>
      </c>
      <c r="AX467" t="s">
        <v>74</v>
      </c>
      <c r="AY467" t="s">
        <v>74</v>
      </c>
      <c r="AZ467" t="s">
        <v>74</v>
      </c>
      <c r="BA467" t="s">
        <v>74</v>
      </c>
      <c r="BB467">
        <v>848</v>
      </c>
      <c r="BC467">
        <v>851</v>
      </c>
      <c r="BD467" t="s">
        <v>74</v>
      </c>
      <c r="BE467" t="s">
        <v>9024</v>
      </c>
      <c r="BF467" t="str">
        <f>HYPERLINK("http://dx.doi.org/10.1126/science.1212795","http://dx.doi.org/10.1126/science.1212795")</f>
        <v>http://dx.doi.org/10.1126/science.1212795</v>
      </c>
      <c r="BG467" t="s">
        <v>74</v>
      </c>
      <c r="BH467" t="s">
        <v>74</v>
      </c>
      <c r="BI467">
        <v>4</v>
      </c>
      <c r="BJ467" t="s">
        <v>153</v>
      </c>
      <c r="BK467" t="s">
        <v>99</v>
      </c>
      <c r="BL467" t="s">
        <v>154</v>
      </c>
      <c r="BM467" t="s">
        <v>9025</v>
      </c>
      <c r="BN467">
        <v>22223739</v>
      </c>
      <c r="BO467" t="s">
        <v>130</v>
      </c>
      <c r="BP467" t="s">
        <v>74</v>
      </c>
      <c r="BQ467" t="s">
        <v>74</v>
      </c>
      <c r="BR467" t="s">
        <v>101</v>
      </c>
      <c r="BS467" t="s">
        <v>9026</v>
      </c>
      <c r="BT467" t="str">
        <f>HYPERLINK("https%3A%2F%2Fwww.webofscience.com%2Fwos%2Fwoscc%2Ffull-record%2FWOS:000300356400042","View Full Record in Web of Science")</f>
        <v>View Full Record in Web of Science</v>
      </c>
    </row>
    <row r="468" spans="1:72" x14ac:dyDescent="0.15">
      <c r="A468" t="s">
        <v>72</v>
      </c>
      <c r="B468" t="s">
        <v>9027</v>
      </c>
      <c r="C468" t="s">
        <v>74</v>
      </c>
      <c r="D468" t="s">
        <v>74</v>
      </c>
      <c r="E468" t="s">
        <v>74</v>
      </c>
      <c r="F468" t="s">
        <v>9028</v>
      </c>
      <c r="G468" t="s">
        <v>74</v>
      </c>
      <c r="H468" t="s">
        <v>74</v>
      </c>
      <c r="I468" t="s">
        <v>9029</v>
      </c>
      <c r="J468" t="s">
        <v>106</v>
      </c>
      <c r="K468" t="s">
        <v>74</v>
      </c>
      <c r="L468" t="s">
        <v>74</v>
      </c>
      <c r="M468" t="s">
        <v>78</v>
      </c>
      <c r="N468" t="s">
        <v>79</v>
      </c>
      <c r="O468" t="s">
        <v>74</v>
      </c>
      <c r="P468" t="s">
        <v>74</v>
      </c>
      <c r="Q468" t="s">
        <v>74</v>
      </c>
      <c r="R468" t="s">
        <v>74</v>
      </c>
      <c r="S468" t="s">
        <v>74</v>
      </c>
      <c r="T468" t="s">
        <v>74</v>
      </c>
      <c r="U468" t="s">
        <v>9030</v>
      </c>
      <c r="V468" t="s">
        <v>9031</v>
      </c>
      <c r="W468" t="s">
        <v>9032</v>
      </c>
      <c r="X468" t="s">
        <v>9033</v>
      </c>
      <c r="Y468" t="s">
        <v>9034</v>
      </c>
      <c r="Z468" t="s">
        <v>9035</v>
      </c>
      <c r="AA468" t="s">
        <v>9036</v>
      </c>
      <c r="AB468" t="s">
        <v>9037</v>
      </c>
      <c r="AC468" t="s">
        <v>9038</v>
      </c>
      <c r="AD468" t="s">
        <v>8851</v>
      </c>
      <c r="AE468" t="s">
        <v>9039</v>
      </c>
      <c r="AF468" t="s">
        <v>74</v>
      </c>
      <c r="AG468">
        <v>64</v>
      </c>
      <c r="AH468">
        <v>42</v>
      </c>
      <c r="AI468">
        <v>48</v>
      </c>
      <c r="AJ468">
        <v>0</v>
      </c>
      <c r="AK468">
        <v>16</v>
      </c>
      <c r="AL468" t="s">
        <v>118</v>
      </c>
      <c r="AM468" t="s">
        <v>119</v>
      </c>
      <c r="AN468" t="s">
        <v>120</v>
      </c>
      <c r="AO468" t="s">
        <v>121</v>
      </c>
      <c r="AP468" t="s">
        <v>122</v>
      </c>
      <c r="AQ468" t="s">
        <v>74</v>
      </c>
      <c r="AR468" t="s">
        <v>123</v>
      </c>
      <c r="AS468" t="s">
        <v>124</v>
      </c>
      <c r="AT468" t="s">
        <v>9040</v>
      </c>
      <c r="AU468">
        <v>2012</v>
      </c>
      <c r="AV468">
        <v>117</v>
      </c>
      <c r="AW468" t="s">
        <v>74</v>
      </c>
      <c r="AX468" t="s">
        <v>74</v>
      </c>
      <c r="AY468" t="s">
        <v>74</v>
      </c>
      <c r="AZ468" t="s">
        <v>74</v>
      </c>
      <c r="BA468" t="s">
        <v>74</v>
      </c>
      <c r="BB468" t="s">
        <v>74</v>
      </c>
      <c r="BC468" t="s">
        <v>74</v>
      </c>
      <c r="BD468" t="s">
        <v>9041</v>
      </c>
      <c r="BE468" t="s">
        <v>9042</v>
      </c>
      <c r="BF468" t="str">
        <f>HYPERLINK("http://dx.doi.org/10.1029/2011JD016719","http://dx.doi.org/10.1029/2011JD016719")</f>
        <v>http://dx.doi.org/10.1029/2011JD016719</v>
      </c>
      <c r="BG468" t="s">
        <v>74</v>
      </c>
      <c r="BH468" t="s">
        <v>74</v>
      </c>
      <c r="BI468">
        <v>17</v>
      </c>
      <c r="BJ468" t="s">
        <v>128</v>
      </c>
      <c r="BK468" t="s">
        <v>99</v>
      </c>
      <c r="BL468" t="s">
        <v>128</v>
      </c>
      <c r="BM468" t="s">
        <v>9043</v>
      </c>
      <c r="BN468" t="s">
        <v>74</v>
      </c>
      <c r="BO468" t="s">
        <v>217</v>
      </c>
      <c r="BP468" t="s">
        <v>74</v>
      </c>
      <c r="BQ468" t="s">
        <v>74</v>
      </c>
      <c r="BR468" t="s">
        <v>101</v>
      </c>
      <c r="BS468" t="s">
        <v>9044</v>
      </c>
      <c r="BT468" t="str">
        <f>HYPERLINK("https%3A%2F%2Fwww.webofscience.com%2Fwos%2Fwoscc%2Ffull-record%2FWOS:000300821600003","View Full Record in Web of Science")</f>
        <v>View Full Record in Web of Science</v>
      </c>
    </row>
    <row r="469" spans="1:72" x14ac:dyDescent="0.15">
      <c r="A469" t="s">
        <v>72</v>
      </c>
      <c r="B469" t="s">
        <v>9045</v>
      </c>
      <c r="C469" t="s">
        <v>74</v>
      </c>
      <c r="D469" t="s">
        <v>74</v>
      </c>
      <c r="E469" t="s">
        <v>74</v>
      </c>
      <c r="F469" t="s">
        <v>9046</v>
      </c>
      <c r="G469" t="s">
        <v>74</v>
      </c>
      <c r="H469" t="s">
        <v>74</v>
      </c>
      <c r="I469" t="s">
        <v>9047</v>
      </c>
      <c r="J469" t="s">
        <v>2817</v>
      </c>
      <c r="K469" t="s">
        <v>74</v>
      </c>
      <c r="L469" t="s">
        <v>74</v>
      </c>
      <c r="M469" t="s">
        <v>78</v>
      </c>
      <c r="N469" t="s">
        <v>79</v>
      </c>
      <c r="O469" t="s">
        <v>74</v>
      </c>
      <c r="P469" t="s">
        <v>74</v>
      </c>
      <c r="Q469" t="s">
        <v>74</v>
      </c>
      <c r="R469" t="s">
        <v>74</v>
      </c>
      <c r="S469" t="s">
        <v>74</v>
      </c>
      <c r="T469" t="s">
        <v>74</v>
      </c>
      <c r="U469" t="s">
        <v>9048</v>
      </c>
      <c r="V469" t="s">
        <v>9049</v>
      </c>
      <c r="W469" t="s">
        <v>9050</v>
      </c>
      <c r="X469" t="s">
        <v>9051</v>
      </c>
      <c r="Y469" t="s">
        <v>9052</v>
      </c>
      <c r="Z469" t="s">
        <v>9053</v>
      </c>
      <c r="AA469" t="s">
        <v>74</v>
      </c>
      <c r="AB469" t="s">
        <v>9054</v>
      </c>
      <c r="AC469" t="s">
        <v>9055</v>
      </c>
      <c r="AD469" t="s">
        <v>9056</v>
      </c>
      <c r="AE469" t="s">
        <v>9057</v>
      </c>
      <c r="AF469" t="s">
        <v>74</v>
      </c>
      <c r="AG469">
        <v>50</v>
      </c>
      <c r="AH469">
        <v>21</v>
      </c>
      <c r="AI469">
        <v>26</v>
      </c>
      <c r="AJ469">
        <v>0</v>
      </c>
      <c r="AK469">
        <v>18</v>
      </c>
      <c r="AL469" t="s">
        <v>118</v>
      </c>
      <c r="AM469" t="s">
        <v>119</v>
      </c>
      <c r="AN469" t="s">
        <v>120</v>
      </c>
      <c r="AO469" t="s">
        <v>2828</v>
      </c>
      <c r="AP469" t="s">
        <v>2829</v>
      </c>
      <c r="AQ469" t="s">
        <v>74</v>
      </c>
      <c r="AR469" t="s">
        <v>2817</v>
      </c>
      <c r="AS469" t="s">
        <v>2830</v>
      </c>
      <c r="AT469" t="s">
        <v>9040</v>
      </c>
      <c r="AU469">
        <v>2012</v>
      </c>
      <c r="AV469">
        <v>27</v>
      </c>
      <c r="AW469" t="s">
        <v>74</v>
      </c>
      <c r="AX469" t="s">
        <v>74</v>
      </c>
      <c r="AY469" t="s">
        <v>74</v>
      </c>
      <c r="AZ469" t="s">
        <v>74</v>
      </c>
      <c r="BA469" t="s">
        <v>74</v>
      </c>
      <c r="BB469" t="s">
        <v>74</v>
      </c>
      <c r="BC469" t="s">
        <v>74</v>
      </c>
      <c r="BD469" t="s">
        <v>9058</v>
      </c>
      <c r="BE469" t="s">
        <v>9059</v>
      </c>
      <c r="BF469" t="str">
        <f>HYPERLINK("http://dx.doi.org/10.1029/2011PA002187","http://dx.doi.org/10.1029/2011PA002187")</f>
        <v>http://dx.doi.org/10.1029/2011PA002187</v>
      </c>
      <c r="BG469" t="s">
        <v>74</v>
      </c>
      <c r="BH469" t="s">
        <v>74</v>
      </c>
      <c r="BI469">
        <v>14</v>
      </c>
      <c r="BJ469" t="s">
        <v>2834</v>
      </c>
      <c r="BK469" t="s">
        <v>99</v>
      </c>
      <c r="BL469" t="s">
        <v>2835</v>
      </c>
      <c r="BM469" t="s">
        <v>9060</v>
      </c>
      <c r="BN469" t="s">
        <v>74</v>
      </c>
      <c r="BO469" t="s">
        <v>6147</v>
      </c>
      <c r="BP469" t="s">
        <v>74</v>
      </c>
      <c r="BQ469" t="s">
        <v>74</v>
      </c>
      <c r="BR469" t="s">
        <v>101</v>
      </c>
      <c r="BS469" t="s">
        <v>9061</v>
      </c>
      <c r="BT469" t="str">
        <f>HYPERLINK("https%3A%2F%2Fwww.webofscience.com%2Fwos%2Fwoscc%2Ffull-record%2FWOS:000300826900001","View Full Record in Web of Science")</f>
        <v>View Full Record in Web of Science</v>
      </c>
    </row>
    <row r="470" spans="1:72" x14ac:dyDescent="0.15">
      <c r="A470" t="s">
        <v>72</v>
      </c>
      <c r="B470" t="s">
        <v>9062</v>
      </c>
      <c r="C470" t="s">
        <v>74</v>
      </c>
      <c r="D470" t="s">
        <v>74</v>
      </c>
      <c r="E470" t="s">
        <v>74</v>
      </c>
      <c r="F470" t="s">
        <v>9063</v>
      </c>
      <c r="G470" t="s">
        <v>74</v>
      </c>
      <c r="H470" t="s">
        <v>74</v>
      </c>
      <c r="I470" t="s">
        <v>9064</v>
      </c>
      <c r="J470" t="s">
        <v>106</v>
      </c>
      <c r="K470" t="s">
        <v>74</v>
      </c>
      <c r="L470" t="s">
        <v>74</v>
      </c>
      <c r="M470" t="s">
        <v>78</v>
      </c>
      <c r="N470" t="s">
        <v>79</v>
      </c>
      <c r="O470" t="s">
        <v>74</v>
      </c>
      <c r="P470" t="s">
        <v>74</v>
      </c>
      <c r="Q470" t="s">
        <v>74</v>
      </c>
      <c r="R470" t="s">
        <v>74</v>
      </c>
      <c r="S470" t="s">
        <v>74</v>
      </c>
      <c r="T470" t="s">
        <v>74</v>
      </c>
      <c r="U470" t="s">
        <v>9065</v>
      </c>
      <c r="V470" t="s">
        <v>9066</v>
      </c>
      <c r="W470" t="s">
        <v>9067</v>
      </c>
      <c r="X470" t="s">
        <v>9068</v>
      </c>
      <c r="Y470" t="s">
        <v>9069</v>
      </c>
      <c r="Z470" t="s">
        <v>9070</v>
      </c>
      <c r="AA470" t="s">
        <v>9071</v>
      </c>
      <c r="AB470" t="s">
        <v>9072</v>
      </c>
      <c r="AC470" t="s">
        <v>9073</v>
      </c>
      <c r="AD470" t="s">
        <v>9074</v>
      </c>
      <c r="AE470" t="s">
        <v>9075</v>
      </c>
      <c r="AF470" t="s">
        <v>74</v>
      </c>
      <c r="AG470">
        <v>29</v>
      </c>
      <c r="AH470">
        <v>14</v>
      </c>
      <c r="AI470">
        <v>14</v>
      </c>
      <c r="AJ470">
        <v>0</v>
      </c>
      <c r="AK470">
        <v>9</v>
      </c>
      <c r="AL470" t="s">
        <v>118</v>
      </c>
      <c r="AM470" t="s">
        <v>119</v>
      </c>
      <c r="AN470" t="s">
        <v>120</v>
      </c>
      <c r="AO470" t="s">
        <v>121</v>
      </c>
      <c r="AP470" t="s">
        <v>74</v>
      </c>
      <c r="AQ470" t="s">
        <v>74</v>
      </c>
      <c r="AR470" t="s">
        <v>123</v>
      </c>
      <c r="AS470" t="s">
        <v>124</v>
      </c>
      <c r="AT470" t="s">
        <v>9040</v>
      </c>
      <c r="AU470">
        <v>2012</v>
      </c>
      <c r="AV470">
        <v>117</v>
      </c>
      <c r="AW470" t="s">
        <v>74</v>
      </c>
      <c r="AX470" t="s">
        <v>74</v>
      </c>
      <c r="AY470" t="s">
        <v>74</v>
      </c>
      <c r="AZ470" t="s">
        <v>74</v>
      </c>
      <c r="BA470" t="s">
        <v>74</v>
      </c>
      <c r="BB470" t="s">
        <v>74</v>
      </c>
      <c r="BC470" t="s">
        <v>74</v>
      </c>
      <c r="BD470" t="s">
        <v>9076</v>
      </c>
      <c r="BE470" t="s">
        <v>9077</v>
      </c>
      <c r="BF470" t="str">
        <f>HYPERLINK("http://dx.doi.org/10.1029/2011JD015940","http://dx.doi.org/10.1029/2011JD015940")</f>
        <v>http://dx.doi.org/10.1029/2011JD015940</v>
      </c>
      <c r="BG470" t="s">
        <v>74</v>
      </c>
      <c r="BH470" t="s">
        <v>74</v>
      </c>
      <c r="BI470">
        <v>12</v>
      </c>
      <c r="BJ470" t="s">
        <v>128</v>
      </c>
      <c r="BK470" t="s">
        <v>99</v>
      </c>
      <c r="BL470" t="s">
        <v>128</v>
      </c>
      <c r="BM470" t="s">
        <v>9043</v>
      </c>
      <c r="BN470" t="s">
        <v>74</v>
      </c>
      <c r="BO470" t="s">
        <v>2812</v>
      </c>
      <c r="BP470" t="s">
        <v>74</v>
      </c>
      <c r="BQ470" t="s">
        <v>74</v>
      </c>
      <c r="BR470" t="s">
        <v>101</v>
      </c>
      <c r="BS470" t="s">
        <v>9078</v>
      </c>
      <c r="BT470" t="str">
        <f>HYPERLINK("https%3A%2F%2Fwww.webofscience.com%2Fwos%2Fwoscc%2Ffull-record%2FWOS:000300821600001","View Full Record in Web of Science")</f>
        <v>View Full Record in Web of Science</v>
      </c>
    </row>
    <row r="471" spans="1:72" x14ac:dyDescent="0.15">
      <c r="A471" t="s">
        <v>72</v>
      </c>
      <c r="B471" t="s">
        <v>9079</v>
      </c>
      <c r="C471" t="s">
        <v>74</v>
      </c>
      <c r="D471" t="s">
        <v>74</v>
      </c>
      <c r="E471" t="s">
        <v>74</v>
      </c>
      <c r="F471" t="s">
        <v>9080</v>
      </c>
      <c r="G471" t="s">
        <v>74</v>
      </c>
      <c r="H471" t="s">
        <v>74</v>
      </c>
      <c r="I471" t="s">
        <v>9081</v>
      </c>
      <c r="J471" t="s">
        <v>9082</v>
      </c>
      <c r="K471" t="s">
        <v>74</v>
      </c>
      <c r="L471" t="s">
        <v>74</v>
      </c>
      <c r="M471" t="s">
        <v>78</v>
      </c>
      <c r="N471" t="s">
        <v>79</v>
      </c>
      <c r="O471" t="s">
        <v>74</v>
      </c>
      <c r="P471" t="s">
        <v>74</v>
      </c>
      <c r="Q471" t="s">
        <v>74</v>
      </c>
      <c r="R471" t="s">
        <v>74</v>
      </c>
      <c r="S471" t="s">
        <v>74</v>
      </c>
      <c r="T471" t="s">
        <v>9083</v>
      </c>
      <c r="U471" t="s">
        <v>9084</v>
      </c>
      <c r="V471" t="s">
        <v>9085</v>
      </c>
      <c r="W471" t="s">
        <v>9086</v>
      </c>
      <c r="X471" t="s">
        <v>9087</v>
      </c>
      <c r="Y471" t="s">
        <v>9088</v>
      </c>
      <c r="Z471" t="s">
        <v>9089</v>
      </c>
      <c r="AA471" t="s">
        <v>9090</v>
      </c>
      <c r="AB471" t="s">
        <v>9091</v>
      </c>
      <c r="AC471" t="s">
        <v>9092</v>
      </c>
      <c r="AD471" t="s">
        <v>9093</v>
      </c>
      <c r="AE471" t="s">
        <v>9094</v>
      </c>
      <c r="AF471" t="s">
        <v>74</v>
      </c>
      <c r="AG471">
        <v>24</v>
      </c>
      <c r="AH471">
        <v>25</v>
      </c>
      <c r="AI471">
        <v>32</v>
      </c>
      <c r="AJ471">
        <v>2</v>
      </c>
      <c r="AK471">
        <v>44</v>
      </c>
      <c r="AL471" t="s">
        <v>277</v>
      </c>
      <c r="AM471" t="s">
        <v>278</v>
      </c>
      <c r="AN471" t="s">
        <v>279</v>
      </c>
      <c r="AO471" t="s">
        <v>9095</v>
      </c>
      <c r="AP471" t="s">
        <v>9096</v>
      </c>
      <c r="AQ471" t="s">
        <v>74</v>
      </c>
      <c r="AR471" t="s">
        <v>9097</v>
      </c>
      <c r="AS471" t="s">
        <v>9098</v>
      </c>
      <c r="AT471" t="s">
        <v>9099</v>
      </c>
      <c r="AU471">
        <v>2012</v>
      </c>
      <c r="AV471">
        <v>22</v>
      </c>
      <c r="AW471">
        <v>4</v>
      </c>
      <c r="AX471" t="s">
        <v>74</v>
      </c>
      <c r="AY471" t="s">
        <v>74</v>
      </c>
      <c r="AZ471" t="s">
        <v>74</v>
      </c>
      <c r="BA471" t="s">
        <v>74</v>
      </c>
      <c r="BB471">
        <v>1719</v>
      </c>
      <c r="BC471">
        <v>1721</v>
      </c>
      <c r="BD471" t="s">
        <v>74</v>
      </c>
      <c r="BE471" t="s">
        <v>9100</v>
      </c>
      <c r="BF471" t="str">
        <f>HYPERLINK("http://dx.doi.org/10.1016/j.bmcl.2011.12.097","http://dx.doi.org/10.1016/j.bmcl.2011.12.097")</f>
        <v>http://dx.doi.org/10.1016/j.bmcl.2011.12.097</v>
      </c>
      <c r="BG471" t="s">
        <v>74</v>
      </c>
      <c r="BH471" t="s">
        <v>74</v>
      </c>
      <c r="BI471">
        <v>3</v>
      </c>
      <c r="BJ471" t="s">
        <v>9101</v>
      </c>
      <c r="BK471" t="s">
        <v>99</v>
      </c>
      <c r="BL471" t="s">
        <v>9102</v>
      </c>
      <c r="BM471" t="s">
        <v>9103</v>
      </c>
      <c r="BN471">
        <v>22264482</v>
      </c>
      <c r="BO471" t="s">
        <v>74</v>
      </c>
      <c r="BP471" t="s">
        <v>74</v>
      </c>
      <c r="BQ471" t="s">
        <v>74</v>
      </c>
      <c r="BR471" t="s">
        <v>101</v>
      </c>
      <c r="BS471" t="s">
        <v>9104</v>
      </c>
      <c r="BT471" t="str">
        <f>HYPERLINK("https%3A%2F%2Fwww.webofscience.com%2Fwos%2Fwoscc%2Ffull-record%2FWOS:000300404900049","View Full Record in Web of Science")</f>
        <v>View Full Record in Web of Science</v>
      </c>
    </row>
    <row r="472" spans="1:72" x14ac:dyDescent="0.15">
      <c r="A472" t="s">
        <v>72</v>
      </c>
      <c r="B472" t="s">
        <v>9105</v>
      </c>
      <c r="C472" t="s">
        <v>74</v>
      </c>
      <c r="D472" t="s">
        <v>74</v>
      </c>
      <c r="E472" t="s">
        <v>74</v>
      </c>
      <c r="F472" t="s">
        <v>9106</v>
      </c>
      <c r="G472" t="s">
        <v>74</v>
      </c>
      <c r="H472" t="s">
        <v>74</v>
      </c>
      <c r="I472" t="s">
        <v>9107</v>
      </c>
      <c r="J472" t="s">
        <v>8009</v>
      </c>
      <c r="K472" t="s">
        <v>74</v>
      </c>
      <c r="L472" t="s">
        <v>74</v>
      </c>
      <c r="M472" t="s">
        <v>78</v>
      </c>
      <c r="N472" t="s">
        <v>79</v>
      </c>
      <c r="O472" t="s">
        <v>74</v>
      </c>
      <c r="P472" t="s">
        <v>74</v>
      </c>
      <c r="Q472" t="s">
        <v>74</v>
      </c>
      <c r="R472" t="s">
        <v>74</v>
      </c>
      <c r="S472" t="s">
        <v>74</v>
      </c>
      <c r="T472" t="s">
        <v>9108</v>
      </c>
      <c r="U472" t="s">
        <v>9109</v>
      </c>
      <c r="V472" t="s">
        <v>9110</v>
      </c>
      <c r="W472" t="s">
        <v>9111</v>
      </c>
      <c r="X472" t="s">
        <v>9112</v>
      </c>
      <c r="Y472" t="s">
        <v>9113</v>
      </c>
      <c r="Z472" t="s">
        <v>9114</v>
      </c>
      <c r="AA472" t="s">
        <v>9115</v>
      </c>
      <c r="AB472" t="s">
        <v>9116</v>
      </c>
      <c r="AC472" t="s">
        <v>9117</v>
      </c>
      <c r="AD472" t="s">
        <v>9118</v>
      </c>
      <c r="AE472" t="s">
        <v>9119</v>
      </c>
      <c r="AF472" t="s">
        <v>74</v>
      </c>
      <c r="AG472">
        <v>42</v>
      </c>
      <c r="AH472">
        <v>29</v>
      </c>
      <c r="AI472">
        <v>31</v>
      </c>
      <c r="AJ472">
        <v>0</v>
      </c>
      <c r="AK472">
        <v>7</v>
      </c>
      <c r="AL472" t="s">
        <v>1595</v>
      </c>
      <c r="AM472" t="s">
        <v>278</v>
      </c>
      <c r="AN472" t="s">
        <v>1596</v>
      </c>
      <c r="AO472" t="s">
        <v>8015</v>
      </c>
      <c r="AP472" t="s">
        <v>8016</v>
      </c>
      <c r="AQ472" t="s">
        <v>74</v>
      </c>
      <c r="AR472" t="s">
        <v>8017</v>
      </c>
      <c r="AS472" t="s">
        <v>8018</v>
      </c>
      <c r="AT472" t="s">
        <v>9099</v>
      </c>
      <c r="AU472">
        <v>2012</v>
      </c>
      <c r="AV472">
        <v>49</v>
      </c>
      <c r="AW472">
        <v>4</v>
      </c>
      <c r="AX472" t="s">
        <v>74</v>
      </c>
      <c r="AY472" t="s">
        <v>74</v>
      </c>
      <c r="AZ472" t="s">
        <v>74</v>
      </c>
      <c r="BA472" t="s">
        <v>74</v>
      </c>
      <c r="BB472">
        <v>770</v>
      </c>
      <c r="BC472">
        <v>783</v>
      </c>
      <c r="BD472" t="s">
        <v>74</v>
      </c>
      <c r="BE472" t="s">
        <v>9120</v>
      </c>
      <c r="BF472" t="str">
        <f>HYPERLINK("http://dx.doi.org/10.1016/j.asr.2011.11.020","http://dx.doi.org/10.1016/j.asr.2011.11.020")</f>
        <v>http://dx.doi.org/10.1016/j.asr.2011.11.020</v>
      </c>
      <c r="BG472" t="s">
        <v>74</v>
      </c>
      <c r="BH472" t="s">
        <v>74</v>
      </c>
      <c r="BI472">
        <v>14</v>
      </c>
      <c r="BJ472" t="s">
        <v>8020</v>
      </c>
      <c r="BK472" t="s">
        <v>99</v>
      </c>
      <c r="BL472" t="s">
        <v>8021</v>
      </c>
      <c r="BM472" t="s">
        <v>9121</v>
      </c>
      <c r="BN472" t="s">
        <v>74</v>
      </c>
      <c r="BO472" t="s">
        <v>74</v>
      </c>
      <c r="BP472" t="s">
        <v>74</v>
      </c>
      <c r="BQ472" t="s">
        <v>74</v>
      </c>
      <c r="BR472" t="s">
        <v>101</v>
      </c>
      <c r="BS472" t="s">
        <v>9122</v>
      </c>
      <c r="BT472" t="str">
        <f>HYPERLINK("https%3A%2F%2Fwww.webofscience.com%2Fwos%2Fwoscc%2Ffull-record%2FWOS:000301312300015","View Full Record in Web of Science")</f>
        <v>View Full Record in Web of Science</v>
      </c>
    </row>
    <row r="473" spans="1:72" x14ac:dyDescent="0.15">
      <c r="A473" t="s">
        <v>72</v>
      </c>
      <c r="B473" t="s">
        <v>9123</v>
      </c>
      <c r="C473" t="s">
        <v>74</v>
      </c>
      <c r="D473" t="s">
        <v>74</v>
      </c>
      <c r="E473" t="s">
        <v>74</v>
      </c>
      <c r="F473" t="s">
        <v>9124</v>
      </c>
      <c r="G473" t="s">
        <v>74</v>
      </c>
      <c r="H473" t="s">
        <v>74</v>
      </c>
      <c r="I473" t="s">
        <v>9125</v>
      </c>
      <c r="J473" t="s">
        <v>6319</v>
      </c>
      <c r="K473" t="s">
        <v>74</v>
      </c>
      <c r="L473" t="s">
        <v>74</v>
      </c>
      <c r="M473" t="s">
        <v>78</v>
      </c>
      <c r="N473" t="s">
        <v>79</v>
      </c>
      <c r="O473" t="s">
        <v>74</v>
      </c>
      <c r="P473" t="s">
        <v>74</v>
      </c>
      <c r="Q473" t="s">
        <v>74</v>
      </c>
      <c r="R473" t="s">
        <v>74</v>
      </c>
      <c r="S473" t="s">
        <v>74</v>
      </c>
      <c r="T473" t="s">
        <v>74</v>
      </c>
      <c r="U473" t="s">
        <v>9126</v>
      </c>
      <c r="V473" t="s">
        <v>9127</v>
      </c>
      <c r="W473" t="s">
        <v>9128</v>
      </c>
      <c r="X473" t="s">
        <v>9129</v>
      </c>
      <c r="Y473" t="s">
        <v>9130</v>
      </c>
      <c r="Z473" t="s">
        <v>9131</v>
      </c>
      <c r="AA473" t="s">
        <v>6848</v>
      </c>
      <c r="AB473" t="s">
        <v>74</v>
      </c>
      <c r="AC473" t="s">
        <v>9132</v>
      </c>
      <c r="AD473" t="s">
        <v>9133</v>
      </c>
      <c r="AE473" t="s">
        <v>9134</v>
      </c>
      <c r="AF473" t="s">
        <v>74</v>
      </c>
      <c r="AG473">
        <v>71</v>
      </c>
      <c r="AH473">
        <v>74</v>
      </c>
      <c r="AI473">
        <v>76</v>
      </c>
      <c r="AJ473">
        <v>1</v>
      </c>
      <c r="AK473">
        <v>50</v>
      </c>
      <c r="AL473" t="s">
        <v>277</v>
      </c>
      <c r="AM473" t="s">
        <v>278</v>
      </c>
      <c r="AN473" t="s">
        <v>279</v>
      </c>
      <c r="AO473" t="s">
        <v>6331</v>
      </c>
      <c r="AP473" t="s">
        <v>6332</v>
      </c>
      <c r="AQ473" t="s">
        <v>74</v>
      </c>
      <c r="AR473" t="s">
        <v>6333</v>
      </c>
      <c r="AS473" t="s">
        <v>6334</v>
      </c>
      <c r="AT473" t="s">
        <v>9099</v>
      </c>
      <c r="AU473">
        <v>2012</v>
      </c>
      <c r="AV473">
        <v>79</v>
      </c>
      <c r="AW473" t="s">
        <v>74</v>
      </c>
      <c r="AX473" t="s">
        <v>74</v>
      </c>
      <c r="AY473" t="s">
        <v>74</v>
      </c>
      <c r="AZ473" t="s">
        <v>74</v>
      </c>
      <c r="BA473" t="s">
        <v>74</v>
      </c>
      <c r="BB473">
        <v>41</v>
      </c>
      <c r="BC473">
        <v>59</v>
      </c>
      <c r="BD473" t="s">
        <v>74</v>
      </c>
      <c r="BE473" t="s">
        <v>9135</v>
      </c>
      <c r="BF473" t="str">
        <f>HYPERLINK("http://dx.doi.org/10.1016/j.gca.2011.11.034","http://dx.doi.org/10.1016/j.gca.2011.11.034")</f>
        <v>http://dx.doi.org/10.1016/j.gca.2011.11.034</v>
      </c>
      <c r="BG473" t="s">
        <v>74</v>
      </c>
      <c r="BH473" t="s">
        <v>74</v>
      </c>
      <c r="BI473">
        <v>19</v>
      </c>
      <c r="BJ473" t="s">
        <v>1134</v>
      </c>
      <c r="BK473" t="s">
        <v>99</v>
      </c>
      <c r="BL473" t="s">
        <v>1134</v>
      </c>
      <c r="BM473" t="s">
        <v>9136</v>
      </c>
      <c r="BN473" t="s">
        <v>74</v>
      </c>
      <c r="BO473" t="s">
        <v>74</v>
      </c>
      <c r="BP473" t="s">
        <v>74</v>
      </c>
      <c r="BQ473" t="s">
        <v>74</v>
      </c>
      <c r="BR473" t="s">
        <v>101</v>
      </c>
      <c r="BS473" t="s">
        <v>9137</v>
      </c>
      <c r="BT473" t="str">
        <f>HYPERLINK("https%3A%2F%2Fwww.webofscience.com%2Fwos%2Fwoscc%2Ffull-record%2FWOS:000299539400003","View Full Record in Web of Science")</f>
        <v>View Full Record in Web of Science</v>
      </c>
    </row>
    <row r="474" spans="1:72" x14ac:dyDescent="0.15">
      <c r="A474" t="s">
        <v>72</v>
      </c>
      <c r="B474" t="s">
        <v>9138</v>
      </c>
      <c r="C474" t="s">
        <v>74</v>
      </c>
      <c r="D474" t="s">
        <v>74</v>
      </c>
      <c r="E474" t="s">
        <v>74</v>
      </c>
      <c r="F474" t="s">
        <v>9139</v>
      </c>
      <c r="G474" t="s">
        <v>74</v>
      </c>
      <c r="H474" t="s">
        <v>74</v>
      </c>
      <c r="I474" t="s">
        <v>9140</v>
      </c>
      <c r="J474" t="s">
        <v>3149</v>
      </c>
      <c r="K474" t="s">
        <v>74</v>
      </c>
      <c r="L474" t="s">
        <v>74</v>
      </c>
      <c r="M474" t="s">
        <v>78</v>
      </c>
      <c r="N474" t="s">
        <v>79</v>
      </c>
      <c r="O474" t="s">
        <v>74</v>
      </c>
      <c r="P474" t="s">
        <v>74</v>
      </c>
      <c r="Q474" t="s">
        <v>74</v>
      </c>
      <c r="R474" t="s">
        <v>74</v>
      </c>
      <c r="S474" t="s">
        <v>74</v>
      </c>
      <c r="T474" t="s">
        <v>74</v>
      </c>
      <c r="U474" t="s">
        <v>9141</v>
      </c>
      <c r="V474" t="s">
        <v>9142</v>
      </c>
      <c r="W474" t="s">
        <v>9143</v>
      </c>
      <c r="X474" t="s">
        <v>9144</v>
      </c>
      <c r="Y474" t="s">
        <v>9145</v>
      </c>
      <c r="Z474" t="s">
        <v>9146</v>
      </c>
      <c r="AA474" t="s">
        <v>9147</v>
      </c>
      <c r="AB474" t="s">
        <v>9148</v>
      </c>
      <c r="AC474" t="s">
        <v>9149</v>
      </c>
      <c r="AD474" t="s">
        <v>9150</v>
      </c>
      <c r="AE474" t="s">
        <v>9151</v>
      </c>
      <c r="AF474" t="s">
        <v>74</v>
      </c>
      <c r="AG474">
        <v>30</v>
      </c>
      <c r="AH474">
        <v>36</v>
      </c>
      <c r="AI474">
        <v>36</v>
      </c>
      <c r="AJ474">
        <v>0</v>
      </c>
      <c r="AK474">
        <v>18</v>
      </c>
      <c r="AL474" t="s">
        <v>118</v>
      </c>
      <c r="AM474" t="s">
        <v>119</v>
      </c>
      <c r="AN474" t="s">
        <v>120</v>
      </c>
      <c r="AO474" t="s">
        <v>3160</v>
      </c>
      <c r="AP474" t="s">
        <v>3161</v>
      </c>
      <c r="AQ474" t="s">
        <v>74</v>
      </c>
      <c r="AR474" t="s">
        <v>3162</v>
      </c>
      <c r="AS474" t="s">
        <v>3163</v>
      </c>
      <c r="AT474" t="s">
        <v>9152</v>
      </c>
      <c r="AU474">
        <v>2012</v>
      </c>
      <c r="AV474">
        <v>117</v>
      </c>
      <c r="AW474" t="s">
        <v>74</v>
      </c>
      <c r="AX474" t="s">
        <v>74</v>
      </c>
      <c r="AY474" t="s">
        <v>74</v>
      </c>
      <c r="AZ474" t="s">
        <v>74</v>
      </c>
      <c r="BA474" t="s">
        <v>74</v>
      </c>
      <c r="BB474" t="s">
        <v>74</v>
      </c>
      <c r="BC474" t="s">
        <v>74</v>
      </c>
      <c r="BD474" t="s">
        <v>9153</v>
      </c>
      <c r="BE474" t="s">
        <v>9154</v>
      </c>
      <c r="BF474" t="str">
        <f>HYPERLINK("http://dx.doi.org/10.1029/2011JF002128","http://dx.doi.org/10.1029/2011JF002128")</f>
        <v>http://dx.doi.org/10.1029/2011JF002128</v>
      </c>
      <c r="BG474" t="s">
        <v>74</v>
      </c>
      <c r="BH474" t="s">
        <v>74</v>
      </c>
      <c r="BI474">
        <v>9</v>
      </c>
      <c r="BJ474" t="s">
        <v>194</v>
      </c>
      <c r="BK474" t="s">
        <v>99</v>
      </c>
      <c r="BL474" t="s">
        <v>195</v>
      </c>
      <c r="BM474" t="s">
        <v>9155</v>
      </c>
      <c r="BN474" t="s">
        <v>74</v>
      </c>
      <c r="BO474" t="s">
        <v>308</v>
      </c>
      <c r="BP474" t="s">
        <v>74</v>
      </c>
      <c r="BQ474" t="s">
        <v>74</v>
      </c>
      <c r="BR474" t="s">
        <v>101</v>
      </c>
      <c r="BS474" t="s">
        <v>9156</v>
      </c>
      <c r="BT474" t="str">
        <f>HYPERLINK("https%3A%2F%2Fwww.webofscience.com%2Fwos%2Fwoscc%2Ffull-record%2FWOS:000300825000001","View Full Record in Web of Science")</f>
        <v>View Full Record in Web of Science</v>
      </c>
    </row>
    <row r="475" spans="1:72" x14ac:dyDescent="0.15">
      <c r="A475" t="s">
        <v>72</v>
      </c>
      <c r="B475" t="s">
        <v>9157</v>
      </c>
      <c r="C475" t="s">
        <v>74</v>
      </c>
      <c r="D475" t="s">
        <v>74</v>
      </c>
      <c r="E475" t="s">
        <v>74</v>
      </c>
      <c r="F475" t="s">
        <v>9158</v>
      </c>
      <c r="G475" t="s">
        <v>74</v>
      </c>
      <c r="H475" t="s">
        <v>74</v>
      </c>
      <c r="I475" t="s">
        <v>9159</v>
      </c>
      <c r="J475" t="s">
        <v>9160</v>
      </c>
      <c r="K475" t="s">
        <v>74</v>
      </c>
      <c r="L475" t="s">
        <v>74</v>
      </c>
      <c r="M475" t="s">
        <v>78</v>
      </c>
      <c r="N475" t="s">
        <v>79</v>
      </c>
      <c r="O475" t="s">
        <v>74</v>
      </c>
      <c r="P475" t="s">
        <v>74</v>
      </c>
      <c r="Q475" t="s">
        <v>74</v>
      </c>
      <c r="R475" t="s">
        <v>74</v>
      </c>
      <c r="S475" t="s">
        <v>74</v>
      </c>
      <c r="T475" t="s">
        <v>9161</v>
      </c>
      <c r="U475" t="s">
        <v>9162</v>
      </c>
      <c r="V475" t="s">
        <v>9163</v>
      </c>
      <c r="W475" t="s">
        <v>9164</v>
      </c>
      <c r="X475" t="s">
        <v>9165</v>
      </c>
      <c r="Y475" t="s">
        <v>9166</v>
      </c>
      <c r="Z475" t="s">
        <v>9167</v>
      </c>
      <c r="AA475" t="s">
        <v>9168</v>
      </c>
      <c r="AB475" t="s">
        <v>9169</v>
      </c>
      <c r="AC475" t="s">
        <v>9170</v>
      </c>
      <c r="AD475" t="s">
        <v>9171</v>
      </c>
      <c r="AE475" t="s">
        <v>9172</v>
      </c>
      <c r="AF475" t="s">
        <v>74</v>
      </c>
      <c r="AG475">
        <v>55</v>
      </c>
      <c r="AH475">
        <v>13</v>
      </c>
      <c r="AI475">
        <v>14</v>
      </c>
      <c r="AJ475">
        <v>1</v>
      </c>
      <c r="AK475">
        <v>21</v>
      </c>
      <c r="AL475" t="s">
        <v>935</v>
      </c>
      <c r="AM475" t="s">
        <v>369</v>
      </c>
      <c r="AN475" t="s">
        <v>936</v>
      </c>
      <c r="AO475" t="s">
        <v>9173</v>
      </c>
      <c r="AP475" t="s">
        <v>9174</v>
      </c>
      <c r="AQ475" t="s">
        <v>74</v>
      </c>
      <c r="AR475" t="s">
        <v>9175</v>
      </c>
      <c r="AS475" t="s">
        <v>9176</v>
      </c>
      <c r="AT475" t="s">
        <v>9177</v>
      </c>
      <c r="AU475">
        <v>2012</v>
      </c>
      <c r="AV475">
        <v>413</v>
      </c>
      <c r="AW475" t="s">
        <v>74</v>
      </c>
      <c r="AX475" t="s">
        <v>74</v>
      </c>
      <c r="AY475" t="s">
        <v>74</v>
      </c>
      <c r="AZ475" t="s">
        <v>74</v>
      </c>
      <c r="BA475" t="s">
        <v>74</v>
      </c>
      <c r="BB475">
        <v>106</v>
      </c>
      <c r="BC475">
        <v>112</v>
      </c>
      <c r="BD475" t="s">
        <v>74</v>
      </c>
      <c r="BE475" t="s">
        <v>9178</v>
      </c>
      <c r="BF475" t="str">
        <f>HYPERLINK("http://dx.doi.org/10.1016/j.jembe.2011.12.001","http://dx.doi.org/10.1016/j.jembe.2011.12.001")</f>
        <v>http://dx.doi.org/10.1016/j.jembe.2011.12.001</v>
      </c>
      <c r="BG475" t="s">
        <v>74</v>
      </c>
      <c r="BH475" t="s">
        <v>74</v>
      </c>
      <c r="BI475">
        <v>7</v>
      </c>
      <c r="BJ475" t="s">
        <v>9179</v>
      </c>
      <c r="BK475" t="s">
        <v>99</v>
      </c>
      <c r="BL475" t="s">
        <v>1145</v>
      </c>
      <c r="BM475" t="s">
        <v>9180</v>
      </c>
      <c r="BN475" t="s">
        <v>74</v>
      </c>
      <c r="BO475" t="s">
        <v>74</v>
      </c>
      <c r="BP475" t="s">
        <v>74</v>
      </c>
      <c r="BQ475" t="s">
        <v>74</v>
      </c>
      <c r="BR475" t="s">
        <v>101</v>
      </c>
      <c r="BS475" t="s">
        <v>9181</v>
      </c>
      <c r="BT475" t="str">
        <f>HYPERLINK("https%3A%2F%2Fwww.webofscience.com%2Fwos%2Fwoscc%2Ffull-record%2FWOS:000301031500016","View Full Record in Web of Science")</f>
        <v>View Full Record in Web of Science</v>
      </c>
    </row>
    <row r="476" spans="1:72" x14ac:dyDescent="0.15">
      <c r="A476" t="s">
        <v>72</v>
      </c>
      <c r="B476" t="s">
        <v>9182</v>
      </c>
      <c r="C476" t="s">
        <v>74</v>
      </c>
      <c r="D476" t="s">
        <v>74</v>
      </c>
      <c r="E476" t="s">
        <v>74</v>
      </c>
      <c r="F476" t="s">
        <v>9183</v>
      </c>
      <c r="G476" t="s">
        <v>74</v>
      </c>
      <c r="H476" t="s">
        <v>74</v>
      </c>
      <c r="I476" t="s">
        <v>9184</v>
      </c>
      <c r="J476" t="s">
        <v>9185</v>
      </c>
      <c r="K476" t="s">
        <v>74</v>
      </c>
      <c r="L476" t="s">
        <v>74</v>
      </c>
      <c r="M476" t="s">
        <v>78</v>
      </c>
      <c r="N476" t="s">
        <v>79</v>
      </c>
      <c r="O476" t="s">
        <v>74</v>
      </c>
      <c r="P476" t="s">
        <v>74</v>
      </c>
      <c r="Q476" t="s">
        <v>74</v>
      </c>
      <c r="R476" t="s">
        <v>74</v>
      </c>
      <c r="S476" t="s">
        <v>74</v>
      </c>
      <c r="T476" t="s">
        <v>9186</v>
      </c>
      <c r="U476" t="s">
        <v>9187</v>
      </c>
      <c r="V476" t="s">
        <v>9188</v>
      </c>
      <c r="W476" t="s">
        <v>9189</v>
      </c>
      <c r="X476" t="s">
        <v>9190</v>
      </c>
      <c r="Y476" t="s">
        <v>9191</v>
      </c>
      <c r="Z476" t="s">
        <v>9192</v>
      </c>
      <c r="AA476" t="s">
        <v>9193</v>
      </c>
      <c r="AB476" t="s">
        <v>74</v>
      </c>
      <c r="AC476" t="s">
        <v>9194</v>
      </c>
      <c r="AD476" t="s">
        <v>9195</v>
      </c>
      <c r="AE476" t="s">
        <v>9196</v>
      </c>
      <c r="AF476" t="s">
        <v>74</v>
      </c>
      <c r="AG476">
        <v>39</v>
      </c>
      <c r="AH476">
        <v>3</v>
      </c>
      <c r="AI476">
        <v>3</v>
      </c>
      <c r="AJ476">
        <v>0</v>
      </c>
      <c r="AK476">
        <v>11</v>
      </c>
      <c r="AL476" t="s">
        <v>9197</v>
      </c>
      <c r="AM476" t="s">
        <v>9198</v>
      </c>
      <c r="AN476" t="s">
        <v>9199</v>
      </c>
      <c r="AO476" t="s">
        <v>9200</v>
      </c>
      <c r="AP476" t="s">
        <v>74</v>
      </c>
      <c r="AQ476" t="s">
        <v>74</v>
      </c>
      <c r="AR476" t="s">
        <v>9201</v>
      </c>
      <c r="AS476" t="s">
        <v>9202</v>
      </c>
      <c r="AT476" t="s">
        <v>9203</v>
      </c>
      <c r="AU476">
        <v>2012</v>
      </c>
      <c r="AV476">
        <v>6</v>
      </c>
      <c r="AW476">
        <v>5</v>
      </c>
      <c r="AX476" t="s">
        <v>74</v>
      </c>
      <c r="AY476" t="s">
        <v>74</v>
      </c>
      <c r="AZ476" t="s">
        <v>74</v>
      </c>
      <c r="BA476" t="s">
        <v>74</v>
      </c>
      <c r="BB476">
        <v>881</v>
      </c>
      <c r="BC476">
        <v>891</v>
      </c>
      <c r="BD476" t="s">
        <v>74</v>
      </c>
      <c r="BE476" t="s">
        <v>9204</v>
      </c>
      <c r="BF476" t="str">
        <f>HYPERLINK("http://dx.doi.org/10.5897/AJMR10.413","http://dx.doi.org/10.5897/AJMR10.413")</f>
        <v>http://dx.doi.org/10.5897/AJMR10.413</v>
      </c>
      <c r="BG476" t="s">
        <v>74</v>
      </c>
      <c r="BH476" t="s">
        <v>74</v>
      </c>
      <c r="BI476">
        <v>11</v>
      </c>
      <c r="BJ476" t="s">
        <v>686</v>
      </c>
      <c r="BK476" t="s">
        <v>99</v>
      </c>
      <c r="BL476" t="s">
        <v>686</v>
      </c>
      <c r="BM476" t="s">
        <v>9205</v>
      </c>
      <c r="BN476" t="s">
        <v>74</v>
      </c>
      <c r="BO476" t="s">
        <v>74</v>
      </c>
      <c r="BP476" t="s">
        <v>74</v>
      </c>
      <c r="BQ476" t="s">
        <v>74</v>
      </c>
      <c r="BR476" t="s">
        <v>101</v>
      </c>
      <c r="BS476" t="s">
        <v>9206</v>
      </c>
      <c r="BT476" t="str">
        <f>HYPERLINK("https%3A%2F%2Fwww.webofscience.com%2Fwos%2Fwoscc%2Ffull-record%2FWOS:000303773300004","View Full Record in Web of Science")</f>
        <v>View Full Record in Web of Science</v>
      </c>
    </row>
    <row r="477" spans="1:72" x14ac:dyDescent="0.15">
      <c r="A477" t="s">
        <v>72</v>
      </c>
      <c r="B477" t="s">
        <v>9207</v>
      </c>
      <c r="C477" t="s">
        <v>74</v>
      </c>
      <c r="D477" t="s">
        <v>74</v>
      </c>
      <c r="E477" t="s">
        <v>74</v>
      </c>
      <c r="F477" t="s">
        <v>9208</v>
      </c>
      <c r="G477" t="s">
        <v>74</v>
      </c>
      <c r="H477" t="s">
        <v>74</v>
      </c>
      <c r="I477" t="s">
        <v>9209</v>
      </c>
      <c r="J477" t="s">
        <v>106</v>
      </c>
      <c r="K477" t="s">
        <v>74</v>
      </c>
      <c r="L477" t="s">
        <v>74</v>
      </c>
      <c r="M477" t="s">
        <v>78</v>
      </c>
      <c r="N477" t="s">
        <v>79</v>
      </c>
      <c r="O477" t="s">
        <v>74</v>
      </c>
      <c r="P477" t="s">
        <v>74</v>
      </c>
      <c r="Q477" t="s">
        <v>74</v>
      </c>
      <c r="R477" t="s">
        <v>74</v>
      </c>
      <c r="S477" t="s">
        <v>74</v>
      </c>
      <c r="T477" t="s">
        <v>74</v>
      </c>
      <c r="U477" t="s">
        <v>9210</v>
      </c>
      <c r="V477" t="s">
        <v>9211</v>
      </c>
      <c r="W477" t="s">
        <v>9212</v>
      </c>
      <c r="X477" t="s">
        <v>9213</v>
      </c>
      <c r="Y477" t="s">
        <v>9214</v>
      </c>
      <c r="Z477" t="s">
        <v>9215</v>
      </c>
      <c r="AA477" t="s">
        <v>9216</v>
      </c>
      <c r="AB477" t="s">
        <v>9217</v>
      </c>
      <c r="AC477" t="s">
        <v>9218</v>
      </c>
      <c r="AD477" t="s">
        <v>9219</v>
      </c>
      <c r="AE477" t="s">
        <v>9220</v>
      </c>
      <c r="AF477" t="s">
        <v>74</v>
      </c>
      <c r="AG477">
        <v>45</v>
      </c>
      <c r="AH477">
        <v>10</v>
      </c>
      <c r="AI477">
        <v>11</v>
      </c>
      <c r="AJ477">
        <v>0</v>
      </c>
      <c r="AK477">
        <v>18</v>
      </c>
      <c r="AL477" t="s">
        <v>118</v>
      </c>
      <c r="AM477" t="s">
        <v>119</v>
      </c>
      <c r="AN477" t="s">
        <v>120</v>
      </c>
      <c r="AO477" t="s">
        <v>121</v>
      </c>
      <c r="AP477" t="s">
        <v>122</v>
      </c>
      <c r="AQ477" t="s">
        <v>74</v>
      </c>
      <c r="AR477" t="s">
        <v>123</v>
      </c>
      <c r="AS477" t="s">
        <v>124</v>
      </c>
      <c r="AT477" t="s">
        <v>9203</v>
      </c>
      <c r="AU477">
        <v>2012</v>
      </c>
      <c r="AV477">
        <v>117</v>
      </c>
      <c r="AW477" t="s">
        <v>74</v>
      </c>
      <c r="AX477" t="s">
        <v>74</v>
      </c>
      <c r="AY477" t="s">
        <v>74</v>
      </c>
      <c r="AZ477" t="s">
        <v>74</v>
      </c>
      <c r="BA477" t="s">
        <v>74</v>
      </c>
      <c r="BB477" t="s">
        <v>74</v>
      </c>
      <c r="BC477" t="s">
        <v>74</v>
      </c>
      <c r="BD477" t="s">
        <v>9221</v>
      </c>
      <c r="BE477" t="s">
        <v>9222</v>
      </c>
      <c r="BF477" t="str">
        <f>HYPERLINK("http://dx.doi.org/10.1029/2011JD016592","http://dx.doi.org/10.1029/2011JD016592")</f>
        <v>http://dx.doi.org/10.1029/2011JD016592</v>
      </c>
      <c r="BG477" t="s">
        <v>74</v>
      </c>
      <c r="BH477" t="s">
        <v>74</v>
      </c>
      <c r="BI477">
        <v>16</v>
      </c>
      <c r="BJ477" t="s">
        <v>128</v>
      </c>
      <c r="BK477" t="s">
        <v>99</v>
      </c>
      <c r="BL477" t="s">
        <v>128</v>
      </c>
      <c r="BM477" t="s">
        <v>9223</v>
      </c>
      <c r="BN477" t="s">
        <v>74</v>
      </c>
      <c r="BO477" t="s">
        <v>308</v>
      </c>
      <c r="BP477" t="s">
        <v>74</v>
      </c>
      <c r="BQ477" t="s">
        <v>74</v>
      </c>
      <c r="BR477" t="s">
        <v>101</v>
      </c>
      <c r="BS477" t="s">
        <v>9224</v>
      </c>
      <c r="BT477" t="str">
        <f>HYPERLINK("https%3A%2F%2Fwww.webofscience.com%2Fwos%2Fwoscc%2Ffull-record%2FWOS:000300231400007","View Full Record in Web of Science")</f>
        <v>View Full Record in Web of Science</v>
      </c>
    </row>
    <row r="478" spans="1:72" x14ac:dyDescent="0.15">
      <c r="A478" t="s">
        <v>72</v>
      </c>
      <c r="B478" t="s">
        <v>9225</v>
      </c>
      <c r="C478" t="s">
        <v>74</v>
      </c>
      <c r="D478" t="s">
        <v>74</v>
      </c>
      <c r="E478" t="s">
        <v>74</v>
      </c>
      <c r="F478" t="s">
        <v>9226</v>
      </c>
      <c r="G478" t="s">
        <v>74</v>
      </c>
      <c r="H478" t="s">
        <v>74</v>
      </c>
      <c r="I478" t="s">
        <v>9227</v>
      </c>
      <c r="J478" t="s">
        <v>135</v>
      </c>
      <c r="K478" t="s">
        <v>74</v>
      </c>
      <c r="L478" t="s">
        <v>74</v>
      </c>
      <c r="M478" t="s">
        <v>78</v>
      </c>
      <c r="N478" t="s">
        <v>5106</v>
      </c>
      <c r="O478" t="s">
        <v>74</v>
      </c>
      <c r="P478" t="s">
        <v>74</v>
      </c>
      <c r="Q478" t="s">
        <v>74</v>
      </c>
      <c r="R478" t="s">
        <v>74</v>
      </c>
      <c r="S478" t="s">
        <v>74</v>
      </c>
      <c r="T478" t="s">
        <v>74</v>
      </c>
      <c r="U478" t="s">
        <v>74</v>
      </c>
      <c r="V478" t="s">
        <v>74</v>
      </c>
      <c r="W478" t="s">
        <v>9228</v>
      </c>
      <c r="X478" t="s">
        <v>9229</v>
      </c>
      <c r="Y478" t="s">
        <v>9230</v>
      </c>
      <c r="Z478" t="s">
        <v>9231</v>
      </c>
      <c r="AA478" t="s">
        <v>74</v>
      </c>
      <c r="AB478" t="s">
        <v>74</v>
      </c>
      <c r="AC478" t="s">
        <v>74</v>
      </c>
      <c r="AD478" t="s">
        <v>74</v>
      </c>
      <c r="AE478" t="s">
        <v>74</v>
      </c>
      <c r="AF478" t="s">
        <v>74</v>
      </c>
      <c r="AG478">
        <v>2</v>
      </c>
      <c r="AH478">
        <v>1</v>
      </c>
      <c r="AI478">
        <v>1</v>
      </c>
      <c r="AJ478">
        <v>0</v>
      </c>
      <c r="AK478">
        <v>24</v>
      </c>
      <c r="AL478" t="s">
        <v>146</v>
      </c>
      <c r="AM478" t="s">
        <v>147</v>
      </c>
      <c r="AN478" t="s">
        <v>148</v>
      </c>
      <c r="AO478" t="s">
        <v>149</v>
      </c>
      <c r="AP478" t="s">
        <v>74</v>
      </c>
      <c r="AQ478" t="s">
        <v>74</v>
      </c>
      <c r="AR478" t="s">
        <v>135</v>
      </c>
      <c r="AS478" t="s">
        <v>151</v>
      </c>
      <c r="AT478" t="s">
        <v>9203</v>
      </c>
      <c r="AU478">
        <v>2012</v>
      </c>
      <c r="AV478">
        <v>482</v>
      </c>
      <c r="AW478">
        <v>7384</v>
      </c>
      <c r="AX478" t="s">
        <v>74</v>
      </c>
      <c r="AY478" t="s">
        <v>74</v>
      </c>
      <c r="AZ478" t="s">
        <v>74</v>
      </c>
      <c r="BA478" t="s">
        <v>74</v>
      </c>
      <c r="BB478">
        <v>162</v>
      </c>
      <c r="BC478">
        <v>162</v>
      </c>
      <c r="BD478" t="s">
        <v>74</v>
      </c>
      <c r="BE478" t="s">
        <v>9232</v>
      </c>
      <c r="BF478" t="str">
        <f>HYPERLINK("http://dx.doi.org/10.1038/482162c","http://dx.doi.org/10.1038/482162c")</f>
        <v>http://dx.doi.org/10.1038/482162c</v>
      </c>
      <c r="BG478" t="s">
        <v>74</v>
      </c>
      <c r="BH478" t="s">
        <v>74</v>
      </c>
      <c r="BI478">
        <v>1</v>
      </c>
      <c r="BJ478" t="s">
        <v>153</v>
      </c>
      <c r="BK478" t="s">
        <v>99</v>
      </c>
      <c r="BL478" t="s">
        <v>154</v>
      </c>
      <c r="BM478" t="s">
        <v>9233</v>
      </c>
      <c r="BN478">
        <v>22318593</v>
      </c>
      <c r="BO478" t="s">
        <v>217</v>
      </c>
      <c r="BP478" t="s">
        <v>74</v>
      </c>
      <c r="BQ478" t="s">
        <v>74</v>
      </c>
      <c r="BR478" t="s">
        <v>101</v>
      </c>
      <c r="BS478" t="s">
        <v>9234</v>
      </c>
      <c r="BT478" t="str">
        <f>HYPERLINK("https%3A%2F%2Fwww.webofscience.com%2Fwos%2Fwoscc%2Ffull-record%2FWOS:000299994100020","View Full Record in Web of Science")</f>
        <v>View Full Record in Web of Science</v>
      </c>
    </row>
    <row r="479" spans="1:72" x14ac:dyDescent="0.15">
      <c r="A479" t="s">
        <v>72</v>
      </c>
      <c r="B479" t="s">
        <v>9235</v>
      </c>
      <c r="C479" t="s">
        <v>74</v>
      </c>
      <c r="D479" t="s">
        <v>74</v>
      </c>
      <c r="E479" t="s">
        <v>74</v>
      </c>
      <c r="F479" t="s">
        <v>9236</v>
      </c>
      <c r="G479" t="s">
        <v>74</v>
      </c>
      <c r="H479" t="s">
        <v>74</v>
      </c>
      <c r="I479" t="s">
        <v>9237</v>
      </c>
      <c r="J479" t="s">
        <v>9238</v>
      </c>
      <c r="K479" t="s">
        <v>74</v>
      </c>
      <c r="L479" t="s">
        <v>74</v>
      </c>
      <c r="M479" t="s">
        <v>78</v>
      </c>
      <c r="N479" t="s">
        <v>79</v>
      </c>
      <c r="O479" t="s">
        <v>74</v>
      </c>
      <c r="P479" t="s">
        <v>74</v>
      </c>
      <c r="Q479" t="s">
        <v>74</v>
      </c>
      <c r="R479" t="s">
        <v>74</v>
      </c>
      <c r="S479" t="s">
        <v>74</v>
      </c>
      <c r="T479" t="s">
        <v>74</v>
      </c>
      <c r="U479" t="s">
        <v>9239</v>
      </c>
      <c r="V479" t="s">
        <v>9240</v>
      </c>
      <c r="W479" t="s">
        <v>9241</v>
      </c>
      <c r="X479" t="s">
        <v>9242</v>
      </c>
      <c r="Y479" t="s">
        <v>9243</v>
      </c>
      <c r="Z479" t="s">
        <v>9244</v>
      </c>
      <c r="AA479" t="s">
        <v>9245</v>
      </c>
      <c r="AB479" t="s">
        <v>9246</v>
      </c>
      <c r="AC479" t="s">
        <v>9247</v>
      </c>
      <c r="AD479" t="s">
        <v>9248</v>
      </c>
      <c r="AE479" t="s">
        <v>9249</v>
      </c>
      <c r="AF479" t="s">
        <v>74</v>
      </c>
      <c r="AG479">
        <v>99</v>
      </c>
      <c r="AH479">
        <v>38</v>
      </c>
      <c r="AI479">
        <v>42</v>
      </c>
      <c r="AJ479">
        <v>0</v>
      </c>
      <c r="AK479">
        <v>4</v>
      </c>
      <c r="AL479" t="s">
        <v>118</v>
      </c>
      <c r="AM479" t="s">
        <v>119</v>
      </c>
      <c r="AN479" t="s">
        <v>120</v>
      </c>
      <c r="AO479" t="s">
        <v>9250</v>
      </c>
      <c r="AP479" t="s">
        <v>9251</v>
      </c>
      <c r="AQ479" t="s">
        <v>74</v>
      </c>
      <c r="AR479" t="s">
        <v>9238</v>
      </c>
      <c r="AS479" t="s">
        <v>9252</v>
      </c>
      <c r="AT479" t="s">
        <v>9203</v>
      </c>
      <c r="AU479">
        <v>2012</v>
      </c>
      <c r="AV479">
        <v>31</v>
      </c>
      <c r="AW479" t="s">
        <v>74</v>
      </c>
      <c r="AX479" t="s">
        <v>74</v>
      </c>
      <c r="AY479" t="s">
        <v>74</v>
      </c>
      <c r="AZ479" t="s">
        <v>74</v>
      </c>
      <c r="BA479" t="s">
        <v>74</v>
      </c>
      <c r="BB479" t="s">
        <v>74</v>
      </c>
      <c r="BC479" t="s">
        <v>74</v>
      </c>
      <c r="BD479" t="s">
        <v>9253</v>
      </c>
      <c r="BE479" t="s">
        <v>9254</v>
      </c>
      <c r="BF479" t="str">
        <f>HYPERLINK("http://dx.doi.org/10.1029/2011TC003006","http://dx.doi.org/10.1029/2011TC003006")</f>
        <v>http://dx.doi.org/10.1029/2011TC003006</v>
      </c>
      <c r="BG479" t="s">
        <v>74</v>
      </c>
      <c r="BH479" t="s">
        <v>74</v>
      </c>
      <c r="BI479">
        <v>19</v>
      </c>
      <c r="BJ479" t="s">
        <v>1134</v>
      </c>
      <c r="BK479" t="s">
        <v>99</v>
      </c>
      <c r="BL479" t="s">
        <v>1134</v>
      </c>
      <c r="BM479" t="s">
        <v>9255</v>
      </c>
      <c r="BN479" t="s">
        <v>74</v>
      </c>
      <c r="BO479" t="s">
        <v>822</v>
      </c>
      <c r="BP479" t="s">
        <v>74</v>
      </c>
      <c r="BQ479" t="s">
        <v>74</v>
      </c>
      <c r="BR479" t="s">
        <v>101</v>
      </c>
      <c r="BS479" t="s">
        <v>9256</v>
      </c>
      <c r="BT479" t="str">
        <f>HYPERLINK("https%3A%2F%2Fwww.webofscience.com%2Fwos%2Fwoscc%2Ffull-record%2FWOS:000300236800003","View Full Record in Web of Science")</f>
        <v>View Full Record in Web of Science</v>
      </c>
    </row>
    <row r="480" spans="1:72" x14ac:dyDescent="0.15">
      <c r="A480" t="s">
        <v>72</v>
      </c>
      <c r="B480" t="s">
        <v>9257</v>
      </c>
      <c r="C480" t="s">
        <v>74</v>
      </c>
      <c r="D480" t="s">
        <v>74</v>
      </c>
      <c r="E480" t="s">
        <v>74</v>
      </c>
      <c r="F480" t="s">
        <v>9258</v>
      </c>
      <c r="G480" t="s">
        <v>74</v>
      </c>
      <c r="H480" t="s">
        <v>74</v>
      </c>
      <c r="I480" t="s">
        <v>9259</v>
      </c>
      <c r="J480" t="s">
        <v>1382</v>
      </c>
      <c r="K480" t="s">
        <v>74</v>
      </c>
      <c r="L480" t="s">
        <v>74</v>
      </c>
      <c r="M480" t="s">
        <v>78</v>
      </c>
      <c r="N480" t="s">
        <v>79</v>
      </c>
      <c r="O480" t="s">
        <v>74</v>
      </c>
      <c r="P480" t="s">
        <v>74</v>
      </c>
      <c r="Q480" t="s">
        <v>74</v>
      </c>
      <c r="R480" t="s">
        <v>74</v>
      </c>
      <c r="S480" t="s">
        <v>74</v>
      </c>
      <c r="T480" t="s">
        <v>74</v>
      </c>
      <c r="U480" t="s">
        <v>9260</v>
      </c>
      <c r="V480" t="s">
        <v>9261</v>
      </c>
      <c r="W480" t="s">
        <v>9262</v>
      </c>
      <c r="X480" t="s">
        <v>9263</v>
      </c>
      <c r="Y480" t="s">
        <v>9264</v>
      </c>
      <c r="Z480" t="s">
        <v>9265</v>
      </c>
      <c r="AA480" t="s">
        <v>9266</v>
      </c>
      <c r="AB480" t="s">
        <v>9267</v>
      </c>
      <c r="AC480" t="s">
        <v>9268</v>
      </c>
      <c r="AD480" t="s">
        <v>9269</v>
      </c>
      <c r="AE480" t="s">
        <v>9270</v>
      </c>
      <c r="AF480" t="s">
        <v>74</v>
      </c>
      <c r="AG480">
        <v>58</v>
      </c>
      <c r="AH480">
        <v>134</v>
      </c>
      <c r="AI480">
        <v>147</v>
      </c>
      <c r="AJ480">
        <v>4</v>
      </c>
      <c r="AK480">
        <v>230</v>
      </c>
      <c r="AL480" t="s">
        <v>1394</v>
      </c>
      <c r="AM480" t="s">
        <v>119</v>
      </c>
      <c r="AN480" t="s">
        <v>1395</v>
      </c>
      <c r="AO480" t="s">
        <v>1396</v>
      </c>
      <c r="AP480" t="s">
        <v>1397</v>
      </c>
      <c r="AQ480" t="s">
        <v>74</v>
      </c>
      <c r="AR480" t="s">
        <v>1398</v>
      </c>
      <c r="AS480" t="s">
        <v>1399</v>
      </c>
      <c r="AT480" t="s">
        <v>9271</v>
      </c>
      <c r="AU480">
        <v>2012</v>
      </c>
      <c r="AV480">
        <v>46</v>
      </c>
      <c r="AW480">
        <v>3</v>
      </c>
      <c r="AX480" t="s">
        <v>74</v>
      </c>
      <c r="AY480" t="s">
        <v>74</v>
      </c>
      <c r="AZ480" t="s">
        <v>74</v>
      </c>
      <c r="BA480" t="s">
        <v>74</v>
      </c>
      <c r="BB480">
        <v>1396</v>
      </c>
      <c r="BC480">
        <v>1405</v>
      </c>
      <c r="BD480" t="s">
        <v>74</v>
      </c>
      <c r="BE480" t="s">
        <v>9272</v>
      </c>
      <c r="BF480" t="str">
        <f>HYPERLINK("http://dx.doi.org/10.1021/es203425b","http://dx.doi.org/10.1021/es203425b")</f>
        <v>http://dx.doi.org/10.1021/es203425b</v>
      </c>
      <c r="BG480" t="s">
        <v>74</v>
      </c>
      <c r="BH480" t="s">
        <v>74</v>
      </c>
      <c r="BI480">
        <v>10</v>
      </c>
      <c r="BJ480" t="s">
        <v>1401</v>
      </c>
      <c r="BK480" t="s">
        <v>99</v>
      </c>
      <c r="BL480" t="s">
        <v>1402</v>
      </c>
      <c r="BM480" t="s">
        <v>9273</v>
      </c>
      <c r="BN480">
        <v>22243336</v>
      </c>
      <c r="BO480" t="s">
        <v>328</v>
      </c>
      <c r="BP480" t="s">
        <v>74</v>
      </c>
      <c r="BQ480" t="s">
        <v>74</v>
      </c>
      <c r="BR480" t="s">
        <v>101</v>
      </c>
      <c r="BS480" t="s">
        <v>9274</v>
      </c>
      <c r="BT480" t="str">
        <f>HYPERLINK("https%3A%2F%2Fwww.webofscience.com%2Fwos%2Fwoscc%2Ffull-record%2FWOS:000299864400017","View Full Record in Web of Science")</f>
        <v>View Full Record in Web of Science</v>
      </c>
    </row>
    <row r="481" spans="1:72" x14ac:dyDescent="0.15">
      <c r="A481" t="s">
        <v>72</v>
      </c>
      <c r="B481" t="s">
        <v>9275</v>
      </c>
      <c r="C481" t="s">
        <v>74</v>
      </c>
      <c r="D481" t="s">
        <v>74</v>
      </c>
      <c r="E481" t="s">
        <v>74</v>
      </c>
      <c r="F481" t="s">
        <v>9276</v>
      </c>
      <c r="G481" t="s">
        <v>74</v>
      </c>
      <c r="H481" t="s">
        <v>74</v>
      </c>
      <c r="I481" t="s">
        <v>9277</v>
      </c>
      <c r="J481" t="s">
        <v>2975</v>
      </c>
      <c r="K481" t="s">
        <v>74</v>
      </c>
      <c r="L481" t="s">
        <v>74</v>
      </c>
      <c r="M481" t="s">
        <v>78</v>
      </c>
      <c r="N481" t="s">
        <v>79</v>
      </c>
      <c r="O481" t="s">
        <v>74</v>
      </c>
      <c r="P481" t="s">
        <v>74</v>
      </c>
      <c r="Q481" t="s">
        <v>74</v>
      </c>
      <c r="R481" t="s">
        <v>74</v>
      </c>
      <c r="S481" t="s">
        <v>74</v>
      </c>
      <c r="T481" t="s">
        <v>9278</v>
      </c>
      <c r="U481" t="s">
        <v>9279</v>
      </c>
      <c r="V481" t="s">
        <v>9280</v>
      </c>
      <c r="W481" t="s">
        <v>9281</v>
      </c>
      <c r="X481" t="s">
        <v>9282</v>
      </c>
      <c r="Y481" t="s">
        <v>9283</v>
      </c>
      <c r="Z481" t="s">
        <v>9284</v>
      </c>
      <c r="AA481" t="s">
        <v>9285</v>
      </c>
      <c r="AB481" t="s">
        <v>9286</v>
      </c>
      <c r="AC481" t="s">
        <v>9287</v>
      </c>
      <c r="AD481" t="s">
        <v>9287</v>
      </c>
      <c r="AE481" t="s">
        <v>9288</v>
      </c>
      <c r="AF481" t="s">
        <v>74</v>
      </c>
      <c r="AG481">
        <v>65</v>
      </c>
      <c r="AH481">
        <v>21</v>
      </c>
      <c r="AI481">
        <v>21</v>
      </c>
      <c r="AJ481">
        <v>0</v>
      </c>
      <c r="AK481">
        <v>25</v>
      </c>
      <c r="AL481" t="s">
        <v>277</v>
      </c>
      <c r="AM481" t="s">
        <v>278</v>
      </c>
      <c r="AN481" t="s">
        <v>279</v>
      </c>
      <c r="AO481" t="s">
        <v>2988</v>
      </c>
      <c r="AP481" t="s">
        <v>74</v>
      </c>
      <c r="AQ481" t="s">
        <v>74</v>
      </c>
      <c r="AR481" t="s">
        <v>2989</v>
      </c>
      <c r="AS481" t="s">
        <v>2990</v>
      </c>
      <c r="AT481" t="s">
        <v>9289</v>
      </c>
      <c r="AU481">
        <v>2012</v>
      </c>
      <c r="AV481">
        <v>33</v>
      </c>
      <c r="AW481" t="s">
        <v>74</v>
      </c>
      <c r="AX481" t="s">
        <v>74</v>
      </c>
      <c r="AY481" t="s">
        <v>74</v>
      </c>
      <c r="AZ481" t="s">
        <v>74</v>
      </c>
      <c r="BA481" t="s">
        <v>74</v>
      </c>
      <c r="BB481">
        <v>20</v>
      </c>
      <c r="BC481">
        <v>31</v>
      </c>
      <c r="BD481" t="s">
        <v>74</v>
      </c>
      <c r="BE481" t="s">
        <v>9290</v>
      </c>
      <c r="BF481" t="str">
        <f>HYPERLINK("http://dx.doi.org/10.1016/j.quascirev.2011.11.023","http://dx.doi.org/10.1016/j.quascirev.2011.11.023")</f>
        <v>http://dx.doi.org/10.1016/j.quascirev.2011.11.023</v>
      </c>
      <c r="BG481" t="s">
        <v>74</v>
      </c>
      <c r="BH481" t="s">
        <v>74</v>
      </c>
      <c r="BI481">
        <v>12</v>
      </c>
      <c r="BJ481" t="s">
        <v>943</v>
      </c>
      <c r="BK481" t="s">
        <v>99</v>
      </c>
      <c r="BL481" t="s">
        <v>944</v>
      </c>
      <c r="BM481" t="s">
        <v>9291</v>
      </c>
      <c r="BN481" t="s">
        <v>74</v>
      </c>
      <c r="BO481" t="s">
        <v>328</v>
      </c>
      <c r="BP481" t="s">
        <v>74</v>
      </c>
      <c r="BQ481" t="s">
        <v>74</v>
      </c>
      <c r="BR481" t="s">
        <v>101</v>
      </c>
      <c r="BS481" t="s">
        <v>9292</v>
      </c>
      <c r="BT481" t="str">
        <f>HYPERLINK("https%3A%2F%2Fwww.webofscience.com%2Fwos%2Fwoscc%2Ffull-record%2FWOS:000300926700003","View Full Record in Web of Science")</f>
        <v>View Full Record in Web of Science</v>
      </c>
    </row>
    <row r="482" spans="1:72" x14ac:dyDescent="0.15">
      <c r="A482" t="s">
        <v>72</v>
      </c>
      <c r="B482" t="s">
        <v>9293</v>
      </c>
      <c r="C482" t="s">
        <v>74</v>
      </c>
      <c r="D482" t="s">
        <v>74</v>
      </c>
      <c r="E482" t="s">
        <v>74</v>
      </c>
      <c r="F482" t="s">
        <v>9294</v>
      </c>
      <c r="G482" t="s">
        <v>74</v>
      </c>
      <c r="H482" t="s">
        <v>74</v>
      </c>
      <c r="I482" t="s">
        <v>9295</v>
      </c>
      <c r="J482" t="s">
        <v>382</v>
      </c>
      <c r="K482" t="s">
        <v>74</v>
      </c>
      <c r="L482" t="s">
        <v>74</v>
      </c>
      <c r="M482" t="s">
        <v>78</v>
      </c>
      <c r="N482" t="s">
        <v>79</v>
      </c>
      <c r="O482" t="s">
        <v>74</v>
      </c>
      <c r="P482" t="s">
        <v>74</v>
      </c>
      <c r="Q482" t="s">
        <v>74</v>
      </c>
      <c r="R482" t="s">
        <v>74</v>
      </c>
      <c r="S482" t="s">
        <v>74</v>
      </c>
      <c r="T482" t="s">
        <v>9296</v>
      </c>
      <c r="U482" t="s">
        <v>9297</v>
      </c>
      <c r="V482" t="s">
        <v>9298</v>
      </c>
      <c r="W482" t="s">
        <v>9299</v>
      </c>
      <c r="X482" t="s">
        <v>9300</v>
      </c>
      <c r="Y482" t="s">
        <v>9301</v>
      </c>
      <c r="Z482" t="s">
        <v>9302</v>
      </c>
      <c r="AA482" t="s">
        <v>9303</v>
      </c>
      <c r="AB482" t="s">
        <v>9304</v>
      </c>
      <c r="AC482" t="s">
        <v>9305</v>
      </c>
      <c r="AD482" t="s">
        <v>9306</v>
      </c>
      <c r="AE482" t="s">
        <v>9307</v>
      </c>
      <c r="AF482" t="s">
        <v>74</v>
      </c>
      <c r="AG482">
        <v>83</v>
      </c>
      <c r="AH482">
        <v>37</v>
      </c>
      <c r="AI482">
        <v>39</v>
      </c>
      <c r="AJ482">
        <v>0</v>
      </c>
      <c r="AK482">
        <v>24</v>
      </c>
      <c r="AL482" t="s">
        <v>91</v>
      </c>
      <c r="AM482" t="s">
        <v>92</v>
      </c>
      <c r="AN482" t="s">
        <v>93</v>
      </c>
      <c r="AO482" t="s">
        <v>393</v>
      </c>
      <c r="AP482" t="s">
        <v>9308</v>
      </c>
      <c r="AQ482" t="s">
        <v>74</v>
      </c>
      <c r="AR482" t="s">
        <v>382</v>
      </c>
      <c r="AS482" t="s">
        <v>394</v>
      </c>
      <c r="AT482" t="s">
        <v>9289</v>
      </c>
      <c r="AU482">
        <v>2012</v>
      </c>
      <c r="AV482">
        <v>44</v>
      </c>
      <c r="AW482" t="s">
        <v>74</v>
      </c>
      <c r="AX482" t="s">
        <v>74</v>
      </c>
      <c r="AY482" t="s">
        <v>74</v>
      </c>
      <c r="AZ482" t="s">
        <v>74</v>
      </c>
      <c r="BA482" t="s">
        <v>74</v>
      </c>
      <c r="BB482">
        <v>11</v>
      </c>
      <c r="BC482">
        <v>37</v>
      </c>
      <c r="BD482" t="s">
        <v>74</v>
      </c>
      <c r="BE482" t="s">
        <v>9309</v>
      </c>
      <c r="BF482" t="str">
        <f>HYPERLINK("http://dx.doi.org/10.11646/phytotaxa.44.1.2","http://dx.doi.org/10.11646/phytotaxa.44.1.2")</f>
        <v>http://dx.doi.org/10.11646/phytotaxa.44.1.2</v>
      </c>
      <c r="BG482" t="s">
        <v>74</v>
      </c>
      <c r="BH482" t="s">
        <v>74</v>
      </c>
      <c r="BI482">
        <v>27</v>
      </c>
      <c r="BJ482" t="s">
        <v>396</v>
      </c>
      <c r="BK482" t="s">
        <v>99</v>
      </c>
      <c r="BL482" t="s">
        <v>396</v>
      </c>
      <c r="BM482" t="s">
        <v>9310</v>
      </c>
      <c r="BN482" t="s">
        <v>74</v>
      </c>
      <c r="BO482" t="s">
        <v>74</v>
      </c>
      <c r="BP482" t="s">
        <v>74</v>
      </c>
      <c r="BQ482" t="s">
        <v>74</v>
      </c>
      <c r="BR482" t="s">
        <v>101</v>
      </c>
      <c r="BS482" t="s">
        <v>9311</v>
      </c>
      <c r="BT482" t="str">
        <f>HYPERLINK("https%3A%2F%2Fwww.webofscience.com%2Fwos%2Fwoscc%2Ffull-record%2FWOS:000300939300002","View Full Record in Web of Science")</f>
        <v>View Full Record in Web of Science</v>
      </c>
    </row>
    <row r="483" spans="1:72" x14ac:dyDescent="0.15">
      <c r="A483" t="s">
        <v>72</v>
      </c>
      <c r="B483" t="s">
        <v>9312</v>
      </c>
      <c r="C483" t="s">
        <v>74</v>
      </c>
      <c r="D483" t="s">
        <v>74</v>
      </c>
      <c r="E483" t="s">
        <v>74</v>
      </c>
      <c r="F483" t="s">
        <v>9313</v>
      </c>
      <c r="G483" t="s">
        <v>74</v>
      </c>
      <c r="H483" t="s">
        <v>74</v>
      </c>
      <c r="I483" t="s">
        <v>9314</v>
      </c>
      <c r="J483" t="s">
        <v>9315</v>
      </c>
      <c r="K483" t="s">
        <v>74</v>
      </c>
      <c r="L483" t="s">
        <v>74</v>
      </c>
      <c r="M483" t="s">
        <v>78</v>
      </c>
      <c r="N483" t="s">
        <v>79</v>
      </c>
      <c r="O483" t="s">
        <v>74</v>
      </c>
      <c r="P483" t="s">
        <v>74</v>
      </c>
      <c r="Q483" t="s">
        <v>74</v>
      </c>
      <c r="R483" t="s">
        <v>74</v>
      </c>
      <c r="S483" t="s">
        <v>74</v>
      </c>
      <c r="T483" t="s">
        <v>9316</v>
      </c>
      <c r="U483" t="s">
        <v>9317</v>
      </c>
      <c r="V483" t="s">
        <v>9318</v>
      </c>
      <c r="W483" t="s">
        <v>9319</v>
      </c>
      <c r="X483" t="s">
        <v>9320</v>
      </c>
      <c r="Y483" t="s">
        <v>9321</v>
      </c>
      <c r="Z483" t="s">
        <v>9322</v>
      </c>
      <c r="AA483" t="s">
        <v>74</v>
      </c>
      <c r="AB483" t="s">
        <v>9323</v>
      </c>
      <c r="AC483" t="s">
        <v>9324</v>
      </c>
      <c r="AD483" t="s">
        <v>9325</v>
      </c>
      <c r="AE483" t="s">
        <v>9326</v>
      </c>
      <c r="AF483" t="s">
        <v>74</v>
      </c>
      <c r="AG483">
        <v>74</v>
      </c>
      <c r="AH483">
        <v>62</v>
      </c>
      <c r="AI483">
        <v>66</v>
      </c>
      <c r="AJ483">
        <v>1</v>
      </c>
      <c r="AK483">
        <v>23</v>
      </c>
      <c r="AL483" t="s">
        <v>118</v>
      </c>
      <c r="AM483" t="s">
        <v>119</v>
      </c>
      <c r="AN483" t="s">
        <v>120</v>
      </c>
      <c r="AO483" t="s">
        <v>74</v>
      </c>
      <c r="AP483" t="s">
        <v>9327</v>
      </c>
      <c r="AQ483" t="s">
        <v>74</v>
      </c>
      <c r="AR483" t="s">
        <v>9328</v>
      </c>
      <c r="AS483" t="s">
        <v>9329</v>
      </c>
      <c r="AT483" t="s">
        <v>9330</v>
      </c>
      <c r="AU483">
        <v>2012</v>
      </c>
      <c r="AV483">
        <v>13</v>
      </c>
      <c r="AW483" t="s">
        <v>74</v>
      </c>
      <c r="AX483" t="s">
        <v>74</v>
      </c>
      <c r="AY483" t="s">
        <v>74</v>
      </c>
      <c r="AZ483" t="s">
        <v>74</v>
      </c>
      <c r="BA483" t="s">
        <v>74</v>
      </c>
      <c r="BB483" t="s">
        <v>74</v>
      </c>
      <c r="BC483" t="s">
        <v>74</v>
      </c>
      <c r="BD483" t="s">
        <v>9331</v>
      </c>
      <c r="BE483" t="s">
        <v>9332</v>
      </c>
      <c r="BF483" t="str">
        <f>HYPERLINK("http://dx.doi.org/10.1029/2011GC003897","http://dx.doi.org/10.1029/2011GC003897")</f>
        <v>http://dx.doi.org/10.1029/2011GC003897</v>
      </c>
      <c r="BG483" t="s">
        <v>74</v>
      </c>
      <c r="BH483" t="s">
        <v>74</v>
      </c>
      <c r="BI483">
        <v>27</v>
      </c>
      <c r="BJ483" t="s">
        <v>1134</v>
      </c>
      <c r="BK483" t="s">
        <v>99</v>
      </c>
      <c r="BL483" t="s">
        <v>1134</v>
      </c>
      <c r="BM483" t="s">
        <v>9333</v>
      </c>
      <c r="BN483" t="s">
        <v>74</v>
      </c>
      <c r="BO483" t="s">
        <v>217</v>
      </c>
      <c r="BP483" t="s">
        <v>74</v>
      </c>
      <c r="BQ483" t="s">
        <v>74</v>
      </c>
      <c r="BR483" t="s">
        <v>101</v>
      </c>
      <c r="BS483" t="s">
        <v>9334</v>
      </c>
      <c r="BT483" t="str">
        <f>HYPERLINK("https%3A%2F%2Fwww.webofscience.com%2Fwos%2Fwoscc%2Ffull-record%2FWOS:000299990900001","View Full Record in Web of Science")</f>
        <v>View Full Record in Web of Science</v>
      </c>
    </row>
    <row r="484" spans="1:72" x14ac:dyDescent="0.15">
      <c r="A484" t="s">
        <v>72</v>
      </c>
      <c r="B484" t="s">
        <v>9335</v>
      </c>
      <c r="C484" t="s">
        <v>74</v>
      </c>
      <c r="D484" t="s">
        <v>74</v>
      </c>
      <c r="E484" t="s">
        <v>74</v>
      </c>
      <c r="F484" t="s">
        <v>9336</v>
      </c>
      <c r="G484" t="s">
        <v>74</v>
      </c>
      <c r="H484" t="s">
        <v>74</v>
      </c>
      <c r="I484" t="s">
        <v>9337</v>
      </c>
      <c r="J484" t="s">
        <v>2697</v>
      </c>
      <c r="K484" t="s">
        <v>74</v>
      </c>
      <c r="L484" t="s">
        <v>74</v>
      </c>
      <c r="M484" t="s">
        <v>78</v>
      </c>
      <c r="N484" t="s">
        <v>79</v>
      </c>
      <c r="O484" t="s">
        <v>74</v>
      </c>
      <c r="P484" t="s">
        <v>74</v>
      </c>
      <c r="Q484" t="s">
        <v>74</v>
      </c>
      <c r="R484" t="s">
        <v>74</v>
      </c>
      <c r="S484" t="s">
        <v>74</v>
      </c>
      <c r="T484" t="s">
        <v>74</v>
      </c>
      <c r="U484" t="s">
        <v>9338</v>
      </c>
      <c r="V484" t="s">
        <v>9339</v>
      </c>
      <c r="W484" t="s">
        <v>9340</v>
      </c>
      <c r="X484" t="s">
        <v>9341</v>
      </c>
      <c r="Y484" t="s">
        <v>9342</v>
      </c>
      <c r="Z484" t="s">
        <v>9343</v>
      </c>
      <c r="AA484" t="s">
        <v>9344</v>
      </c>
      <c r="AB484" t="s">
        <v>9345</v>
      </c>
      <c r="AC484" t="s">
        <v>9346</v>
      </c>
      <c r="AD484" t="s">
        <v>9347</v>
      </c>
      <c r="AE484" t="s">
        <v>9348</v>
      </c>
      <c r="AF484" t="s">
        <v>74</v>
      </c>
      <c r="AG484">
        <v>43</v>
      </c>
      <c r="AH484">
        <v>174</v>
      </c>
      <c r="AI484">
        <v>197</v>
      </c>
      <c r="AJ484">
        <v>2</v>
      </c>
      <c r="AK484">
        <v>116</v>
      </c>
      <c r="AL484" t="s">
        <v>2709</v>
      </c>
      <c r="AM484" t="s">
        <v>119</v>
      </c>
      <c r="AN484" t="s">
        <v>2710</v>
      </c>
      <c r="AO484" t="s">
        <v>2711</v>
      </c>
      <c r="AP484" t="s">
        <v>2712</v>
      </c>
      <c r="AQ484" t="s">
        <v>74</v>
      </c>
      <c r="AR484" t="s">
        <v>2697</v>
      </c>
      <c r="AS484" t="s">
        <v>2713</v>
      </c>
      <c r="AT484" t="s">
        <v>9330</v>
      </c>
      <c r="AU484">
        <v>2012</v>
      </c>
      <c r="AV484">
        <v>335</v>
      </c>
      <c r="AW484">
        <v>6068</v>
      </c>
      <c r="AX484" t="s">
        <v>74</v>
      </c>
      <c r="AY484" t="s">
        <v>74</v>
      </c>
      <c r="AZ484" t="s">
        <v>74</v>
      </c>
      <c r="BA484" t="s">
        <v>74</v>
      </c>
      <c r="BB484">
        <v>570</v>
      </c>
      <c r="BC484">
        <v>573</v>
      </c>
      <c r="BD484" t="s">
        <v>74</v>
      </c>
      <c r="BE484" t="s">
        <v>9349</v>
      </c>
      <c r="BF484" t="str">
        <f>HYPERLINK("http://dx.doi.org/10.1126/science.1213397","http://dx.doi.org/10.1126/science.1213397")</f>
        <v>http://dx.doi.org/10.1126/science.1213397</v>
      </c>
      <c r="BG484" t="s">
        <v>74</v>
      </c>
      <c r="BH484" t="s">
        <v>74</v>
      </c>
      <c r="BI484">
        <v>4</v>
      </c>
      <c r="BJ484" t="s">
        <v>153</v>
      </c>
      <c r="BK484" t="s">
        <v>99</v>
      </c>
      <c r="BL484" t="s">
        <v>154</v>
      </c>
      <c r="BM484" t="s">
        <v>9350</v>
      </c>
      <c r="BN484">
        <v>22245741</v>
      </c>
      <c r="BO484" t="s">
        <v>74</v>
      </c>
      <c r="BP484" t="s">
        <v>74</v>
      </c>
      <c r="BQ484" t="s">
        <v>74</v>
      </c>
      <c r="BR484" t="s">
        <v>101</v>
      </c>
      <c r="BS484" t="s">
        <v>9351</v>
      </c>
      <c r="BT484" t="str">
        <f>HYPERLINK("https%3A%2F%2Fwww.webofscience.com%2Fwos%2Fwoscc%2Ffull-record%2FWOS:000299769200040","View Full Record in Web of Science")</f>
        <v>View Full Record in Web of Science</v>
      </c>
    </row>
    <row r="485" spans="1:72" x14ac:dyDescent="0.15">
      <c r="A485" t="s">
        <v>72</v>
      </c>
      <c r="B485" t="s">
        <v>9352</v>
      </c>
      <c r="C485" t="s">
        <v>74</v>
      </c>
      <c r="D485" t="s">
        <v>74</v>
      </c>
      <c r="E485" t="s">
        <v>74</v>
      </c>
      <c r="F485" t="s">
        <v>9353</v>
      </c>
      <c r="G485" t="s">
        <v>74</v>
      </c>
      <c r="H485" t="s">
        <v>74</v>
      </c>
      <c r="I485" t="s">
        <v>9354</v>
      </c>
      <c r="J485" t="s">
        <v>9355</v>
      </c>
      <c r="K485" t="s">
        <v>74</v>
      </c>
      <c r="L485" t="s">
        <v>74</v>
      </c>
      <c r="M485" t="s">
        <v>78</v>
      </c>
      <c r="N485" t="s">
        <v>79</v>
      </c>
      <c r="O485" t="s">
        <v>74</v>
      </c>
      <c r="P485" t="s">
        <v>74</v>
      </c>
      <c r="Q485" t="s">
        <v>74</v>
      </c>
      <c r="R485" t="s">
        <v>74</v>
      </c>
      <c r="S485" t="s">
        <v>74</v>
      </c>
      <c r="T485" t="s">
        <v>9356</v>
      </c>
      <c r="U485" t="s">
        <v>9357</v>
      </c>
      <c r="V485" t="s">
        <v>9358</v>
      </c>
      <c r="W485" t="s">
        <v>9359</v>
      </c>
      <c r="X485" t="s">
        <v>9360</v>
      </c>
      <c r="Y485" t="s">
        <v>9361</v>
      </c>
      <c r="Z485" t="s">
        <v>9362</v>
      </c>
      <c r="AA485" t="s">
        <v>9363</v>
      </c>
      <c r="AB485" t="s">
        <v>9364</v>
      </c>
      <c r="AC485" t="s">
        <v>9365</v>
      </c>
      <c r="AD485" t="s">
        <v>9366</v>
      </c>
      <c r="AE485" t="s">
        <v>9367</v>
      </c>
      <c r="AF485" t="s">
        <v>74</v>
      </c>
      <c r="AG485">
        <v>55</v>
      </c>
      <c r="AH485">
        <v>14</v>
      </c>
      <c r="AI485">
        <v>14</v>
      </c>
      <c r="AJ485">
        <v>1</v>
      </c>
      <c r="AK485">
        <v>18</v>
      </c>
      <c r="AL485" t="s">
        <v>627</v>
      </c>
      <c r="AM485" t="s">
        <v>628</v>
      </c>
      <c r="AN485" t="s">
        <v>629</v>
      </c>
      <c r="AO485" t="s">
        <v>9368</v>
      </c>
      <c r="AP485" t="s">
        <v>9369</v>
      </c>
      <c r="AQ485" t="s">
        <v>74</v>
      </c>
      <c r="AR485" t="s">
        <v>9370</v>
      </c>
      <c r="AS485" t="s">
        <v>9371</v>
      </c>
      <c r="AT485" t="s">
        <v>9372</v>
      </c>
      <c r="AU485">
        <v>2012</v>
      </c>
      <c r="AV485">
        <v>27</v>
      </c>
      <c r="AW485">
        <v>2</v>
      </c>
      <c r="AX485" t="s">
        <v>74</v>
      </c>
      <c r="AY485" t="s">
        <v>74</v>
      </c>
      <c r="AZ485" t="s">
        <v>74</v>
      </c>
      <c r="BA485" t="s">
        <v>74</v>
      </c>
      <c r="BB485">
        <v>203</v>
      </c>
      <c r="BC485">
        <v>210</v>
      </c>
      <c r="BD485" t="s">
        <v>74</v>
      </c>
      <c r="BE485" t="s">
        <v>9373</v>
      </c>
      <c r="BF485" t="str">
        <f>HYPERLINK("http://dx.doi.org/10.1002/jqs.1535","http://dx.doi.org/10.1002/jqs.1535")</f>
        <v>http://dx.doi.org/10.1002/jqs.1535</v>
      </c>
      <c r="BG485" t="s">
        <v>74</v>
      </c>
      <c r="BH485" t="s">
        <v>74</v>
      </c>
      <c r="BI485">
        <v>8</v>
      </c>
      <c r="BJ485" t="s">
        <v>943</v>
      </c>
      <c r="BK485" t="s">
        <v>99</v>
      </c>
      <c r="BL485" t="s">
        <v>944</v>
      </c>
      <c r="BM485" t="s">
        <v>9374</v>
      </c>
      <c r="BN485" t="s">
        <v>74</v>
      </c>
      <c r="BO485" t="s">
        <v>74</v>
      </c>
      <c r="BP485" t="s">
        <v>74</v>
      </c>
      <c r="BQ485" t="s">
        <v>74</v>
      </c>
      <c r="BR485" t="s">
        <v>101</v>
      </c>
      <c r="BS485" t="s">
        <v>9375</v>
      </c>
      <c r="BT485" t="str">
        <f>HYPERLINK("https%3A%2F%2Fwww.webofscience.com%2Fwos%2Fwoscc%2Ffull-record%2FWOS:000303057300009","View Full Record in Web of Science")</f>
        <v>View Full Record in Web of Science</v>
      </c>
    </row>
    <row r="486" spans="1:72" x14ac:dyDescent="0.15">
      <c r="A486" t="s">
        <v>72</v>
      </c>
      <c r="B486" t="s">
        <v>9376</v>
      </c>
      <c r="C486" t="s">
        <v>74</v>
      </c>
      <c r="D486" t="s">
        <v>74</v>
      </c>
      <c r="E486" t="s">
        <v>74</v>
      </c>
      <c r="F486" t="s">
        <v>9377</v>
      </c>
      <c r="G486" t="s">
        <v>74</v>
      </c>
      <c r="H486" t="s">
        <v>74</v>
      </c>
      <c r="I486" t="s">
        <v>9378</v>
      </c>
      <c r="J486" t="s">
        <v>9379</v>
      </c>
      <c r="K486" t="s">
        <v>74</v>
      </c>
      <c r="L486" t="s">
        <v>74</v>
      </c>
      <c r="M486" t="s">
        <v>78</v>
      </c>
      <c r="N486" t="s">
        <v>2606</v>
      </c>
      <c r="O486" t="s">
        <v>9380</v>
      </c>
      <c r="P486" t="s">
        <v>9381</v>
      </c>
      <c r="Q486" t="s">
        <v>9382</v>
      </c>
      <c r="R486" t="s">
        <v>74</v>
      </c>
      <c r="S486" t="s">
        <v>74</v>
      </c>
      <c r="T486" t="s">
        <v>74</v>
      </c>
      <c r="U486" t="s">
        <v>9383</v>
      </c>
      <c r="V486" t="s">
        <v>9384</v>
      </c>
      <c r="W486" t="s">
        <v>9385</v>
      </c>
      <c r="X486" t="s">
        <v>9386</v>
      </c>
      <c r="Y486" t="s">
        <v>9387</v>
      </c>
      <c r="Z486" t="s">
        <v>9388</v>
      </c>
      <c r="AA486" t="s">
        <v>9389</v>
      </c>
      <c r="AB486" t="s">
        <v>9390</v>
      </c>
      <c r="AC486" t="s">
        <v>74</v>
      </c>
      <c r="AD486" t="s">
        <v>74</v>
      </c>
      <c r="AE486" t="s">
        <v>74</v>
      </c>
      <c r="AF486" t="s">
        <v>74</v>
      </c>
      <c r="AG486">
        <v>34</v>
      </c>
      <c r="AH486">
        <v>4</v>
      </c>
      <c r="AI486">
        <v>4</v>
      </c>
      <c r="AJ486">
        <v>0</v>
      </c>
      <c r="AK486">
        <v>4</v>
      </c>
      <c r="AL486" t="s">
        <v>9391</v>
      </c>
      <c r="AM486" t="s">
        <v>9392</v>
      </c>
      <c r="AN486" t="s">
        <v>9393</v>
      </c>
      <c r="AO486" t="s">
        <v>9394</v>
      </c>
      <c r="AP486" t="s">
        <v>9395</v>
      </c>
      <c r="AQ486" t="s">
        <v>74</v>
      </c>
      <c r="AR486" t="s">
        <v>9396</v>
      </c>
      <c r="AS486" t="s">
        <v>9397</v>
      </c>
      <c r="AT486" t="s">
        <v>9372</v>
      </c>
      <c r="AU486">
        <v>2012</v>
      </c>
      <c r="AV486">
        <v>121</v>
      </c>
      <c r="AW486">
        <v>2</v>
      </c>
      <c r="AX486" t="s">
        <v>74</v>
      </c>
      <c r="AY486" t="s">
        <v>74</v>
      </c>
      <c r="AZ486" t="s">
        <v>74</v>
      </c>
      <c r="BA486" t="s">
        <v>74</v>
      </c>
      <c r="BB486">
        <v>480</v>
      </c>
      <c r="BC486">
        <v>484</v>
      </c>
      <c r="BD486" t="s">
        <v>74</v>
      </c>
      <c r="BE486" t="s">
        <v>9398</v>
      </c>
      <c r="BF486" t="str">
        <f>HYPERLINK("http://dx.doi.org/10.12693/APhysPolA.121.480","http://dx.doi.org/10.12693/APhysPolA.121.480")</f>
        <v>http://dx.doi.org/10.12693/APhysPolA.121.480</v>
      </c>
      <c r="BG486" t="s">
        <v>74</v>
      </c>
      <c r="BH486" t="s">
        <v>74</v>
      </c>
      <c r="BI486">
        <v>5</v>
      </c>
      <c r="BJ486" t="s">
        <v>3677</v>
      </c>
      <c r="BK486" t="s">
        <v>2624</v>
      </c>
      <c r="BL486" t="s">
        <v>3678</v>
      </c>
      <c r="BM486" t="s">
        <v>9399</v>
      </c>
      <c r="BN486" t="s">
        <v>74</v>
      </c>
      <c r="BO486" t="s">
        <v>9400</v>
      </c>
      <c r="BP486" t="s">
        <v>74</v>
      </c>
      <c r="BQ486" t="s">
        <v>74</v>
      </c>
      <c r="BR486" t="s">
        <v>101</v>
      </c>
      <c r="BS486" t="s">
        <v>9401</v>
      </c>
      <c r="BT486" t="str">
        <f>HYPERLINK("https%3A%2F%2Fwww.webofscience.com%2Fwos%2Fwoscc%2Ffull-record%2FWOS:000301612300039","View Full Record in Web of Science")</f>
        <v>View Full Record in Web of Science</v>
      </c>
    </row>
    <row r="487" spans="1:72" x14ac:dyDescent="0.15">
      <c r="A487" t="s">
        <v>72</v>
      </c>
      <c r="B487" t="s">
        <v>9402</v>
      </c>
      <c r="C487" t="s">
        <v>74</v>
      </c>
      <c r="D487" t="s">
        <v>74</v>
      </c>
      <c r="E487" t="s">
        <v>74</v>
      </c>
      <c r="F487" t="s">
        <v>9403</v>
      </c>
      <c r="G487" t="s">
        <v>74</v>
      </c>
      <c r="H487" t="s">
        <v>74</v>
      </c>
      <c r="I487" t="s">
        <v>9404</v>
      </c>
      <c r="J487" t="s">
        <v>1852</v>
      </c>
      <c r="K487" t="s">
        <v>74</v>
      </c>
      <c r="L487" t="s">
        <v>74</v>
      </c>
      <c r="M487" t="s">
        <v>78</v>
      </c>
      <c r="N487" t="s">
        <v>79</v>
      </c>
      <c r="O487" t="s">
        <v>74</v>
      </c>
      <c r="P487" t="s">
        <v>74</v>
      </c>
      <c r="Q487" t="s">
        <v>74</v>
      </c>
      <c r="R487" t="s">
        <v>74</v>
      </c>
      <c r="S487" t="s">
        <v>74</v>
      </c>
      <c r="T487" t="s">
        <v>74</v>
      </c>
      <c r="U487" t="s">
        <v>9405</v>
      </c>
      <c r="V487" t="s">
        <v>9406</v>
      </c>
      <c r="W487" t="s">
        <v>9407</v>
      </c>
      <c r="X487" t="s">
        <v>697</v>
      </c>
      <c r="Y487" t="s">
        <v>9408</v>
      </c>
      <c r="Z487" t="s">
        <v>9409</v>
      </c>
      <c r="AA487" t="s">
        <v>9410</v>
      </c>
      <c r="AB487" t="s">
        <v>74</v>
      </c>
      <c r="AC487" t="s">
        <v>9411</v>
      </c>
      <c r="AD487" t="s">
        <v>9412</v>
      </c>
      <c r="AE487" t="s">
        <v>9413</v>
      </c>
      <c r="AF487" t="s">
        <v>74</v>
      </c>
      <c r="AG487">
        <v>15</v>
      </c>
      <c r="AH487">
        <v>2</v>
      </c>
      <c r="AI487">
        <v>2</v>
      </c>
      <c r="AJ487">
        <v>0</v>
      </c>
      <c r="AK487">
        <v>5</v>
      </c>
      <c r="AL487" t="s">
        <v>681</v>
      </c>
      <c r="AM487" t="s">
        <v>656</v>
      </c>
      <c r="AN487" t="s">
        <v>682</v>
      </c>
      <c r="AO487" t="s">
        <v>1863</v>
      </c>
      <c r="AP487" t="s">
        <v>1864</v>
      </c>
      <c r="AQ487" t="s">
        <v>74</v>
      </c>
      <c r="AR487" t="s">
        <v>1865</v>
      </c>
      <c r="AS487" t="s">
        <v>1866</v>
      </c>
      <c r="AT487" t="s">
        <v>9372</v>
      </c>
      <c r="AU487">
        <v>2012</v>
      </c>
      <c r="AV487">
        <v>442</v>
      </c>
      <c r="AW487">
        <v>2</v>
      </c>
      <c r="AX487" t="s">
        <v>74</v>
      </c>
      <c r="AY487" t="s">
        <v>74</v>
      </c>
      <c r="AZ487" t="s">
        <v>74</v>
      </c>
      <c r="BA487" t="s">
        <v>74</v>
      </c>
      <c r="BB487">
        <v>286</v>
      </c>
      <c r="BC487">
        <v>291</v>
      </c>
      <c r="BD487" t="s">
        <v>74</v>
      </c>
      <c r="BE487" t="s">
        <v>9414</v>
      </c>
      <c r="BF487" t="str">
        <f>HYPERLINK("http://dx.doi.org/10.1134/S1028334X12020262","http://dx.doi.org/10.1134/S1028334X12020262")</f>
        <v>http://dx.doi.org/10.1134/S1028334X12020262</v>
      </c>
      <c r="BG487" t="s">
        <v>74</v>
      </c>
      <c r="BH487" t="s">
        <v>74</v>
      </c>
      <c r="BI487">
        <v>6</v>
      </c>
      <c r="BJ487" t="s">
        <v>194</v>
      </c>
      <c r="BK487" t="s">
        <v>99</v>
      </c>
      <c r="BL487" t="s">
        <v>195</v>
      </c>
      <c r="BM487" t="s">
        <v>9415</v>
      </c>
      <c r="BN487" t="s">
        <v>74</v>
      </c>
      <c r="BO487" t="s">
        <v>74</v>
      </c>
      <c r="BP487" t="s">
        <v>74</v>
      </c>
      <c r="BQ487" t="s">
        <v>74</v>
      </c>
      <c r="BR487" t="s">
        <v>101</v>
      </c>
      <c r="BS487" t="s">
        <v>9416</v>
      </c>
      <c r="BT487" t="str">
        <f>HYPERLINK("https%3A%2F%2Fwww.webofscience.com%2Fwos%2Fwoscc%2Ffull-record%2FWOS:000302480300026","View Full Record in Web of Science")</f>
        <v>View Full Record in Web of Science</v>
      </c>
    </row>
    <row r="488" spans="1:72" x14ac:dyDescent="0.15">
      <c r="A488" t="s">
        <v>72</v>
      </c>
      <c r="B488" t="s">
        <v>9417</v>
      </c>
      <c r="C488" t="s">
        <v>74</v>
      </c>
      <c r="D488" t="s">
        <v>74</v>
      </c>
      <c r="E488" t="s">
        <v>74</v>
      </c>
      <c r="F488" t="s">
        <v>9418</v>
      </c>
      <c r="G488" t="s">
        <v>74</v>
      </c>
      <c r="H488" t="s">
        <v>74</v>
      </c>
      <c r="I488" t="s">
        <v>9419</v>
      </c>
      <c r="J488" t="s">
        <v>4890</v>
      </c>
      <c r="K488" t="s">
        <v>74</v>
      </c>
      <c r="L488" t="s">
        <v>74</v>
      </c>
      <c r="M488" t="s">
        <v>78</v>
      </c>
      <c r="N488" t="s">
        <v>79</v>
      </c>
      <c r="O488" t="s">
        <v>74</v>
      </c>
      <c r="P488" t="s">
        <v>74</v>
      </c>
      <c r="Q488" t="s">
        <v>74</v>
      </c>
      <c r="R488" t="s">
        <v>74</v>
      </c>
      <c r="S488" t="s">
        <v>74</v>
      </c>
      <c r="T488" t="s">
        <v>9420</v>
      </c>
      <c r="U488" t="s">
        <v>9421</v>
      </c>
      <c r="V488" t="s">
        <v>9422</v>
      </c>
      <c r="W488" t="s">
        <v>9423</v>
      </c>
      <c r="X488" t="s">
        <v>9424</v>
      </c>
      <c r="Y488" t="s">
        <v>6558</v>
      </c>
      <c r="Z488" t="s">
        <v>6559</v>
      </c>
      <c r="AA488" t="s">
        <v>74</v>
      </c>
      <c r="AB488" t="s">
        <v>74</v>
      </c>
      <c r="AC488" t="s">
        <v>6560</v>
      </c>
      <c r="AD488" t="s">
        <v>6561</v>
      </c>
      <c r="AE488" t="s">
        <v>6562</v>
      </c>
      <c r="AF488" t="s">
        <v>74</v>
      </c>
      <c r="AG488">
        <v>45</v>
      </c>
      <c r="AH488">
        <v>19</v>
      </c>
      <c r="AI488">
        <v>19</v>
      </c>
      <c r="AJ488">
        <v>0</v>
      </c>
      <c r="AK488">
        <v>12</v>
      </c>
      <c r="AL488" t="s">
        <v>935</v>
      </c>
      <c r="AM488" t="s">
        <v>369</v>
      </c>
      <c r="AN488" t="s">
        <v>936</v>
      </c>
      <c r="AO488" t="s">
        <v>4901</v>
      </c>
      <c r="AP488" t="s">
        <v>4902</v>
      </c>
      <c r="AQ488" t="s">
        <v>74</v>
      </c>
      <c r="AR488" t="s">
        <v>4903</v>
      </c>
      <c r="AS488" t="s">
        <v>4904</v>
      </c>
      <c r="AT488" t="s">
        <v>9372</v>
      </c>
      <c r="AU488">
        <v>2012</v>
      </c>
      <c r="AV488">
        <v>12</v>
      </c>
      <c r="AW488">
        <v>2</v>
      </c>
      <c r="AX488" t="s">
        <v>74</v>
      </c>
      <c r="AY488" t="s">
        <v>74</v>
      </c>
      <c r="AZ488" t="s">
        <v>74</v>
      </c>
      <c r="BA488" t="s">
        <v>74</v>
      </c>
      <c r="BB488">
        <v>315</v>
      </c>
      <c r="BC488">
        <v>325</v>
      </c>
      <c r="BD488" t="s">
        <v>74</v>
      </c>
      <c r="BE488" t="s">
        <v>9425</v>
      </c>
      <c r="BF488" t="str">
        <f>HYPERLINK("http://dx.doi.org/10.1016/j.intimp.2011.11.020","http://dx.doi.org/10.1016/j.intimp.2011.11.020")</f>
        <v>http://dx.doi.org/10.1016/j.intimp.2011.11.020</v>
      </c>
      <c r="BG488" t="s">
        <v>74</v>
      </c>
      <c r="BH488" t="s">
        <v>74</v>
      </c>
      <c r="BI488">
        <v>11</v>
      </c>
      <c r="BJ488" t="s">
        <v>4906</v>
      </c>
      <c r="BK488" t="s">
        <v>99</v>
      </c>
      <c r="BL488" t="s">
        <v>4906</v>
      </c>
      <c r="BM488" t="s">
        <v>9426</v>
      </c>
      <c r="BN488">
        <v>22210374</v>
      </c>
      <c r="BO488" t="s">
        <v>74</v>
      </c>
      <c r="BP488" t="s">
        <v>74</v>
      </c>
      <c r="BQ488" t="s">
        <v>74</v>
      </c>
      <c r="BR488" t="s">
        <v>101</v>
      </c>
      <c r="BS488" t="s">
        <v>9427</v>
      </c>
      <c r="BT488" t="str">
        <f>HYPERLINK("https%3A%2F%2Fwww.webofscience.com%2Fwos%2Fwoscc%2Ffull-record%2FWOS:000302665000001","View Full Record in Web of Science")</f>
        <v>View Full Record in Web of Science</v>
      </c>
    </row>
    <row r="489" spans="1:72" x14ac:dyDescent="0.15">
      <c r="A489" t="s">
        <v>72</v>
      </c>
      <c r="B489" t="s">
        <v>9428</v>
      </c>
      <c r="C489" t="s">
        <v>74</v>
      </c>
      <c r="D489" t="s">
        <v>74</v>
      </c>
      <c r="E489" t="s">
        <v>74</v>
      </c>
      <c r="F489" t="s">
        <v>9429</v>
      </c>
      <c r="G489" t="s">
        <v>74</v>
      </c>
      <c r="H489" t="s">
        <v>74</v>
      </c>
      <c r="I489" t="s">
        <v>9430</v>
      </c>
      <c r="J489" t="s">
        <v>726</v>
      </c>
      <c r="K489" t="s">
        <v>74</v>
      </c>
      <c r="L489" t="s">
        <v>74</v>
      </c>
      <c r="M489" t="s">
        <v>78</v>
      </c>
      <c r="N489" t="s">
        <v>9431</v>
      </c>
      <c r="O489" t="s">
        <v>74</v>
      </c>
      <c r="P489" t="s">
        <v>74</v>
      </c>
      <c r="Q489" t="s">
        <v>74</v>
      </c>
      <c r="R489" t="s">
        <v>74</v>
      </c>
      <c r="S489" t="s">
        <v>74</v>
      </c>
      <c r="T489" t="s">
        <v>74</v>
      </c>
      <c r="U489" t="s">
        <v>74</v>
      </c>
      <c r="V489" t="s">
        <v>74</v>
      </c>
      <c r="W489" t="s">
        <v>9432</v>
      </c>
      <c r="X489" t="s">
        <v>5567</v>
      </c>
      <c r="Y489" t="s">
        <v>9433</v>
      </c>
      <c r="Z489" t="s">
        <v>74</v>
      </c>
      <c r="AA489" t="s">
        <v>74</v>
      </c>
      <c r="AB489" t="s">
        <v>74</v>
      </c>
      <c r="AC489" t="s">
        <v>74</v>
      </c>
      <c r="AD489" t="s">
        <v>74</v>
      </c>
      <c r="AE489" t="s">
        <v>74</v>
      </c>
      <c r="AF489" t="s">
        <v>74</v>
      </c>
      <c r="AG489">
        <v>2</v>
      </c>
      <c r="AH489">
        <v>0</v>
      </c>
      <c r="AI489">
        <v>0</v>
      </c>
      <c r="AJ489">
        <v>0</v>
      </c>
      <c r="AK489">
        <v>1</v>
      </c>
      <c r="AL489" t="s">
        <v>736</v>
      </c>
      <c r="AM489" t="s">
        <v>737</v>
      </c>
      <c r="AN489" t="s">
        <v>738</v>
      </c>
      <c r="AO489" t="s">
        <v>739</v>
      </c>
      <c r="AP489" t="s">
        <v>74</v>
      </c>
      <c r="AQ489" t="s">
        <v>74</v>
      </c>
      <c r="AR489" t="s">
        <v>740</v>
      </c>
      <c r="AS489" t="s">
        <v>741</v>
      </c>
      <c r="AT489" t="s">
        <v>9372</v>
      </c>
      <c r="AU489">
        <v>2012</v>
      </c>
      <c r="AV489">
        <v>44</v>
      </c>
      <c r="AW489">
        <v>1</v>
      </c>
      <c r="AX489" t="s">
        <v>74</v>
      </c>
      <c r="AY489" t="s">
        <v>74</v>
      </c>
      <c r="AZ489" t="s">
        <v>74</v>
      </c>
      <c r="BA489" t="s">
        <v>74</v>
      </c>
      <c r="BB489">
        <v>1</v>
      </c>
      <c r="BC489">
        <v>1</v>
      </c>
      <c r="BD489" t="s">
        <v>74</v>
      </c>
      <c r="BE489" t="s">
        <v>74</v>
      </c>
      <c r="BF489" t="s">
        <v>74</v>
      </c>
      <c r="BG489" t="s">
        <v>74</v>
      </c>
      <c r="BH489" t="s">
        <v>74</v>
      </c>
      <c r="BI489">
        <v>1</v>
      </c>
      <c r="BJ489" t="s">
        <v>743</v>
      </c>
      <c r="BK489" t="s">
        <v>99</v>
      </c>
      <c r="BL489" t="s">
        <v>744</v>
      </c>
      <c r="BM489" t="s">
        <v>9434</v>
      </c>
      <c r="BN489" t="s">
        <v>74</v>
      </c>
      <c r="BO489" t="s">
        <v>74</v>
      </c>
      <c r="BP489" t="s">
        <v>74</v>
      </c>
      <c r="BQ489" t="s">
        <v>74</v>
      </c>
      <c r="BR489" t="s">
        <v>101</v>
      </c>
      <c r="BS489" t="s">
        <v>9435</v>
      </c>
      <c r="BT489" t="str">
        <f>HYPERLINK("https%3A%2F%2Fwww.webofscience.com%2Fwos%2Fwoscc%2Ffull-record%2FWOS:000302271600001","View Full Record in Web of Science")</f>
        <v>View Full Record in Web of Science</v>
      </c>
    </row>
    <row r="490" spans="1:72" x14ac:dyDescent="0.15">
      <c r="A490" t="s">
        <v>72</v>
      </c>
      <c r="B490" t="s">
        <v>9436</v>
      </c>
      <c r="C490" t="s">
        <v>74</v>
      </c>
      <c r="D490" t="s">
        <v>74</v>
      </c>
      <c r="E490" t="s">
        <v>74</v>
      </c>
      <c r="F490" t="s">
        <v>9437</v>
      </c>
      <c r="G490" t="s">
        <v>74</v>
      </c>
      <c r="H490" t="s">
        <v>74</v>
      </c>
      <c r="I490" t="s">
        <v>9438</v>
      </c>
      <c r="J490" t="s">
        <v>726</v>
      </c>
      <c r="K490" t="s">
        <v>74</v>
      </c>
      <c r="L490" t="s">
        <v>74</v>
      </c>
      <c r="M490" t="s">
        <v>78</v>
      </c>
      <c r="N490" t="s">
        <v>79</v>
      </c>
      <c r="O490" t="s">
        <v>74</v>
      </c>
      <c r="P490" t="s">
        <v>74</v>
      </c>
      <c r="Q490" t="s">
        <v>74</v>
      </c>
      <c r="R490" t="s">
        <v>74</v>
      </c>
      <c r="S490" t="s">
        <v>74</v>
      </c>
      <c r="T490" t="s">
        <v>74</v>
      </c>
      <c r="U490" t="s">
        <v>9439</v>
      </c>
      <c r="V490" t="s">
        <v>9440</v>
      </c>
      <c r="W490" t="s">
        <v>9441</v>
      </c>
      <c r="X490" t="s">
        <v>9442</v>
      </c>
      <c r="Y490" t="s">
        <v>9443</v>
      </c>
      <c r="Z490" t="s">
        <v>9444</v>
      </c>
      <c r="AA490" t="s">
        <v>74</v>
      </c>
      <c r="AB490" t="s">
        <v>9445</v>
      </c>
      <c r="AC490" t="s">
        <v>74</v>
      </c>
      <c r="AD490" t="s">
        <v>74</v>
      </c>
      <c r="AE490" t="s">
        <v>74</v>
      </c>
      <c r="AF490" t="s">
        <v>74</v>
      </c>
      <c r="AG490">
        <v>60</v>
      </c>
      <c r="AH490">
        <v>5</v>
      </c>
      <c r="AI490">
        <v>8</v>
      </c>
      <c r="AJ490">
        <v>0</v>
      </c>
      <c r="AK490">
        <v>15</v>
      </c>
      <c r="AL490" t="s">
        <v>736</v>
      </c>
      <c r="AM490" t="s">
        <v>737</v>
      </c>
      <c r="AN490" t="s">
        <v>738</v>
      </c>
      <c r="AO490" t="s">
        <v>739</v>
      </c>
      <c r="AP490" t="s">
        <v>764</v>
      </c>
      <c r="AQ490" t="s">
        <v>74</v>
      </c>
      <c r="AR490" t="s">
        <v>740</v>
      </c>
      <c r="AS490" t="s">
        <v>741</v>
      </c>
      <c r="AT490" t="s">
        <v>9372</v>
      </c>
      <c r="AU490">
        <v>2012</v>
      </c>
      <c r="AV490">
        <v>44</v>
      </c>
      <c r="AW490">
        <v>1</v>
      </c>
      <c r="AX490" t="s">
        <v>74</v>
      </c>
      <c r="AY490" t="s">
        <v>74</v>
      </c>
      <c r="AZ490" t="s">
        <v>74</v>
      </c>
      <c r="BA490" t="s">
        <v>74</v>
      </c>
      <c r="BB490">
        <v>26</v>
      </c>
      <c r="BC490">
        <v>35</v>
      </c>
      <c r="BD490" t="s">
        <v>74</v>
      </c>
      <c r="BE490" t="s">
        <v>9446</v>
      </c>
      <c r="BF490" t="str">
        <f>HYPERLINK("http://dx.doi.org/10.1657/1938-4246-44.1.26","http://dx.doi.org/10.1657/1938-4246-44.1.26")</f>
        <v>http://dx.doi.org/10.1657/1938-4246-44.1.26</v>
      </c>
      <c r="BG490" t="s">
        <v>74</v>
      </c>
      <c r="BH490" t="s">
        <v>74</v>
      </c>
      <c r="BI490">
        <v>10</v>
      </c>
      <c r="BJ490" t="s">
        <v>743</v>
      </c>
      <c r="BK490" t="s">
        <v>99</v>
      </c>
      <c r="BL490" t="s">
        <v>744</v>
      </c>
      <c r="BM490" t="s">
        <v>9434</v>
      </c>
      <c r="BN490" t="s">
        <v>74</v>
      </c>
      <c r="BO490" t="s">
        <v>156</v>
      </c>
      <c r="BP490" t="s">
        <v>74</v>
      </c>
      <c r="BQ490" t="s">
        <v>74</v>
      </c>
      <c r="BR490" t="s">
        <v>101</v>
      </c>
      <c r="BS490" t="s">
        <v>9447</v>
      </c>
      <c r="BT490" t="str">
        <f>HYPERLINK("https%3A%2F%2Fwww.webofscience.com%2Fwos%2Fwoscc%2Ffull-record%2FWOS:000302271600004","View Full Record in Web of Science")</f>
        <v>View Full Record in Web of Science</v>
      </c>
    </row>
    <row r="491" spans="1:72" x14ac:dyDescent="0.15">
      <c r="A491" t="s">
        <v>72</v>
      </c>
      <c r="B491" t="s">
        <v>9448</v>
      </c>
      <c r="C491" t="s">
        <v>74</v>
      </c>
      <c r="D491" t="s">
        <v>74</v>
      </c>
      <c r="E491" t="s">
        <v>74</v>
      </c>
      <c r="F491" t="s">
        <v>9449</v>
      </c>
      <c r="G491" t="s">
        <v>74</v>
      </c>
      <c r="H491" t="s">
        <v>74</v>
      </c>
      <c r="I491" t="s">
        <v>9450</v>
      </c>
      <c r="J491" t="s">
        <v>726</v>
      </c>
      <c r="K491" t="s">
        <v>74</v>
      </c>
      <c r="L491" t="s">
        <v>74</v>
      </c>
      <c r="M491" t="s">
        <v>78</v>
      </c>
      <c r="N491" t="s">
        <v>79</v>
      </c>
      <c r="O491" t="s">
        <v>74</v>
      </c>
      <c r="P491" t="s">
        <v>74</v>
      </c>
      <c r="Q491" t="s">
        <v>74</v>
      </c>
      <c r="R491" t="s">
        <v>74</v>
      </c>
      <c r="S491" t="s">
        <v>74</v>
      </c>
      <c r="T491" t="s">
        <v>74</v>
      </c>
      <c r="U491" t="s">
        <v>9451</v>
      </c>
      <c r="V491" t="s">
        <v>9452</v>
      </c>
      <c r="W491" t="s">
        <v>9453</v>
      </c>
      <c r="X491" t="s">
        <v>7299</v>
      </c>
      <c r="Y491" t="s">
        <v>9454</v>
      </c>
      <c r="Z491" t="s">
        <v>9455</v>
      </c>
      <c r="AA491" t="s">
        <v>74</v>
      </c>
      <c r="AB491" t="s">
        <v>9456</v>
      </c>
      <c r="AC491" t="s">
        <v>7302</v>
      </c>
      <c r="AD491" t="s">
        <v>3874</v>
      </c>
      <c r="AE491" t="s">
        <v>9457</v>
      </c>
      <c r="AF491" t="s">
        <v>74</v>
      </c>
      <c r="AG491">
        <v>42</v>
      </c>
      <c r="AH491">
        <v>5</v>
      </c>
      <c r="AI491">
        <v>6</v>
      </c>
      <c r="AJ491">
        <v>1</v>
      </c>
      <c r="AK491">
        <v>18</v>
      </c>
      <c r="AL491" t="s">
        <v>761</v>
      </c>
      <c r="AM491" t="s">
        <v>762</v>
      </c>
      <c r="AN491" t="s">
        <v>763</v>
      </c>
      <c r="AO491" t="s">
        <v>739</v>
      </c>
      <c r="AP491" t="s">
        <v>764</v>
      </c>
      <c r="AQ491" t="s">
        <v>74</v>
      </c>
      <c r="AR491" t="s">
        <v>740</v>
      </c>
      <c r="AS491" t="s">
        <v>741</v>
      </c>
      <c r="AT491" t="s">
        <v>9372</v>
      </c>
      <c r="AU491">
        <v>2012</v>
      </c>
      <c r="AV491">
        <v>44</v>
      </c>
      <c r="AW491">
        <v>1</v>
      </c>
      <c r="AX491" t="s">
        <v>74</v>
      </c>
      <c r="AY491" t="s">
        <v>74</v>
      </c>
      <c r="AZ491" t="s">
        <v>74</v>
      </c>
      <c r="BA491" t="s">
        <v>74</v>
      </c>
      <c r="BB491">
        <v>36</v>
      </c>
      <c r="BC491">
        <v>49</v>
      </c>
      <c r="BD491" t="s">
        <v>74</v>
      </c>
      <c r="BE491" t="s">
        <v>9458</v>
      </c>
      <c r="BF491" t="str">
        <f>HYPERLINK("http://dx.doi.org/10.1657/1938-4246-44.1.36","http://dx.doi.org/10.1657/1938-4246-44.1.36")</f>
        <v>http://dx.doi.org/10.1657/1938-4246-44.1.36</v>
      </c>
      <c r="BG491" t="s">
        <v>74</v>
      </c>
      <c r="BH491" t="s">
        <v>74</v>
      </c>
      <c r="BI491">
        <v>14</v>
      </c>
      <c r="BJ491" t="s">
        <v>743</v>
      </c>
      <c r="BK491" t="s">
        <v>99</v>
      </c>
      <c r="BL491" t="s">
        <v>744</v>
      </c>
      <c r="BM491" t="s">
        <v>9434</v>
      </c>
      <c r="BN491" t="s">
        <v>74</v>
      </c>
      <c r="BO491" t="s">
        <v>156</v>
      </c>
      <c r="BP491" t="s">
        <v>74</v>
      </c>
      <c r="BQ491" t="s">
        <v>74</v>
      </c>
      <c r="BR491" t="s">
        <v>101</v>
      </c>
      <c r="BS491" t="s">
        <v>9459</v>
      </c>
      <c r="BT491" t="str">
        <f>HYPERLINK("https%3A%2F%2Fwww.webofscience.com%2Fwos%2Fwoscc%2Ffull-record%2FWOS:000302271600005","View Full Record in Web of Science")</f>
        <v>View Full Record in Web of Science</v>
      </c>
    </row>
    <row r="492" spans="1:72" x14ac:dyDescent="0.15">
      <c r="A492" t="s">
        <v>72</v>
      </c>
      <c r="B492" t="s">
        <v>9460</v>
      </c>
      <c r="C492" t="s">
        <v>74</v>
      </c>
      <c r="D492" t="s">
        <v>74</v>
      </c>
      <c r="E492" t="s">
        <v>74</v>
      </c>
      <c r="F492" t="s">
        <v>9461</v>
      </c>
      <c r="G492" t="s">
        <v>74</v>
      </c>
      <c r="H492" t="s">
        <v>74</v>
      </c>
      <c r="I492" t="s">
        <v>9462</v>
      </c>
      <c r="J492" t="s">
        <v>726</v>
      </c>
      <c r="K492" t="s">
        <v>74</v>
      </c>
      <c r="L492" t="s">
        <v>74</v>
      </c>
      <c r="M492" t="s">
        <v>78</v>
      </c>
      <c r="N492" t="s">
        <v>79</v>
      </c>
      <c r="O492" t="s">
        <v>74</v>
      </c>
      <c r="P492" t="s">
        <v>74</v>
      </c>
      <c r="Q492" t="s">
        <v>74</v>
      </c>
      <c r="R492" t="s">
        <v>74</v>
      </c>
      <c r="S492" t="s">
        <v>74</v>
      </c>
      <c r="T492" t="s">
        <v>74</v>
      </c>
      <c r="U492" t="s">
        <v>9463</v>
      </c>
      <c r="V492" t="s">
        <v>9464</v>
      </c>
      <c r="W492" t="s">
        <v>9465</v>
      </c>
      <c r="X492" t="s">
        <v>74</v>
      </c>
      <c r="Y492" t="s">
        <v>9466</v>
      </c>
      <c r="Z492" t="s">
        <v>9467</v>
      </c>
      <c r="AA492" t="s">
        <v>9468</v>
      </c>
      <c r="AB492" t="s">
        <v>9469</v>
      </c>
      <c r="AC492" t="s">
        <v>9470</v>
      </c>
      <c r="AD492" t="s">
        <v>9471</v>
      </c>
      <c r="AE492" t="s">
        <v>9472</v>
      </c>
      <c r="AF492" t="s">
        <v>74</v>
      </c>
      <c r="AG492">
        <v>91</v>
      </c>
      <c r="AH492">
        <v>11</v>
      </c>
      <c r="AI492">
        <v>17</v>
      </c>
      <c r="AJ492">
        <v>0</v>
      </c>
      <c r="AK492">
        <v>49</v>
      </c>
      <c r="AL492" t="s">
        <v>736</v>
      </c>
      <c r="AM492" t="s">
        <v>737</v>
      </c>
      <c r="AN492" t="s">
        <v>738</v>
      </c>
      <c r="AO492" t="s">
        <v>739</v>
      </c>
      <c r="AP492" t="s">
        <v>74</v>
      </c>
      <c r="AQ492" t="s">
        <v>74</v>
      </c>
      <c r="AR492" t="s">
        <v>740</v>
      </c>
      <c r="AS492" t="s">
        <v>741</v>
      </c>
      <c r="AT492" t="s">
        <v>9372</v>
      </c>
      <c r="AU492">
        <v>2012</v>
      </c>
      <c r="AV492">
        <v>44</v>
      </c>
      <c r="AW492">
        <v>1</v>
      </c>
      <c r="AX492" t="s">
        <v>74</v>
      </c>
      <c r="AY492" t="s">
        <v>74</v>
      </c>
      <c r="AZ492" t="s">
        <v>74</v>
      </c>
      <c r="BA492" t="s">
        <v>74</v>
      </c>
      <c r="BB492">
        <v>50</v>
      </c>
      <c r="BC492">
        <v>61</v>
      </c>
      <c r="BD492" t="s">
        <v>74</v>
      </c>
      <c r="BE492" t="s">
        <v>9473</v>
      </c>
      <c r="BF492" t="str">
        <f>HYPERLINK("http://dx.doi.org/10.1657/1938-4246-44.1.50","http://dx.doi.org/10.1657/1938-4246-44.1.50")</f>
        <v>http://dx.doi.org/10.1657/1938-4246-44.1.50</v>
      </c>
      <c r="BG492" t="s">
        <v>74</v>
      </c>
      <c r="BH492" t="s">
        <v>74</v>
      </c>
      <c r="BI492">
        <v>12</v>
      </c>
      <c r="BJ492" t="s">
        <v>743</v>
      </c>
      <c r="BK492" t="s">
        <v>99</v>
      </c>
      <c r="BL492" t="s">
        <v>744</v>
      </c>
      <c r="BM492" t="s">
        <v>9434</v>
      </c>
      <c r="BN492" t="s">
        <v>74</v>
      </c>
      <c r="BO492" t="s">
        <v>777</v>
      </c>
      <c r="BP492" t="s">
        <v>74</v>
      </c>
      <c r="BQ492" t="s">
        <v>74</v>
      </c>
      <c r="BR492" t="s">
        <v>101</v>
      </c>
      <c r="BS492" t="s">
        <v>9474</v>
      </c>
      <c r="BT492" t="str">
        <f>HYPERLINK("https%3A%2F%2Fwww.webofscience.com%2Fwos%2Fwoscc%2Ffull-record%2FWOS:000302271600006","View Full Record in Web of Science")</f>
        <v>View Full Record in Web of Science</v>
      </c>
    </row>
    <row r="493" spans="1:72" x14ac:dyDescent="0.15">
      <c r="A493" t="s">
        <v>72</v>
      </c>
      <c r="B493" t="s">
        <v>9475</v>
      </c>
      <c r="C493" t="s">
        <v>74</v>
      </c>
      <c r="D493" t="s">
        <v>74</v>
      </c>
      <c r="E493" t="s">
        <v>74</v>
      </c>
      <c r="F493" t="s">
        <v>9476</v>
      </c>
      <c r="G493" t="s">
        <v>74</v>
      </c>
      <c r="H493" t="s">
        <v>74</v>
      </c>
      <c r="I493" t="s">
        <v>9477</v>
      </c>
      <c r="J493" t="s">
        <v>726</v>
      </c>
      <c r="K493" t="s">
        <v>74</v>
      </c>
      <c r="L493" t="s">
        <v>74</v>
      </c>
      <c r="M493" t="s">
        <v>78</v>
      </c>
      <c r="N493" t="s">
        <v>79</v>
      </c>
      <c r="O493" t="s">
        <v>74</v>
      </c>
      <c r="P493" t="s">
        <v>74</v>
      </c>
      <c r="Q493" t="s">
        <v>74</v>
      </c>
      <c r="R493" t="s">
        <v>74</v>
      </c>
      <c r="S493" t="s">
        <v>74</v>
      </c>
      <c r="T493" t="s">
        <v>74</v>
      </c>
      <c r="U493" t="s">
        <v>9478</v>
      </c>
      <c r="V493" t="s">
        <v>9479</v>
      </c>
      <c r="W493" t="s">
        <v>9480</v>
      </c>
      <c r="X493" t="s">
        <v>9481</v>
      </c>
      <c r="Y493" t="s">
        <v>9482</v>
      </c>
      <c r="Z493" t="s">
        <v>9483</v>
      </c>
      <c r="AA493" t="s">
        <v>9484</v>
      </c>
      <c r="AB493" t="s">
        <v>9485</v>
      </c>
      <c r="AC493" t="s">
        <v>9486</v>
      </c>
      <c r="AD493" t="s">
        <v>9487</v>
      </c>
      <c r="AE493" t="s">
        <v>9488</v>
      </c>
      <c r="AF493" t="s">
        <v>74</v>
      </c>
      <c r="AG493">
        <v>37</v>
      </c>
      <c r="AH493">
        <v>30</v>
      </c>
      <c r="AI493">
        <v>32</v>
      </c>
      <c r="AJ493">
        <v>0</v>
      </c>
      <c r="AK493">
        <v>41</v>
      </c>
      <c r="AL493" t="s">
        <v>736</v>
      </c>
      <c r="AM493" t="s">
        <v>737</v>
      </c>
      <c r="AN493" t="s">
        <v>738</v>
      </c>
      <c r="AO493" t="s">
        <v>739</v>
      </c>
      <c r="AP493" t="s">
        <v>74</v>
      </c>
      <c r="AQ493" t="s">
        <v>74</v>
      </c>
      <c r="AR493" t="s">
        <v>740</v>
      </c>
      <c r="AS493" t="s">
        <v>741</v>
      </c>
      <c r="AT493" t="s">
        <v>9372</v>
      </c>
      <c r="AU493">
        <v>2012</v>
      </c>
      <c r="AV493">
        <v>44</v>
      </c>
      <c r="AW493">
        <v>1</v>
      </c>
      <c r="AX493" t="s">
        <v>74</v>
      </c>
      <c r="AY493" t="s">
        <v>74</v>
      </c>
      <c r="AZ493" t="s">
        <v>74</v>
      </c>
      <c r="BA493" t="s">
        <v>74</v>
      </c>
      <c r="BB493">
        <v>62</v>
      </c>
      <c r="BC493">
        <v>66</v>
      </c>
      <c r="BD493" t="s">
        <v>74</v>
      </c>
      <c r="BE493" t="s">
        <v>9489</v>
      </c>
      <c r="BF493" t="str">
        <f>HYPERLINK("http://dx.doi.org/10.1657/1938-4246-44.1.62","http://dx.doi.org/10.1657/1938-4246-44.1.62")</f>
        <v>http://dx.doi.org/10.1657/1938-4246-44.1.62</v>
      </c>
      <c r="BG493" t="s">
        <v>74</v>
      </c>
      <c r="BH493" t="s">
        <v>74</v>
      </c>
      <c r="BI493">
        <v>5</v>
      </c>
      <c r="BJ493" t="s">
        <v>743</v>
      </c>
      <c r="BK493" t="s">
        <v>99</v>
      </c>
      <c r="BL493" t="s">
        <v>744</v>
      </c>
      <c r="BM493" t="s">
        <v>9434</v>
      </c>
      <c r="BN493" t="s">
        <v>74</v>
      </c>
      <c r="BO493" t="s">
        <v>156</v>
      </c>
      <c r="BP493" t="s">
        <v>74</v>
      </c>
      <c r="BQ493" t="s">
        <v>74</v>
      </c>
      <c r="BR493" t="s">
        <v>101</v>
      </c>
      <c r="BS493" t="s">
        <v>9490</v>
      </c>
      <c r="BT493" t="str">
        <f>HYPERLINK("https%3A%2F%2Fwww.webofscience.com%2Fwos%2Fwoscc%2Ffull-record%2FWOS:000302271600007","View Full Record in Web of Science")</f>
        <v>View Full Record in Web of Science</v>
      </c>
    </row>
    <row r="494" spans="1:72" x14ac:dyDescent="0.15">
      <c r="A494" t="s">
        <v>72</v>
      </c>
      <c r="B494" t="s">
        <v>9491</v>
      </c>
      <c r="C494" t="s">
        <v>74</v>
      </c>
      <c r="D494" t="s">
        <v>74</v>
      </c>
      <c r="E494" t="s">
        <v>74</v>
      </c>
      <c r="F494" t="s">
        <v>9492</v>
      </c>
      <c r="G494" t="s">
        <v>74</v>
      </c>
      <c r="H494" t="s">
        <v>74</v>
      </c>
      <c r="I494" t="s">
        <v>9493</v>
      </c>
      <c r="J494" t="s">
        <v>726</v>
      </c>
      <c r="K494" t="s">
        <v>74</v>
      </c>
      <c r="L494" t="s">
        <v>74</v>
      </c>
      <c r="M494" t="s">
        <v>78</v>
      </c>
      <c r="N494" t="s">
        <v>79</v>
      </c>
      <c r="O494" t="s">
        <v>74</v>
      </c>
      <c r="P494" t="s">
        <v>74</v>
      </c>
      <c r="Q494" t="s">
        <v>74</v>
      </c>
      <c r="R494" t="s">
        <v>74</v>
      </c>
      <c r="S494" t="s">
        <v>74</v>
      </c>
      <c r="T494" t="s">
        <v>74</v>
      </c>
      <c r="U494" t="s">
        <v>9494</v>
      </c>
      <c r="V494" t="s">
        <v>9495</v>
      </c>
      <c r="W494" t="s">
        <v>9496</v>
      </c>
      <c r="X494" t="s">
        <v>9497</v>
      </c>
      <c r="Y494" t="s">
        <v>9498</v>
      </c>
      <c r="Z494" t="s">
        <v>9499</v>
      </c>
      <c r="AA494" t="s">
        <v>9500</v>
      </c>
      <c r="AB494" t="s">
        <v>9501</v>
      </c>
      <c r="AC494" t="s">
        <v>9502</v>
      </c>
      <c r="AD494" t="s">
        <v>9503</v>
      </c>
      <c r="AE494" t="s">
        <v>9504</v>
      </c>
      <c r="AF494" t="s">
        <v>74</v>
      </c>
      <c r="AG494">
        <v>80</v>
      </c>
      <c r="AH494">
        <v>12</v>
      </c>
      <c r="AI494">
        <v>15</v>
      </c>
      <c r="AJ494">
        <v>2</v>
      </c>
      <c r="AK494">
        <v>100</v>
      </c>
      <c r="AL494" t="s">
        <v>736</v>
      </c>
      <c r="AM494" t="s">
        <v>737</v>
      </c>
      <c r="AN494" t="s">
        <v>738</v>
      </c>
      <c r="AO494" t="s">
        <v>739</v>
      </c>
      <c r="AP494" t="s">
        <v>764</v>
      </c>
      <c r="AQ494" t="s">
        <v>74</v>
      </c>
      <c r="AR494" t="s">
        <v>740</v>
      </c>
      <c r="AS494" t="s">
        <v>741</v>
      </c>
      <c r="AT494" t="s">
        <v>9372</v>
      </c>
      <c r="AU494">
        <v>2012</v>
      </c>
      <c r="AV494">
        <v>44</v>
      </c>
      <c r="AW494">
        <v>1</v>
      </c>
      <c r="AX494" t="s">
        <v>74</v>
      </c>
      <c r="AY494" t="s">
        <v>74</v>
      </c>
      <c r="AZ494" t="s">
        <v>74</v>
      </c>
      <c r="BA494" t="s">
        <v>74</v>
      </c>
      <c r="BB494">
        <v>67</v>
      </c>
      <c r="BC494">
        <v>82</v>
      </c>
      <c r="BD494" t="s">
        <v>74</v>
      </c>
      <c r="BE494" t="s">
        <v>9505</v>
      </c>
      <c r="BF494" t="str">
        <f>HYPERLINK("http://dx.doi.org/10.1657/1938-4246-44.1.67","http://dx.doi.org/10.1657/1938-4246-44.1.67")</f>
        <v>http://dx.doi.org/10.1657/1938-4246-44.1.67</v>
      </c>
      <c r="BG494" t="s">
        <v>74</v>
      </c>
      <c r="BH494" t="s">
        <v>74</v>
      </c>
      <c r="BI494">
        <v>16</v>
      </c>
      <c r="BJ494" t="s">
        <v>743</v>
      </c>
      <c r="BK494" t="s">
        <v>99</v>
      </c>
      <c r="BL494" t="s">
        <v>744</v>
      </c>
      <c r="BM494" t="s">
        <v>9434</v>
      </c>
      <c r="BN494" t="s">
        <v>74</v>
      </c>
      <c r="BO494" t="s">
        <v>9506</v>
      </c>
      <c r="BP494" t="s">
        <v>74</v>
      </c>
      <c r="BQ494" t="s">
        <v>74</v>
      </c>
      <c r="BR494" t="s">
        <v>101</v>
      </c>
      <c r="BS494" t="s">
        <v>9507</v>
      </c>
      <c r="BT494" t="str">
        <f>HYPERLINK("https%3A%2F%2Fwww.webofscience.com%2Fwos%2Fwoscc%2Ffull-record%2FWOS:000302271600008","View Full Record in Web of Science")</f>
        <v>View Full Record in Web of Science</v>
      </c>
    </row>
    <row r="495" spans="1:72" x14ac:dyDescent="0.15">
      <c r="A495" t="s">
        <v>72</v>
      </c>
      <c r="B495" t="s">
        <v>9508</v>
      </c>
      <c r="C495" t="s">
        <v>74</v>
      </c>
      <c r="D495" t="s">
        <v>74</v>
      </c>
      <c r="E495" t="s">
        <v>74</v>
      </c>
      <c r="F495" t="s">
        <v>9509</v>
      </c>
      <c r="G495" t="s">
        <v>74</v>
      </c>
      <c r="H495" t="s">
        <v>74</v>
      </c>
      <c r="I495" t="s">
        <v>9510</v>
      </c>
      <c r="J495" t="s">
        <v>726</v>
      </c>
      <c r="K495" t="s">
        <v>74</v>
      </c>
      <c r="L495" t="s">
        <v>74</v>
      </c>
      <c r="M495" t="s">
        <v>78</v>
      </c>
      <c r="N495" t="s">
        <v>79</v>
      </c>
      <c r="O495" t="s">
        <v>74</v>
      </c>
      <c r="P495" t="s">
        <v>74</v>
      </c>
      <c r="Q495" t="s">
        <v>74</v>
      </c>
      <c r="R495" t="s">
        <v>74</v>
      </c>
      <c r="S495" t="s">
        <v>74</v>
      </c>
      <c r="T495" t="s">
        <v>74</v>
      </c>
      <c r="U495" t="s">
        <v>9511</v>
      </c>
      <c r="V495" t="s">
        <v>9512</v>
      </c>
      <c r="W495" t="s">
        <v>9513</v>
      </c>
      <c r="X495" t="s">
        <v>9514</v>
      </c>
      <c r="Y495" t="s">
        <v>9515</v>
      </c>
      <c r="Z495" t="s">
        <v>9516</v>
      </c>
      <c r="AA495" t="s">
        <v>9517</v>
      </c>
      <c r="AB495" t="s">
        <v>9518</v>
      </c>
      <c r="AC495" t="s">
        <v>9519</v>
      </c>
      <c r="AD495" t="s">
        <v>9519</v>
      </c>
      <c r="AE495" t="s">
        <v>9520</v>
      </c>
      <c r="AF495" t="s">
        <v>74</v>
      </c>
      <c r="AG495">
        <v>50</v>
      </c>
      <c r="AH495">
        <v>38</v>
      </c>
      <c r="AI495">
        <v>39</v>
      </c>
      <c r="AJ495">
        <v>1</v>
      </c>
      <c r="AK495">
        <v>23</v>
      </c>
      <c r="AL495" t="s">
        <v>736</v>
      </c>
      <c r="AM495" t="s">
        <v>737</v>
      </c>
      <c r="AN495" t="s">
        <v>738</v>
      </c>
      <c r="AO495" t="s">
        <v>739</v>
      </c>
      <c r="AP495" t="s">
        <v>74</v>
      </c>
      <c r="AQ495" t="s">
        <v>74</v>
      </c>
      <c r="AR495" t="s">
        <v>740</v>
      </c>
      <c r="AS495" t="s">
        <v>741</v>
      </c>
      <c r="AT495" t="s">
        <v>9372</v>
      </c>
      <c r="AU495">
        <v>2012</v>
      </c>
      <c r="AV495">
        <v>44</v>
      </c>
      <c r="AW495">
        <v>1</v>
      </c>
      <c r="AX495" t="s">
        <v>74</v>
      </c>
      <c r="AY495" t="s">
        <v>74</v>
      </c>
      <c r="AZ495" t="s">
        <v>74</v>
      </c>
      <c r="BA495" t="s">
        <v>74</v>
      </c>
      <c r="BB495">
        <v>122</v>
      </c>
      <c r="BC495">
        <v>134</v>
      </c>
      <c r="BD495" t="s">
        <v>74</v>
      </c>
      <c r="BE495" t="s">
        <v>9521</v>
      </c>
      <c r="BF495" t="str">
        <f>HYPERLINK("http://dx.doi.org/10.1657/1938-4246-44.1.122","http://dx.doi.org/10.1657/1938-4246-44.1.122")</f>
        <v>http://dx.doi.org/10.1657/1938-4246-44.1.122</v>
      </c>
      <c r="BG495" t="s">
        <v>74</v>
      </c>
      <c r="BH495" t="s">
        <v>74</v>
      </c>
      <c r="BI495">
        <v>13</v>
      </c>
      <c r="BJ495" t="s">
        <v>743</v>
      </c>
      <c r="BK495" t="s">
        <v>99</v>
      </c>
      <c r="BL495" t="s">
        <v>744</v>
      </c>
      <c r="BM495" t="s">
        <v>9434</v>
      </c>
      <c r="BN495" t="s">
        <v>74</v>
      </c>
      <c r="BO495" t="s">
        <v>197</v>
      </c>
      <c r="BP495" t="s">
        <v>74</v>
      </c>
      <c r="BQ495" t="s">
        <v>74</v>
      </c>
      <c r="BR495" t="s">
        <v>101</v>
      </c>
      <c r="BS495" t="s">
        <v>9522</v>
      </c>
      <c r="BT495" t="str">
        <f>HYPERLINK("https%3A%2F%2Fwww.webofscience.com%2Fwos%2Fwoscc%2Ffull-record%2FWOS:000302271600012","View Full Record in Web of Science")</f>
        <v>View Full Record in Web of Science</v>
      </c>
    </row>
    <row r="496" spans="1:72" x14ac:dyDescent="0.15">
      <c r="A496" t="s">
        <v>72</v>
      </c>
      <c r="B496" t="s">
        <v>9523</v>
      </c>
      <c r="C496" t="s">
        <v>74</v>
      </c>
      <c r="D496" t="s">
        <v>74</v>
      </c>
      <c r="E496" t="s">
        <v>74</v>
      </c>
      <c r="F496" t="s">
        <v>9524</v>
      </c>
      <c r="G496" t="s">
        <v>74</v>
      </c>
      <c r="H496" t="s">
        <v>74</v>
      </c>
      <c r="I496" t="s">
        <v>9525</v>
      </c>
      <c r="J496" t="s">
        <v>726</v>
      </c>
      <c r="K496" t="s">
        <v>74</v>
      </c>
      <c r="L496" t="s">
        <v>74</v>
      </c>
      <c r="M496" t="s">
        <v>78</v>
      </c>
      <c r="N496" t="s">
        <v>79</v>
      </c>
      <c r="O496" t="s">
        <v>74</v>
      </c>
      <c r="P496" t="s">
        <v>74</v>
      </c>
      <c r="Q496" t="s">
        <v>74</v>
      </c>
      <c r="R496" t="s">
        <v>74</v>
      </c>
      <c r="S496" t="s">
        <v>74</v>
      </c>
      <c r="T496" t="s">
        <v>74</v>
      </c>
      <c r="U496" t="s">
        <v>9526</v>
      </c>
      <c r="V496" t="s">
        <v>9527</v>
      </c>
      <c r="W496" t="s">
        <v>9528</v>
      </c>
      <c r="X496" t="s">
        <v>9529</v>
      </c>
      <c r="Y496" t="s">
        <v>9530</v>
      </c>
      <c r="Z496" t="s">
        <v>9531</v>
      </c>
      <c r="AA496" t="s">
        <v>9532</v>
      </c>
      <c r="AB496" t="s">
        <v>9533</v>
      </c>
      <c r="AC496" t="s">
        <v>9534</v>
      </c>
      <c r="AD496" t="s">
        <v>9535</v>
      </c>
      <c r="AE496" t="s">
        <v>9536</v>
      </c>
      <c r="AF496" t="s">
        <v>74</v>
      </c>
      <c r="AG496">
        <v>61</v>
      </c>
      <c r="AH496">
        <v>64</v>
      </c>
      <c r="AI496">
        <v>74</v>
      </c>
      <c r="AJ496">
        <v>15</v>
      </c>
      <c r="AK496">
        <v>140</v>
      </c>
      <c r="AL496" t="s">
        <v>736</v>
      </c>
      <c r="AM496" t="s">
        <v>737</v>
      </c>
      <c r="AN496" t="s">
        <v>738</v>
      </c>
      <c r="AO496" t="s">
        <v>739</v>
      </c>
      <c r="AP496" t="s">
        <v>74</v>
      </c>
      <c r="AQ496" t="s">
        <v>74</v>
      </c>
      <c r="AR496" t="s">
        <v>740</v>
      </c>
      <c r="AS496" t="s">
        <v>741</v>
      </c>
      <c r="AT496" t="s">
        <v>9372</v>
      </c>
      <c r="AU496">
        <v>2012</v>
      </c>
      <c r="AV496">
        <v>44</v>
      </c>
      <c r="AW496">
        <v>1</v>
      </c>
      <c r="AX496" t="s">
        <v>74</v>
      </c>
      <c r="AY496" t="s">
        <v>74</v>
      </c>
      <c r="AZ496" t="s">
        <v>74</v>
      </c>
      <c r="BA496" t="s">
        <v>74</v>
      </c>
      <c r="BB496">
        <v>135</v>
      </c>
      <c r="BC496">
        <v>142</v>
      </c>
      <c r="BD496" t="s">
        <v>74</v>
      </c>
      <c r="BE496" t="s">
        <v>9537</v>
      </c>
      <c r="BF496" t="str">
        <f>HYPERLINK("http://dx.doi.org/10.1657/1938-4246-44.1.135","http://dx.doi.org/10.1657/1938-4246-44.1.135")</f>
        <v>http://dx.doi.org/10.1657/1938-4246-44.1.135</v>
      </c>
      <c r="BG496" t="s">
        <v>74</v>
      </c>
      <c r="BH496" t="s">
        <v>74</v>
      </c>
      <c r="BI496">
        <v>8</v>
      </c>
      <c r="BJ496" t="s">
        <v>743</v>
      </c>
      <c r="BK496" t="s">
        <v>99</v>
      </c>
      <c r="BL496" t="s">
        <v>744</v>
      </c>
      <c r="BM496" t="s">
        <v>9434</v>
      </c>
      <c r="BN496" t="s">
        <v>74</v>
      </c>
      <c r="BO496" t="s">
        <v>197</v>
      </c>
      <c r="BP496" t="s">
        <v>74</v>
      </c>
      <c r="BQ496" t="s">
        <v>74</v>
      </c>
      <c r="BR496" t="s">
        <v>101</v>
      </c>
      <c r="BS496" t="s">
        <v>9538</v>
      </c>
      <c r="BT496" t="str">
        <f>HYPERLINK("https%3A%2F%2Fwww.webofscience.com%2Fwos%2Fwoscc%2Ffull-record%2FWOS:000302271600013","View Full Record in Web of Science")</f>
        <v>View Full Record in Web of Science</v>
      </c>
    </row>
    <row r="497" spans="1:72" x14ac:dyDescent="0.15">
      <c r="A497" t="s">
        <v>72</v>
      </c>
      <c r="B497" t="s">
        <v>9539</v>
      </c>
      <c r="C497" t="s">
        <v>74</v>
      </c>
      <c r="D497" t="s">
        <v>74</v>
      </c>
      <c r="E497" t="s">
        <v>74</v>
      </c>
      <c r="F497" t="s">
        <v>9540</v>
      </c>
      <c r="G497" t="s">
        <v>74</v>
      </c>
      <c r="H497" t="s">
        <v>74</v>
      </c>
      <c r="I497" t="s">
        <v>9541</v>
      </c>
      <c r="J497" t="s">
        <v>9542</v>
      </c>
      <c r="K497" t="s">
        <v>74</v>
      </c>
      <c r="L497" t="s">
        <v>74</v>
      </c>
      <c r="M497" t="s">
        <v>78</v>
      </c>
      <c r="N497" t="s">
        <v>1073</v>
      </c>
      <c r="O497" t="s">
        <v>74</v>
      </c>
      <c r="P497" t="s">
        <v>74</v>
      </c>
      <c r="Q497" t="s">
        <v>74</v>
      </c>
      <c r="R497" t="s">
        <v>74</v>
      </c>
      <c r="S497" t="s">
        <v>74</v>
      </c>
      <c r="T497" t="s">
        <v>9543</v>
      </c>
      <c r="U497" t="s">
        <v>9544</v>
      </c>
      <c r="V497" t="s">
        <v>9545</v>
      </c>
      <c r="W497" t="s">
        <v>9546</v>
      </c>
      <c r="X497" t="s">
        <v>9547</v>
      </c>
      <c r="Y497" t="s">
        <v>9548</v>
      </c>
      <c r="Z497" t="s">
        <v>9549</v>
      </c>
      <c r="AA497" t="s">
        <v>74</v>
      </c>
      <c r="AB497" t="s">
        <v>74</v>
      </c>
      <c r="AC497" t="s">
        <v>9550</v>
      </c>
      <c r="AD497" t="s">
        <v>9551</v>
      </c>
      <c r="AE497" t="s">
        <v>9552</v>
      </c>
      <c r="AF497" t="s">
        <v>74</v>
      </c>
      <c r="AG497">
        <v>145</v>
      </c>
      <c r="AH497">
        <v>25</v>
      </c>
      <c r="AI497">
        <v>27</v>
      </c>
      <c r="AJ497">
        <v>1</v>
      </c>
      <c r="AK497">
        <v>38</v>
      </c>
      <c r="AL497" t="s">
        <v>9553</v>
      </c>
      <c r="AM497" t="s">
        <v>147</v>
      </c>
      <c r="AN497" t="s">
        <v>9554</v>
      </c>
      <c r="AO497" t="s">
        <v>9555</v>
      </c>
      <c r="AP497" t="s">
        <v>9556</v>
      </c>
      <c r="AQ497" t="s">
        <v>74</v>
      </c>
      <c r="AR497" t="s">
        <v>9542</v>
      </c>
      <c r="AS497" t="s">
        <v>9557</v>
      </c>
      <c r="AT497" t="s">
        <v>9372</v>
      </c>
      <c r="AU497">
        <v>2012</v>
      </c>
      <c r="AV497">
        <v>12</v>
      </c>
      <c r="AW497">
        <v>1</v>
      </c>
      <c r="AX497" t="s">
        <v>74</v>
      </c>
      <c r="AY497" t="s">
        <v>74</v>
      </c>
      <c r="AZ497" t="s">
        <v>1913</v>
      </c>
      <c r="BA497" t="s">
        <v>74</v>
      </c>
      <c r="BB497" t="s">
        <v>74</v>
      </c>
      <c r="BC497" t="s">
        <v>74</v>
      </c>
      <c r="BD497" t="s">
        <v>74</v>
      </c>
      <c r="BE497" t="s">
        <v>9558</v>
      </c>
      <c r="BF497" t="str">
        <f>HYPERLINK("http://dx.doi.org/10.1111/j.1468-8123.2011.00355.x","http://dx.doi.org/10.1111/j.1468-8123.2011.00355.x")</f>
        <v>http://dx.doi.org/10.1111/j.1468-8123.2011.00355.x</v>
      </c>
      <c r="BG497" t="s">
        <v>74</v>
      </c>
      <c r="BH497" t="s">
        <v>74</v>
      </c>
      <c r="BI497">
        <v>21</v>
      </c>
      <c r="BJ497" t="s">
        <v>9559</v>
      </c>
      <c r="BK497" t="s">
        <v>99</v>
      </c>
      <c r="BL497" t="s">
        <v>9559</v>
      </c>
      <c r="BM497" t="s">
        <v>9560</v>
      </c>
      <c r="BN497" t="s">
        <v>74</v>
      </c>
      <c r="BO497" t="s">
        <v>156</v>
      </c>
      <c r="BP497" t="s">
        <v>74</v>
      </c>
      <c r="BQ497" t="s">
        <v>74</v>
      </c>
      <c r="BR497" t="s">
        <v>101</v>
      </c>
      <c r="BS497" t="s">
        <v>9561</v>
      </c>
      <c r="BT497" t="str">
        <f>HYPERLINK("https%3A%2F%2Fwww.webofscience.com%2Fwos%2Fwoscc%2Ffull-record%2FWOS:000300687000004","View Full Record in Web of Science")</f>
        <v>View Full Record in Web of Science</v>
      </c>
    </row>
    <row r="498" spans="1:72" x14ac:dyDescent="0.15">
      <c r="A498" t="s">
        <v>72</v>
      </c>
      <c r="B498" t="s">
        <v>9562</v>
      </c>
      <c r="C498" t="s">
        <v>74</v>
      </c>
      <c r="D498" t="s">
        <v>74</v>
      </c>
      <c r="E498" t="s">
        <v>74</v>
      </c>
      <c r="F498" t="s">
        <v>9563</v>
      </c>
      <c r="G498" t="s">
        <v>74</v>
      </c>
      <c r="H498" t="s">
        <v>74</v>
      </c>
      <c r="I498" t="s">
        <v>9564</v>
      </c>
      <c r="J498" t="s">
        <v>9565</v>
      </c>
      <c r="K498" t="s">
        <v>74</v>
      </c>
      <c r="L498" t="s">
        <v>74</v>
      </c>
      <c r="M498" t="s">
        <v>78</v>
      </c>
      <c r="N498" t="s">
        <v>79</v>
      </c>
      <c r="O498" t="s">
        <v>74</v>
      </c>
      <c r="P498" t="s">
        <v>74</v>
      </c>
      <c r="Q498" t="s">
        <v>74</v>
      </c>
      <c r="R498" t="s">
        <v>74</v>
      </c>
      <c r="S498" t="s">
        <v>74</v>
      </c>
      <c r="T498" t="s">
        <v>9566</v>
      </c>
      <c r="U498" t="s">
        <v>74</v>
      </c>
      <c r="V498" t="s">
        <v>9567</v>
      </c>
      <c r="W498" t="s">
        <v>9568</v>
      </c>
      <c r="X498" t="s">
        <v>9569</v>
      </c>
      <c r="Y498" t="s">
        <v>9570</v>
      </c>
      <c r="Z498" t="s">
        <v>9571</v>
      </c>
      <c r="AA498" t="s">
        <v>74</v>
      </c>
      <c r="AB498" t="s">
        <v>74</v>
      </c>
      <c r="AC498" t="s">
        <v>74</v>
      </c>
      <c r="AD498" t="s">
        <v>74</v>
      </c>
      <c r="AE498" t="s">
        <v>74</v>
      </c>
      <c r="AF498" t="s">
        <v>74</v>
      </c>
      <c r="AG498">
        <v>4</v>
      </c>
      <c r="AH498">
        <v>0</v>
      </c>
      <c r="AI498">
        <v>0</v>
      </c>
      <c r="AJ498">
        <v>0</v>
      </c>
      <c r="AK498">
        <v>8</v>
      </c>
      <c r="AL498" t="s">
        <v>655</v>
      </c>
      <c r="AM498" t="s">
        <v>1442</v>
      </c>
      <c r="AN498" t="s">
        <v>1443</v>
      </c>
      <c r="AO498" t="s">
        <v>9572</v>
      </c>
      <c r="AP498" t="s">
        <v>74</v>
      </c>
      <c r="AQ498" t="s">
        <v>74</v>
      </c>
      <c r="AR498" t="s">
        <v>9573</v>
      </c>
      <c r="AS498" t="s">
        <v>9574</v>
      </c>
      <c r="AT498" t="s">
        <v>9372</v>
      </c>
      <c r="AU498">
        <v>2012</v>
      </c>
      <c r="AV498">
        <v>15</v>
      </c>
      <c r="AW498">
        <v>1</v>
      </c>
      <c r="AX498" t="s">
        <v>74</v>
      </c>
      <c r="AY498" t="s">
        <v>74</v>
      </c>
      <c r="AZ498" t="s">
        <v>74</v>
      </c>
      <c r="BA498" t="s">
        <v>74</v>
      </c>
      <c r="BB498">
        <v>77</v>
      </c>
      <c r="BC498">
        <v>84</v>
      </c>
      <c r="BD498" t="s">
        <v>74</v>
      </c>
      <c r="BE498" t="s">
        <v>9575</v>
      </c>
      <c r="BF498" t="str">
        <f>HYPERLINK("http://dx.doi.org/10.1007/s12650-011-0105-y","http://dx.doi.org/10.1007/s12650-011-0105-y")</f>
        <v>http://dx.doi.org/10.1007/s12650-011-0105-y</v>
      </c>
      <c r="BG498" t="s">
        <v>74</v>
      </c>
      <c r="BH498" t="s">
        <v>74</v>
      </c>
      <c r="BI498">
        <v>8</v>
      </c>
      <c r="BJ498" t="s">
        <v>9576</v>
      </c>
      <c r="BK498" t="s">
        <v>99</v>
      </c>
      <c r="BL498" t="s">
        <v>9577</v>
      </c>
      <c r="BM498" t="s">
        <v>9578</v>
      </c>
      <c r="BN498" t="s">
        <v>74</v>
      </c>
      <c r="BO498" t="s">
        <v>74</v>
      </c>
      <c r="BP498" t="s">
        <v>74</v>
      </c>
      <c r="BQ498" t="s">
        <v>74</v>
      </c>
      <c r="BR498" t="s">
        <v>101</v>
      </c>
      <c r="BS498" t="s">
        <v>9579</v>
      </c>
      <c r="BT498" t="str">
        <f>HYPERLINK("https%3A%2F%2Fwww.webofscience.com%2Fwos%2Fwoscc%2Ffull-record%2FWOS:000302382600008","View Full Record in Web of Science")</f>
        <v>View Full Record in Web of Science</v>
      </c>
    </row>
    <row r="499" spans="1:72" x14ac:dyDescent="0.15">
      <c r="A499" t="s">
        <v>72</v>
      </c>
      <c r="B499" t="s">
        <v>9580</v>
      </c>
      <c r="C499" t="s">
        <v>74</v>
      </c>
      <c r="D499" t="s">
        <v>74</v>
      </c>
      <c r="E499" t="s">
        <v>74</v>
      </c>
      <c r="F499" t="s">
        <v>9581</v>
      </c>
      <c r="G499" t="s">
        <v>74</v>
      </c>
      <c r="H499" t="s">
        <v>74</v>
      </c>
      <c r="I499" t="s">
        <v>9582</v>
      </c>
      <c r="J499" t="s">
        <v>4781</v>
      </c>
      <c r="K499" t="s">
        <v>74</v>
      </c>
      <c r="L499" t="s">
        <v>74</v>
      </c>
      <c r="M499" t="s">
        <v>78</v>
      </c>
      <c r="N499" t="s">
        <v>79</v>
      </c>
      <c r="O499" t="s">
        <v>74</v>
      </c>
      <c r="P499" t="s">
        <v>74</v>
      </c>
      <c r="Q499" t="s">
        <v>74</v>
      </c>
      <c r="R499" t="s">
        <v>74</v>
      </c>
      <c r="S499" t="s">
        <v>74</v>
      </c>
      <c r="T499" t="s">
        <v>9583</v>
      </c>
      <c r="U499" t="s">
        <v>9584</v>
      </c>
      <c r="V499" t="s">
        <v>9585</v>
      </c>
      <c r="W499" t="s">
        <v>9586</v>
      </c>
      <c r="X499" t="s">
        <v>9587</v>
      </c>
      <c r="Y499" t="s">
        <v>9588</v>
      </c>
      <c r="Z499" t="s">
        <v>9589</v>
      </c>
      <c r="AA499" t="s">
        <v>9590</v>
      </c>
      <c r="AB499" t="s">
        <v>74</v>
      </c>
      <c r="AC499" t="s">
        <v>9591</v>
      </c>
      <c r="AD499" t="s">
        <v>9592</v>
      </c>
      <c r="AE499" t="s">
        <v>9593</v>
      </c>
      <c r="AF499" t="s">
        <v>74</v>
      </c>
      <c r="AG499">
        <v>89</v>
      </c>
      <c r="AH499">
        <v>94</v>
      </c>
      <c r="AI499">
        <v>107</v>
      </c>
      <c r="AJ499">
        <v>2</v>
      </c>
      <c r="AK499">
        <v>78</v>
      </c>
      <c r="AL499" t="s">
        <v>935</v>
      </c>
      <c r="AM499" t="s">
        <v>369</v>
      </c>
      <c r="AN499" t="s">
        <v>936</v>
      </c>
      <c r="AO499" t="s">
        <v>4794</v>
      </c>
      <c r="AP499" t="s">
        <v>4795</v>
      </c>
      <c r="AQ499" t="s">
        <v>74</v>
      </c>
      <c r="AR499" t="s">
        <v>4796</v>
      </c>
      <c r="AS499" t="s">
        <v>4797</v>
      </c>
      <c r="AT499" t="s">
        <v>9594</v>
      </c>
      <c r="AU499">
        <v>2012</v>
      </c>
      <c r="AV499">
        <v>317</v>
      </c>
      <c r="AW499" t="s">
        <v>74</v>
      </c>
      <c r="AX499" t="s">
        <v>74</v>
      </c>
      <c r="AY499" t="s">
        <v>74</v>
      </c>
      <c r="AZ499" t="s">
        <v>74</v>
      </c>
      <c r="BA499" t="s">
        <v>74</v>
      </c>
      <c r="BB499">
        <v>251</v>
      </c>
      <c r="BC499">
        <v>261</v>
      </c>
      <c r="BD499" t="s">
        <v>74</v>
      </c>
      <c r="BE499" t="s">
        <v>9595</v>
      </c>
      <c r="BF499" t="str">
        <f>HYPERLINK("http://dx.doi.org/10.1016/j.epsl.2011.11.037","http://dx.doi.org/10.1016/j.epsl.2011.11.037")</f>
        <v>http://dx.doi.org/10.1016/j.epsl.2011.11.037</v>
      </c>
      <c r="BG499" t="s">
        <v>74</v>
      </c>
      <c r="BH499" t="s">
        <v>74</v>
      </c>
      <c r="BI499">
        <v>11</v>
      </c>
      <c r="BJ499" t="s">
        <v>1134</v>
      </c>
      <c r="BK499" t="s">
        <v>99</v>
      </c>
      <c r="BL499" t="s">
        <v>1134</v>
      </c>
      <c r="BM499" t="s">
        <v>9596</v>
      </c>
      <c r="BN499" t="s">
        <v>74</v>
      </c>
      <c r="BO499" t="s">
        <v>74</v>
      </c>
      <c r="BP499" t="s">
        <v>74</v>
      </c>
      <c r="BQ499" t="s">
        <v>74</v>
      </c>
      <c r="BR499" t="s">
        <v>101</v>
      </c>
      <c r="BS499" t="s">
        <v>9597</v>
      </c>
      <c r="BT499" t="str">
        <f>HYPERLINK("https%3A%2F%2Fwww.webofscience.com%2Fwos%2Fwoscc%2Ffull-record%2FWOS:000301616700025","View Full Record in Web of Science")</f>
        <v>View Full Record in Web of Science</v>
      </c>
    </row>
    <row r="500" spans="1:72" x14ac:dyDescent="0.15">
      <c r="A500" t="s">
        <v>72</v>
      </c>
      <c r="B500" t="s">
        <v>9598</v>
      </c>
      <c r="C500" t="s">
        <v>74</v>
      </c>
      <c r="D500" t="s">
        <v>74</v>
      </c>
      <c r="E500" t="s">
        <v>74</v>
      </c>
      <c r="F500" t="s">
        <v>9599</v>
      </c>
      <c r="G500" t="s">
        <v>74</v>
      </c>
      <c r="H500" t="s">
        <v>74</v>
      </c>
      <c r="I500" t="s">
        <v>9600</v>
      </c>
      <c r="J500" t="s">
        <v>7067</v>
      </c>
      <c r="K500" t="s">
        <v>74</v>
      </c>
      <c r="L500" t="s">
        <v>74</v>
      </c>
      <c r="M500" t="s">
        <v>78</v>
      </c>
      <c r="N500" t="s">
        <v>79</v>
      </c>
      <c r="O500" t="s">
        <v>74</v>
      </c>
      <c r="P500" t="s">
        <v>74</v>
      </c>
      <c r="Q500" t="s">
        <v>74</v>
      </c>
      <c r="R500" t="s">
        <v>74</v>
      </c>
      <c r="S500" t="s">
        <v>74</v>
      </c>
      <c r="T500" t="s">
        <v>74</v>
      </c>
      <c r="U500" t="s">
        <v>74</v>
      </c>
      <c r="V500" t="s">
        <v>9601</v>
      </c>
      <c r="W500" t="s">
        <v>9602</v>
      </c>
      <c r="X500" t="s">
        <v>977</v>
      </c>
      <c r="Y500" t="s">
        <v>9603</v>
      </c>
      <c r="Z500" t="s">
        <v>74</v>
      </c>
      <c r="AA500" t="s">
        <v>9604</v>
      </c>
      <c r="AB500" t="s">
        <v>9605</v>
      </c>
      <c r="AC500" t="s">
        <v>9606</v>
      </c>
      <c r="AD500" t="s">
        <v>9606</v>
      </c>
      <c r="AE500" t="s">
        <v>9607</v>
      </c>
      <c r="AF500" t="s">
        <v>74</v>
      </c>
      <c r="AG500">
        <v>17</v>
      </c>
      <c r="AH500">
        <v>1</v>
      </c>
      <c r="AI500">
        <v>2</v>
      </c>
      <c r="AJ500">
        <v>0</v>
      </c>
      <c r="AK500">
        <v>3</v>
      </c>
      <c r="AL500" t="s">
        <v>3669</v>
      </c>
      <c r="AM500" t="s">
        <v>3670</v>
      </c>
      <c r="AN500" t="s">
        <v>3671</v>
      </c>
      <c r="AO500" t="s">
        <v>7072</v>
      </c>
      <c r="AP500" t="s">
        <v>7073</v>
      </c>
      <c r="AQ500" t="s">
        <v>74</v>
      </c>
      <c r="AR500" t="s">
        <v>7074</v>
      </c>
      <c r="AS500" t="s">
        <v>7075</v>
      </c>
      <c r="AT500" t="s">
        <v>9372</v>
      </c>
      <c r="AU500">
        <v>2012</v>
      </c>
      <c r="AV500">
        <v>37</v>
      </c>
      <c r="AW500">
        <v>1</v>
      </c>
      <c r="AX500" t="s">
        <v>74</v>
      </c>
      <c r="AY500" t="s">
        <v>74</v>
      </c>
      <c r="AZ500" t="s">
        <v>74</v>
      </c>
      <c r="BA500" t="s">
        <v>74</v>
      </c>
      <c r="BB500">
        <v>34</v>
      </c>
      <c r="BC500">
        <v>38</v>
      </c>
      <c r="BD500" t="s">
        <v>74</v>
      </c>
      <c r="BE500" t="s">
        <v>9608</v>
      </c>
      <c r="BF500" t="str">
        <f>HYPERLINK("http://dx.doi.org/10.3103/S1068373912010050","http://dx.doi.org/10.3103/S1068373912010050")</f>
        <v>http://dx.doi.org/10.3103/S1068373912010050</v>
      </c>
      <c r="BG500" t="s">
        <v>74</v>
      </c>
      <c r="BH500" t="s">
        <v>74</v>
      </c>
      <c r="BI500">
        <v>5</v>
      </c>
      <c r="BJ500" t="s">
        <v>128</v>
      </c>
      <c r="BK500" t="s">
        <v>99</v>
      </c>
      <c r="BL500" t="s">
        <v>128</v>
      </c>
      <c r="BM500" t="s">
        <v>9609</v>
      </c>
      <c r="BN500" t="s">
        <v>74</v>
      </c>
      <c r="BO500" t="s">
        <v>74</v>
      </c>
      <c r="BP500" t="s">
        <v>74</v>
      </c>
      <c r="BQ500" t="s">
        <v>74</v>
      </c>
      <c r="BR500" t="s">
        <v>101</v>
      </c>
      <c r="BS500" t="s">
        <v>9610</v>
      </c>
      <c r="BT500" t="str">
        <f>HYPERLINK("https%3A%2F%2Fwww.webofscience.com%2Fwos%2Fwoscc%2Ffull-record%2FWOS:000301658100005","View Full Record in Web of Science")</f>
        <v>View Full Record in Web of Science</v>
      </c>
    </row>
    <row r="501" spans="1:72" x14ac:dyDescent="0.15">
      <c r="A501" t="s">
        <v>72</v>
      </c>
      <c r="B501" t="s">
        <v>9611</v>
      </c>
      <c r="C501" t="s">
        <v>74</v>
      </c>
      <c r="D501" t="s">
        <v>74</v>
      </c>
      <c r="E501" t="s">
        <v>74</v>
      </c>
      <c r="F501" t="s">
        <v>9612</v>
      </c>
      <c r="G501" t="s">
        <v>74</v>
      </c>
      <c r="H501" t="s">
        <v>74</v>
      </c>
      <c r="I501" t="s">
        <v>9613</v>
      </c>
      <c r="J501" t="s">
        <v>7067</v>
      </c>
      <c r="K501" t="s">
        <v>74</v>
      </c>
      <c r="L501" t="s">
        <v>74</v>
      </c>
      <c r="M501" t="s">
        <v>78</v>
      </c>
      <c r="N501" t="s">
        <v>79</v>
      </c>
      <c r="O501" t="s">
        <v>74</v>
      </c>
      <c r="P501" t="s">
        <v>74</v>
      </c>
      <c r="Q501" t="s">
        <v>74</v>
      </c>
      <c r="R501" t="s">
        <v>74</v>
      </c>
      <c r="S501" t="s">
        <v>74</v>
      </c>
      <c r="T501" t="s">
        <v>74</v>
      </c>
      <c r="U501" t="s">
        <v>74</v>
      </c>
      <c r="V501" t="s">
        <v>9614</v>
      </c>
      <c r="W501" t="s">
        <v>9615</v>
      </c>
      <c r="X501" t="s">
        <v>977</v>
      </c>
      <c r="Y501" t="s">
        <v>9616</v>
      </c>
      <c r="Z501" t="s">
        <v>74</v>
      </c>
      <c r="AA501" t="s">
        <v>74</v>
      </c>
      <c r="AB501" t="s">
        <v>74</v>
      </c>
      <c r="AC501" t="s">
        <v>74</v>
      </c>
      <c r="AD501" t="s">
        <v>74</v>
      </c>
      <c r="AE501" t="s">
        <v>74</v>
      </c>
      <c r="AF501" t="s">
        <v>74</v>
      </c>
      <c r="AG501">
        <v>5</v>
      </c>
      <c r="AH501">
        <v>1</v>
      </c>
      <c r="AI501">
        <v>1</v>
      </c>
      <c r="AJ501">
        <v>1</v>
      </c>
      <c r="AK501">
        <v>9</v>
      </c>
      <c r="AL501" t="s">
        <v>9617</v>
      </c>
      <c r="AM501" t="s">
        <v>656</v>
      </c>
      <c r="AN501" t="s">
        <v>9618</v>
      </c>
      <c r="AO501" t="s">
        <v>7072</v>
      </c>
      <c r="AP501" t="s">
        <v>74</v>
      </c>
      <c r="AQ501" t="s">
        <v>74</v>
      </c>
      <c r="AR501" t="s">
        <v>7074</v>
      </c>
      <c r="AS501" t="s">
        <v>7075</v>
      </c>
      <c r="AT501" t="s">
        <v>9372</v>
      </c>
      <c r="AU501">
        <v>2012</v>
      </c>
      <c r="AV501">
        <v>37</v>
      </c>
      <c r="AW501">
        <v>2</v>
      </c>
      <c r="AX501" t="s">
        <v>74</v>
      </c>
      <c r="AY501" t="s">
        <v>74</v>
      </c>
      <c r="AZ501" t="s">
        <v>74</v>
      </c>
      <c r="BA501" t="s">
        <v>74</v>
      </c>
      <c r="BB501">
        <v>121</v>
      </c>
      <c r="BC501">
        <v>125</v>
      </c>
      <c r="BD501" t="s">
        <v>74</v>
      </c>
      <c r="BE501" t="s">
        <v>9619</v>
      </c>
      <c r="BF501" t="str">
        <f>HYPERLINK("http://dx.doi.org/10.3103/S1068373912020070","http://dx.doi.org/10.3103/S1068373912020070")</f>
        <v>http://dx.doi.org/10.3103/S1068373912020070</v>
      </c>
      <c r="BG501" t="s">
        <v>74</v>
      </c>
      <c r="BH501" t="s">
        <v>74</v>
      </c>
      <c r="BI501">
        <v>5</v>
      </c>
      <c r="BJ501" t="s">
        <v>128</v>
      </c>
      <c r="BK501" t="s">
        <v>99</v>
      </c>
      <c r="BL501" t="s">
        <v>128</v>
      </c>
      <c r="BM501" t="s">
        <v>9620</v>
      </c>
      <c r="BN501" t="s">
        <v>74</v>
      </c>
      <c r="BO501" t="s">
        <v>74</v>
      </c>
      <c r="BP501" t="s">
        <v>74</v>
      </c>
      <c r="BQ501" t="s">
        <v>74</v>
      </c>
      <c r="BR501" t="s">
        <v>101</v>
      </c>
      <c r="BS501" t="s">
        <v>9621</v>
      </c>
      <c r="BT501" t="str">
        <f>HYPERLINK("https%3A%2F%2Fwww.webofscience.com%2Fwos%2Fwoscc%2Ffull-record%2FWOS:000301705000007","View Full Record in Web of Science")</f>
        <v>View Full Record in Web of Science</v>
      </c>
    </row>
    <row r="502" spans="1:72" x14ac:dyDescent="0.15">
      <c r="A502" t="s">
        <v>72</v>
      </c>
      <c r="B502" t="s">
        <v>9622</v>
      </c>
      <c r="C502" t="s">
        <v>74</v>
      </c>
      <c r="D502" t="s">
        <v>74</v>
      </c>
      <c r="E502" t="s">
        <v>74</v>
      </c>
      <c r="F502" t="s">
        <v>9623</v>
      </c>
      <c r="G502" t="s">
        <v>74</v>
      </c>
      <c r="H502" t="s">
        <v>74</v>
      </c>
      <c r="I502" t="s">
        <v>9624</v>
      </c>
      <c r="J502" t="s">
        <v>9625</v>
      </c>
      <c r="K502" t="s">
        <v>74</v>
      </c>
      <c r="L502" t="s">
        <v>74</v>
      </c>
      <c r="M502" t="s">
        <v>78</v>
      </c>
      <c r="N502" t="s">
        <v>79</v>
      </c>
      <c r="O502" t="s">
        <v>74</v>
      </c>
      <c r="P502" t="s">
        <v>74</v>
      </c>
      <c r="Q502" t="s">
        <v>74</v>
      </c>
      <c r="R502" t="s">
        <v>74</v>
      </c>
      <c r="S502" t="s">
        <v>74</v>
      </c>
      <c r="T502" t="s">
        <v>74</v>
      </c>
      <c r="U502" t="s">
        <v>74</v>
      </c>
      <c r="V502" t="s">
        <v>9626</v>
      </c>
      <c r="W502" t="s">
        <v>9627</v>
      </c>
      <c r="X502" t="s">
        <v>9628</v>
      </c>
      <c r="Y502" t="s">
        <v>9629</v>
      </c>
      <c r="Z502" t="s">
        <v>74</v>
      </c>
      <c r="AA502" t="s">
        <v>9630</v>
      </c>
      <c r="AB502" t="s">
        <v>9631</v>
      </c>
      <c r="AC502" t="s">
        <v>9632</v>
      </c>
      <c r="AD502" t="s">
        <v>9633</v>
      </c>
      <c r="AE502" t="s">
        <v>9634</v>
      </c>
      <c r="AF502" t="s">
        <v>74</v>
      </c>
      <c r="AG502">
        <v>24</v>
      </c>
      <c r="AH502">
        <v>6</v>
      </c>
      <c r="AI502">
        <v>7</v>
      </c>
      <c r="AJ502">
        <v>0</v>
      </c>
      <c r="AK502">
        <v>5</v>
      </c>
      <c r="AL502" t="s">
        <v>1419</v>
      </c>
      <c r="AM502" t="s">
        <v>737</v>
      </c>
      <c r="AN502" t="s">
        <v>1420</v>
      </c>
      <c r="AO502" t="s">
        <v>9635</v>
      </c>
      <c r="AP502" t="s">
        <v>74</v>
      </c>
      <c r="AQ502" t="s">
        <v>74</v>
      </c>
      <c r="AR502" t="s">
        <v>9625</v>
      </c>
      <c r="AS502" t="s">
        <v>9636</v>
      </c>
      <c r="AT502" t="s">
        <v>9372</v>
      </c>
      <c r="AU502">
        <v>2012</v>
      </c>
      <c r="AV502">
        <v>8</v>
      </c>
      <c r="AW502">
        <v>1</v>
      </c>
      <c r="AX502" t="s">
        <v>74</v>
      </c>
      <c r="AY502" t="s">
        <v>74</v>
      </c>
      <c r="AZ502" t="s">
        <v>74</v>
      </c>
      <c r="BA502" t="s">
        <v>74</v>
      </c>
      <c r="BB502">
        <v>127</v>
      </c>
      <c r="BC502">
        <v>140</v>
      </c>
      <c r="BD502" t="s">
        <v>74</v>
      </c>
      <c r="BE502" t="s">
        <v>9637</v>
      </c>
      <c r="BF502" t="str">
        <f>HYPERLINK("http://dx.doi.org/10.1130/GES00655.1","http://dx.doi.org/10.1130/GES00655.1")</f>
        <v>http://dx.doi.org/10.1130/GES00655.1</v>
      </c>
      <c r="BG502" t="s">
        <v>74</v>
      </c>
      <c r="BH502" t="s">
        <v>74</v>
      </c>
      <c r="BI502">
        <v>14</v>
      </c>
      <c r="BJ502" t="s">
        <v>194</v>
      </c>
      <c r="BK502" t="s">
        <v>99</v>
      </c>
      <c r="BL502" t="s">
        <v>195</v>
      </c>
      <c r="BM502" t="s">
        <v>9638</v>
      </c>
      <c r="BN502" t="s">
        <v>74</v>
      </c>
      <c r="BO502" t="s">
        <v>217</v>
      </c>
      <c r="BP502" t="s">
        <v>74</v>
      </c>
      <c r="BQ502" t="s">
        <v>74</v>
      </c>
      <c r="BR502" t="s">
        <v>101</v>
      </c>
      <c r="BS502" t="s">
        <v>9639</v>
      </c>
      <c r="BT502" t="str">
        <f>HYPERLINK("https%3A%2F%2Fwww.webofscience.com%2Fwos%2Fwoscc%2Ffull-record%2FWOS:000300414100006","View Full Record in Web of Science")</f>
        <v>View Full Record in Web of Science</v>
      </c>
    </row>
    <row r="503" spans="1:72" x14ac:dyDescent="0.15">
      <c r="A503" t="s">
        <v>72</v>
      </c>
      <c r="B503" t="s">
        <v>9640</v>
      </c>
      <c r="C503" t="s">
        <v>74</v>
      </c>
      <c r="D503" t="s">
        <v>74</v>
      </c>
      <c r="E503" t="s">
        <v>74</v>
      </c>
      <c r="F503" t="s">
        <v>9641</v>
      </c>
      <c r="G503" t="s">
        <v>74</v>
      </c>
      <c r="H503" t="s">
        <v>74</v>
      </c>
      <c r="I503" t="s">
        <v>9642</v>
      </c>
      <c r="J503" t="s">
        <v>923</v>
      </c>
      <c r="K503" t="s">
        <v>74</v>
      </c>
      <c r="L503" t="s">
        <v>74</v>
      </c>
      <c r="M503" t="s">
        <v>78</v>
      </c>
      <c r="N503" t="s">
        <v>79</v>
      </c>
      <c r="O503" t="s">
        <v>74</v>
      </c>
      <c r="P503" t="s">
        <v>74</v>
      </c>
      <c r="Q503" t="s">
        <v>74</v>
      </c>
      <c r="R503" t="s">
        <v>74</v>
      </c>
      <c r="S503" t="s">
        <v>74</v>
      </c>
      <c r="T503" t="s">
        <v>9643</v>
      </c>
      <c r="U503" t="s">
        <v>9644</v>
      </c>
      <c r="V503" t="s">
        <v>9645</v>
      </c>
      <c r="W503" t="s">
        <v>9646</v>
      </c>
      <c r="X503" t="s">
        <v>9647</v>
      </c>
      <c r="Y503" t="s">
        <v>9648</v>
      </c>
      <c r="Z503" t="s">
        <v>9649</v>
      </c>
      <c r="AA503" t="s">
        <v>9650</v>
      </c>
      <c r="AB503" t="s">
        <v>9651</v>
      </c>
      <c r="AC503" t="s">
        <v>9652</v>
      </c>
      <c r="AD503" t="s">
        <v>9652</v>
      </c>
      <c r="AE503" t="s">
        <v>9653</v>
      </c>
      <c r="AF503" t="s">
        <v>74</v>
      </c>
      <c r="AG503">
        <v>60</v>
      </c>
      <c r="AH503">
        <v>5</v>
      </c>
      <c r="AI503">
        <v>8</v>
      </c>
      <c r="AJ503">
        <v>0</v>
      </c>
      <c r="AK503">
        <v>6</v>
      </c>
      <c r="AL503" t="s">
        <v>935</v>
      </c>
      <c r="AM503" t="s">
        <v>369</v>
      </c>
      <c r="AN503" t="s">
        <v>936</v>
      </c>
      <c r="AO503" t="s">
        <v>937</v>
      </c>
      <c r="AP503" t="s">
        <v>938</v>
      </c>
      <c r="AQ503" t="s">
        <v>74</v>
      </c>
      <c r="AR503" t="s">
        <v>939</v>
      </c>
      <c r="AS503" t="s">
        <v>940</v>
      </c>
      <c r="AT503" t="s">
        <v>9372</v>
      </c>
      <c r="AU503">
        <v>2012</v>
      </c>
      <c r="AV503" t="s">
        <v>9654</v>
      </c>
      <c r="AW503" t="s">
        <v>74</v>
      </c>
      <c r="AX503" t="s">
        <v>74</v>
      </c>
      <c r="AY503" t="s">
        <v>74</v>
      </c>
      <c r="AZ503" t="s">
        <v>74</v>
      </c>
      <c r="BA503" t="s">
        <v>74</v>
      </c>
      <c r="BB503">
        <v>12</v>
      </c>
      <c r="BC503">
        <v>24</v>
      </c>
      <c r="BD503" t="s">
        <v>74</v>
      </c>
      <c r="BE503" t="s">
        <v>9655</v>
      </c>
      <c r="BF503" t="str">
        <f>HYPERLINK("http://dx.doi.org/10.1016/j.gloplacha.2011.11.007","http://dx.doi.org/10.1016/j.gloplacha.2011.11.007")</f>
        <v>http://dx.doi.org/10.1016/j.gloplacha.2011.11.007</v>
      </c>
      <c r="BG503" t="s">
        <v>74</v>
      </c>
      <c r="BH503" t="s">
        <v>74</v>
      </c>
      <c r="BI503">
        <v>13</v>
      </c>
      <c r="BJ503" t="s">
        <v>943</v>
      </c>
      <c r="BK503" t="s">
        <v>99</v>
      </c>
      <c r="BL503" t="s">
        <v>944</v>
      </c>
      <c r="BM503" t="s">
        <v>9656</v>
      </c>
      <c r="BN503" t="s">
        <v>74</v>
      </c>
      <c r="BO503" t="s">
        <v>74</v>
      </c>
      <c r="BP503" t="s">
        <v>74</v>
      </c>
      <c r="BQ503" t="s">
        <v>74</v>
      </c>
      <c r="BR503" t="s">
        <v>101</v>
      </c>
      <c r="BS503" t="s">
        <v>9657</v>
      </c>
      <c r="BT503" t="str">
        <f>HYPERLINK("https%3A%2F%2Fwww.webofscience.com%2Fwos%2Fwoscc%2Ffull-record%2FWOS:000300922000002","View Full Record in Web of Science")</f>
        <v>View Full Record in Web of Science</v>
      </c>
    </row>
    <row r="504" spans="1:72" x14ac:dyDescent="0.15">
      <c r="A504" t="s">
        <v>72</v>
      </c>
      <c r="B504" t="s">
        <v>9658</v>
      </c>
      <c r="C504" t="s">
        <v>74</v>
      </c>
      <c r="D504" t="s">
        <v>74</v>
      </c>
      <c r="E504" t="s">
        <v>74</v>
      </c>
      <c r="F504" t="s">
        <v>9659</v>
      </c>
      <c r="G504" t="s">
        <v>74</v>
      </c>
      <c r="H504" t="s">
        <v>74</v>
      </c>
      <c r="I504" t="s">
        <v>9660</v>
      </c>
      <c r="J504" t="s">
        <v>923</v>
      </c>
      <c r="K504" t="s">
        <v>74</v>
      </c>
      <c r="L504" t="s">
        <v>74</v>
      </c>
      <c r="M504" t="s">
        <v>78</v>
      </c>
      <c r="N504" t="s">
        <v>79</v>
      </c>
      <c r="O504" t="s">
        <v>74</v>
      </c>
      <c r="P504" t="s">
        <v>74</v>
      </c>
      <c r="Q504" t="s">
        <v>74</v>
      </c>
      <c r="R504" t="s">
        <v>74</v>
      </c>
      <c r="S504" t="s">
        <v>74</v>
      </c>
      <c r="T504" t="s">
        <v>9661</v>
      </c>
      <c r="U504" t="s">
        <v>9662</v>
      </c>
      <c r="V504" t="s">
        <v>9663</v>
      </c>
      <c r="W504" t="s">
        <v>9664</v>
      </c>
      <c r="X504" t="s">
        <v>9665</v>
      </c>
      <c r="Y504" t="s">
        <v>9666</v>
      </c>
      <c r="Z504" t="s">
        <v>9667</v>
      </c>
      <c r="AA504" t="s">
        <v>9668</v>
      </c>
      <c r="AB504" t="s">
        <v>9669</v>
      </c>
      <c r="AC504" t="s">
        <v>9670</v>
      </c>
      <c r="AD504" t="s">
        <v>9671</v>
      </c>
      <c r="AE504" t="s">
        <v>9672</v>
      </c>
      <c r="AF504" t="s">
        <v>74</v>
      </c>
      <c r="AG504">
        <v>67</v>
      </c>
      <c r="AH504">
        <v>34</v>
      </c>
      <c r="AI504">
        <v>38</v>
      </c>
      <c r="AJ504">
        <v>1</v>
      </c>
      <c r="AK504">
        <v>31</v>
      </c>
      <c r="AL504" t="s">
        <v>368</v>
      </c>
      <c r="AM504" t="s">
        <v>369</v>
      </c>
      <c r="AN504" t="s">
        <v>370</v>
      </c>
      <c r="AO504" t="s">
        <v>937</v>
      </c>
      <c r="AP504" t="s">
        <v>938</v>
      </c>
      <c r="AQ504" t="s">
        <v>74</v>
      </c>
      <c r="AR504" t="s">
        <v>939</v>
      </c>
      <c r="AS504" t="s">
        <v>940</v>
      </c>
      <c r="AT504" t="s">
        <v>9372</v>
      </c>
      <c r="AU504">
        <v>2012</v>
      </c>
      <c r="AV504" t="s">
        <v>9654</v>
      </c>
      <c r="AW504" t="s">
        <v>74</v>
      </c>
      <c r="AX504" t="s">
        <v>74</v>
      </c>
      <c r="AY504" t="s">
        <v>74</v>
      </c>
      <c r="AZ504" t="s">
        <v>74</v>
      </c>
      <c r="BA504" t="s">
        <v>74</v>
      </c>
      <c r="BB504">
        <v>38</v>
      </c>
      <c r="BC504">
        <v>50</v>
      </c>
      <c r="BD504" t="s">
        <v>74</v>
      </c>
      <c r="BE504" t="s">
        <v>9673</v>
      </c>
      <c r="BF504" t="str">
        <f>HYPERLINK("http://dx.doi.org/10.1016/j.gloplacha.2011.11.003","http://dx.doi.org/10.1016/j.gloplacha.2011.11.003")</f>
        <v>http://dx.doi.org/10.1016/j.gloplacha.2011.11.003</v>
      </c>
      <c r="BG504" t="s">
        <v>74</v>
      </c>
      <c r="BH504" t="s">
        <v>74</v>
      </c>
      <c r="BI504">
        <v>13</v>
      </c>
      <c r="BJ504" t="s">
        <v>943</v>
      </c>
      <c r="BK504" t="s">
        <v>99</v>
      </c>
      <c r="BL504" t="s">
        <v>944</v>
      </c>
      <c r="BM504" t="s">
        <v>9656</v>
      </c>
      <c r="BN504" t="s">
        <v>74</v>
      </c>
      <c r="BO504" t="s">
        <v>74</v>
      </c>
      <c r="BP504" t="s">
        <v>74</v>
      </c>
      <c r="BQ504" t="s">
        <v>74</v>
      </c>
      <c r="BR504" t="s">
        <v>101</v>
      </c>
      <c r="BS504" t="s">
        <v>9674</v>
      </c>
      <c r="BT504" t="str">
        <f>HYPERLINK("https%3A%2F%2Fwww.webofscience.com%2Fwos%2Fwoscc%2Ffull-record%2FWOS:000300922000004","View Full Record in Web of Science")</f>
        <v>View Full Record in Web of Science</v>
      </c>
    </row>
    <row r="505" spans="1:72" x14ac:dyDescent="0.15">
      <c r="A505" t="s">
        <v>72</v>
      </c>
      <c r="B505" t="s">
        <v>9675</v>
      </c>
      <c r="C505" t="s">
        <v>74</v>
      </c>
      <c r="D505" t="s">
        <v>74</v>
      </c>
      <c r="E505" t="s">
        <v>74</v>
      </c>
      <c r="F505" t="s">
        <v>9676</v>
      </c>
      <c r="G505" t="s">
        <v>74</v>
      </c>
      <c r="H505" t="s">
        <v>74</v>
      </c>
      <c r="I505" t="s">
        <v>9677</v>
      </c>
      <c r="J505" t="s">
        <v>643</v>
      </c>
      <c r="K505" t="s">
        <v>74</v>
      </c>
      <c r="L505" t="s">
        <v>74</v>
      </c>
      <c r="M505" t="s">
        <v>78</v>
      </c>
      <c r="N505" t="s">
        <v>79</v>
      </c>
      <c r="O505" t="s">
        <v>74</v>
      </c>
      <c r="P505" t="s">
        <v>74</v>
      </c>
      <c r="Q505" t="s">
        <v>74</v>
      </c>
      <c r="R505" t="s">
        <v>74</v>
      </c>
      <c r="S505" t="s">
        <v>74</v>
      </c>
      <c r="T505" t="s">
        <v>74</v>
      </c>
      <c r="U505" t="s">
        <v>9678</v>
      </c>
      <c r="V505" t="s">
        <v>9679</v>
      </c>
      <c r="W505" t="s">
        <v>9680</v>
      </c>
      <c r="X505" t="s">
        <v>9681</v>
      </c>
      <c r="Y505" t="s">
        <v>9682</v>
      </c>
      <c r="Z505" t="s">
        <v>9683</v>
      </c>
      <c r="AA505" t="s">
        <v>9684</v>
      </c>
      <c r="AB505" t="s">
        <v>9685</v>
      </c>
      <c r="AC505" t="s">
        <v>9686</v>
      </c>
      <c r="AD505" t="s">
        <v>9686</v>
      </c>
      <c r="AE505" t="s">
        <v>9687</v>
      </c>
      <c r="AF505" t="s">
        <v>74</v>
      </c>
      <c r="AG505">
        <v>38</v>
      </c>
      <c r="AH505">
        <v>12</v>
      </c>
      <c r="AI505">
        <v>12</v>
      </c>
      <c r="AJ505">
        <v>0</v>
      </c>
      <c r="AK505">
        <v>13</v>
      </c>
      <c r="AL505" t="s">
        <v>655</v>
      </c>
      <c r="AM505" t="s">
        <v>656</v>
      </c>
      <c r="AN505" t="s">
        <v>1908</v>
      </c>
      <c r="AO505" t="s">
        <v>658</v>
      </c>
      <c r="AP505" t="s">
        <v>9688</v>
      </c>
      <c r="AQ505" t="s">
        <v>74</v>
      </c>
      <c r="AR505" t="s">
        <v>659</v>
      </c>
      <c r="AS505" t="s">
        <v>660</v>
      </c>
      <c r="AT505" t="s">
        <v>9372</v>
      </c>
      <c r="AU505">
        <v>2012</v>
      </c>
      <c r="AV505">
        <v>63</v>
      </c>
      <c r="AW505">
        <v>2</v>
      </c>
      <c r="AX505" t="s">
        <v>74</v>
      </c>
      <c r="AY505" t="s">
        <v>74</v>
      </c>
      <c r="AZ505" t="s">
        <v>74</v>
      </c>
      <c r="BA505" t="s">
        <v>74</v>
      </c>
      <c r="BB505">
        <v>334</v>
      </c>
      <c r="BC505">
        <v>338</v>
      </c>
      <c r="BD505" t="s">
        <v>74</v>
      </c>
      <c r="BE505" t="s">
        <v>9689</v>
      </c>
      <c r="BF505" t="str">
        <f>HYPERLINK("http://dx.doi.org/10.1007/s00248-011-9934-4","http://dx.doi.org/10.1007/s00248-011-9934-4")</f>
        <v>http://dx.doi.org/10.1007/s00248-011-9934-4</v>
      </c>
      <c r="BG505" t="s">
        <v>74</v>
      </c>
      <c r="BH505" t="s">
        <v>74</v>
      </c>
      <c r="BI505">
        <v>5</v>
      </c>
      <c r="BJ505" t="s">
        <v>662</v>
      </c>
      <c r="BK505" t="s">
        <v>99</v>
      </c>
      <c r="BL505" t="s">
        <v>663</v>
      </c>
      <c r="BM505" t="s">
        <v>9690</v>
      </c>
      <c r="BN505">
        <v>21904954</v>
      </c>
      <c r="BO505" t="s">
        <v>156</v>
      </c>
      <c r="BP505" t="s">
        <v>74</v>
      </c>
      <c r="BQ505" t="s">
        <v>74</v>
      </c>
      <c r="BR505" t="s">
        <v>101</v>
      </c>
      <c r="BS505" t="s">
        <v>9691</v>
      </c>
      <c r="BT505" t="str">
        <f>HYPERLINK("https%3A%2F%2Fwww.webofscience.com%2Fwos%2Fwoscc%2Ffull-record%2FWOS:000300316500009","View Full Record in Web of Science")</f>
        <v>View Full Record in Web of Science</v>
      </c>
    </row>
    <row r="506" spans="1:72" x14ac:dyDescent="0.15">
      <c r="A506" t="s">
        <v>72</v>
      </c>
      <c r="B506" t="s">
        <v>9692</v>
      </c>
      <c r="C506" t="s">
        <v>74</v>
      </c>
      <c r="D506" t="s">
        <v>74</v>
      </c>
      <c r="E506" t="s">
        <v>74</v>
      </c>
      <c r="F506" t="s">
        <v>9693</v>
      </c>
      <c r="G506" t="s">
        <v>74</v>
      </c>
      <c r="H506" t="s">
        <v>74</v>
      </c>
      <c r="I506" t="s">
        <v>9694</v>
      </c>
      <c r="J506" t="s">
        <v>9695</v>
      </c>
      <c r="K506" t="s">
        <v>74</v>
      </c>
      <c r="L506" t="s">
        <v>74</v>
      </c>
      <c r="M506" t="s">
        <v>78</v>
      </c>
      <c r="N506" t="s">
        <v>79</v>
      </c>
      <c r="O506" t="s">
        <v>74</v>
      </c>
      <c r="P506" t="s">
        <v>74</v>
      </c>
      <c r="Q506" t="s">
        <v>74</v>
      </c>
      <c r="R506" t="s">
        <v>74</v>
      </c>
      <c r="S506" t="s">
        <v>74</v>
      </c>
      <c r="T506" t="s">
        <v>9696</v>
      </c>
      <c r="U506" t="s">
        <v>9697</v>
      </c>
      <c r="V506" t="s">
        <v>9698</v>
      </c>
      <c r="W506" t="s">
        <v>9699</v>
      </c>
      <c r="X506" t="s">
        <v>9700</v>
      </c>
      <c r="Y506" t="s">
        <v>9701</v>
      </c>
      <c r="Z506" t="s">
        <v>9702</v>
      </c>
      <c r="AA506" t="s">
        <v>9703</v>
      </c>
      <c r="AB506" t="s">
        <v>9704</v>
      </c>
      <c r="AC506" t="s">
        <v>9705</v>
      </c>
      <c r="AD506" t="s">
        <v>9705</v>
      </c>
      <c r="AE506" t="s">
        <v>9706</v>
      </c>
      <c r="AF506" t="s">
        <v>74</v>
      </c>
      <c r="AG506">
        <v>57</v>
      </c>
      <c r="AH506">
        <v>37</v>
      </c>
      <c r="AI506">
        <v>45</v>
      </c>
      <c r="AJ506">
        <v>0</v>
      </c>
      <c r="AK506">
        <v>12</v>
      </c>
      <c r="AL506" t="s">
        <v>935</v>
      </c>
      <c r="AM506" t="s">
        <v>369</v>
      </c>
      <c r="AN506" t="s">
        <v>936</v>
      </c>
      <c r="AO506" t="s">
        <v>9707</v>
      </c>
      <c r="AP506" t="s">
        <v>9708</v>
      </c>
      <c r="AQ506" t="s">
        <v>74</v>
      </c>
      <c r="AR506" t="s">
        <v>9709</v>
      </c>
      <c r="AS506" t="s">
        <v>9710</v>
      </c>
      <c r="AT506" t="s">
        <v>9372</v>
      </c>
      <c r="AU506">
        <v>2012</v>
      </c>
      <c r="AV506">
        <v>196</v>
      </c>
      <c r="AW506" t="s">
        <v>74</v>
      </c>
      <c r="AX506" t="s">
        <v>74</v>
      </c>
      <c r="AY506" t="s">
        <v>74</v>
      </c>
      <c r="AZ506" t="s">
        <v>74</v>
      </c>
      <c r="BA506" t="s">
        <v>74</v>
      </c>
      <c r="BB506">
        <v>23</v>
      </c>
      <c r="BC506">
        <v>45</v>
      </c>
      <c r="BD506" t="s">
        <v>74</v>
      </c>
      <c r="BE506" t="s">
        <v>9711</v>
      </c>
      <c r="BF506" t="str">
        <f>HYPERLINK("http://dx.doi.org/10.1016/j.precamres.2011.11.001","http://dx.doi.org/10.1016/j.precamres.2011.11.001")</f>
        <v>http://dx.doi.org/10.1016/j.precamres.2011.11.001</v>
      </c>
      <c r="BG506" t="s">
        <v>74</v>
      </c>
      <c r="BH506" t="s">
        <v>74</v>
      </c>
      <c r="BI506">
        <v>23</v>
      </c>
      <c r="BJ506" t="s">
        <v>194</v>
      </c>
      <c r="BK506" t="s">
        <v>99</v>
      </c>
      <c r="BL506" t="s">
        <v>195</v>
      </c>
      <c r="BM506" t="s">
        <v>9712</v>
      </c>
      <c r="BN506" t="s">
        <v>74</v>
      </c>
      <c r="BO506" t="s">
        <v>74</v>
      </c>
      <c r="BP506" t="s">
        <v>74</v>
      </c>
      <c r="BQ506" t="s">
        <v>74</v>
      </c>
      <c r="BR506" t="s">
        <v>101</v>
      </c>
      <c r="BS506" t="s">
        <v>9713</v>
      </c>
      <c r="BT506" t="str">
        <f>HYPERLINK("https%3A%2F%2Fwww.webofscience.com%2Fwos%2Fwoscc%2Ffull-record%2FWOS:000301036500002","View Full Record in Web of Science")</f>
        <v>View Full Record in Web of Science</v>
      </c>
    </row>
    <row r="507" spans="1:72" x14ac:dyDescent="0.15">
      <c r="A507" t="s">
        <v>72</v>
      </c>
      <c r="B507" t="s">
        <v>9714</v>
      </c>
      <c r="C507" t="s">
        <v>74</v>
      </c>
      <c r="D507" t="s">
        <v>74</v>
      </c>
      <c r="E507" t="s">
        <v>74</v>
      </c>
      <c r="F507" t="s">
        <v>9715</v>
      </c>
      <c r="G507" t="s">
        <v>74</v>
      </c>
      <c r="H507" t="s">
        <v>74</v>
      </c>
      <c r="I507" t="s">
        <v>9716</v>
      </c>
      <c r="J507" t="s">
        <v>9717</v>
      </c>
      <c r="K507" t="s">
        <v>74</v>
      </c>
      <c r="L507" t="s">
        <v>74</v>
      </c>
      <c r="M507" t="s">
        <v>78</v>
      </c>
      <c r="N507" t="s">
        <v>79</v>
      </c>
      <c r="O507" t="s">
        <v>74</v>
      </c>
      <c r="P507" t="s">
        <v>74</v>
      </c>
      <c r="Q507" t="s">
        <v>74</v>
      </c>
      <c r="R507" t="s">
        <v>74</v>
      </c>
      <c r="S507" t="s">
        <v>74</v>
      </c>
      <c r="T507" t="s">
        <v>9718</v>
      </c>
      <c r="U507" t="s">
        <v>9719</v>
      </c>
      <c r="V507" t="s">
        <v>9720</v>
      </c>
      <c r="W507" t="s">
        <v>9721</v>
      </c>
      <c r="X507" t="s">
        <v>9722</v>
      </c>
      <c r="Y507" t="s">
        <v>9723</v>
      </c>
      <c r="Z507" t="s">
        <v>9724</v>
      </c>
      <c r="AA507" t="s">
        <v>9725</v>
      </c>
      <c r="AB507" t="s">
        <v>9726</v>
      </c>
      <c r="AC507" t="s">
        <v>74</v>
      </c>
      <c r="AD507" t="s">
        <v>74</v>
      </c>
      <c r="AE507" t="s">
        <v>74</v>
      </c>
      <c r="AF507" t="s">
        <v>74</v>
      </c>
      <c r="AG507">
        <v>51</v>
      </c>
      <c r="AH507">
        <v>30</v>
      </c>
      <c r="AI507">
        <v>33</v>
      </c>
      <c r="AJ507">
        <v>4</v>
      </c>
      <c r="AK507">
        <v>21</v>
      </c>
      <c r="AL507" t="s">
        <v>3895</v>
      </c>
      <c r="AM507" t="s">
        <v>3896</v>
      </c>
      <c r="AN507" t="s">
        <v>3897</v>
      </c>
      <c r="AO507" t="s">
        <v>9727</v>
      </c>
      <c r="AP507" t="s">
        <v>74</v>
      </c>
      <c r="AQ507" t="s">
        <v>74</v>
      </c>
      <c r="AR507" t="s">
        <v>9728</v>
      </c>
      <c r="AS507" t="s">
        <v>9729</v>
      </c>
      <c r="AT507" t="s">
        <v>9372</v>
      </c>
      <c r="AU507">
        <v>2012</v>
      </c>
      <c r="AV507">
        <v>43</v>
      </c>
      <c r="AW507">
        <v>3</v>
      </c>
      <c r="AX507" t="s">
        <v>74</v>
      </c>
      <c r="AY507" t="s">
        <v>74</v>
      </c>
      <c r="AZ507" t="s">
        <v>74</v>
      </c>
      <c r="BA507" t="s">
        <v>74</v>
      </c>
      <c r="BB507">
        <v>395</v>
      </c>
      <c r="BC507">
        <v>406</v>
      </c>
      <c r="BD507" t="s">
        <v>74</v>
      </c>
      <c r="BE507" t="s">
        <v>9730</v>
      </c>
      <c r="BF507" t="str">
        <f>HYPERLINK("http://dx.doi.org/10.1111/j.1365-2109.2011.02842.x","http://dx.doi.org/10.1111/j.1365-2109.2011.02842.x")</f>
        <v>http://dx.doi.org/10.1111/j.1365-2109.2011.02842.x</v>
      </c>
      <c r="BG507" t="s">
        <v>74</v>
      </c>
      <c r="BH507" t="s">
        <v>74</v>
      </c>
      <c r="BI507">
        <v>12</v>
      </c>
      <c r="BJ507" t="s">
        <v>609</v>
      </c>
      <c r="BK507" t="s">
        <v>99</v>
      </c>
      <c r="BL507" t="s">
        <v>609</v>
      </c>
      <c r="BM507" t="s">
        <v>9731</v>
      </c>
      <c r="BN507" t="s">
        <v>74</v>
      </c>
      <c r="BO507" t="s">
        <v>74</v>
      </c>
      <c r="BP507" t="s">
        <v>74</v>
      </c>
      <c r="BQ507" t="s">
        <v>74</v>
      </c>
      <c r="BR507" t="s">
        <v>101</v>
      </c>
      <c r="BS507" t="s">
        <v>9732</v>
      </c>
      <c r="BT507" t="str">
        <f>HYPERLINK("https%3A%2F%2Fwww.webofscience.com%2Fwos%2Fwoscc%2Ffull-record%2FWOS:000299833300008","View Full Record in Web of Science")</f>
        <v>View Full Record in Web of Science</v>
      </c>
    </row>
    <row r="508" spans="1:72" x14ac:dyDescent="0.15">
      <c r="A508" t="s">
        <v>72</v>
      </c>
      <c r="B508" t="s">
        <v>9733</v>
      </c>
      <c r="C508" t="s">
        <v>74</v>
      </c>
      <c r="D508" t="s">
        <v>74</v>
      </c>
      <c r="E508" t="s">
        <v>74</v>
      </c>
      <c r="F508" t="s">
        <v>9734</v>
      </c>
      <c r="G508" t="s">
        <v>74</v>
      </c>
      <c r="H508" t="s">
        <v>74</v>
      </c>
      <c r="I508" t="s">
        <v>9735</v>
      </c>
      <c r="J508" t="s">
        <v>9736</v>
      </c>
      <c r="K508" t="s">
        <v>74</v>
      </c>
      <c r="L508" t="s">
        <v>74</v>
      </c>
      <c r="M508" t="s">
        <v>78</v>
      </c>
      <c r="N508" t="s">
        <v>79</v>
      </c>
      <c r="O508" t="s">
        <v>74</v>
      </c>
      <c r="P508" t="s">
        <v>74</v>
      </c>
      <c r="Q508" t="s">
        <v>74</v>
      </c>
      <c r="R508" t="s">
        <v>74</v>
      </c>
      <c r="S508" t="s">
        <v>74</v>
      </c>
      <c r="T508" t="s">
        <v>74</v>
      </c>
      <c r="U508" t="s">
        <v>9737</v>
      </c>
      <c r="V508" t="s">
        <v>9738</v>
      </c>
      <c r="W508" t="s">
        <v>9739</v>
      </c>
      <c r="X508" t="s">
        <v>9740</v>
      </c>
      <c r="Y508" t="s">
        <v>9741</v>
      </c>
      <c r="Z508" t="s">
        <v>9742</v>
      </c>
      <c r="AA508" t="s">
        <v>74</v>
      </c>
      <c r="AB508" t="s">
        <v>9743</v>
      </c>
      <c r="AC508" t="s">
        <v>9744</v>
      </c>
      <c r="AD508" t="s">
        <v>9745</v>
      </c>
      <c r="AE508" t="s">
        <v>9746</v>
      </c>
      <c r="AF508" t="s">
        <v>74</v>
      </c>
      <c r="AG508">
        <v>39</v>
      </c>
      <c r="AH508">
        <v>9</v>
      </c>
      <c r="AI508">
        <v>9</v>
      </c>
      <c r="AJ508">
        <v>1</v>
      </c>
      <c r="AK508">
        <v>21</v>
      </c>
      <c r="AL508" t="s">
        <v>9747</v>
      </c>
      <c r="AM508" t="s">
        <v>8080</v>
      </c>
      <c r="AN508" t="s">
        <v>9748</v>
      </c>
      <c r="AO508" t="s">
        <v>8082</v>
      </c>
      <c r="AP508" t="s">
        <v>74</v>
      </c>
      <c r="AQ508" t="s">
        <v>74</v>
      </c>
      <c r="AR508" t="s">
        <v>8084</v>
      </c>
      <c r="AS508" t="s">
        <v>9749</v>
      </c>
      <c r="AT508" t="s">
        <v>9372</v>
      </c>
      <c r="AU508">
        <v>2012</v>
      </c>
      <c r="AV508">
        <v>90</v>
      </c>
      <c r="AW508">
        <v>2</v>
      </c>
      <c r="AX508" t="s">
        <v>74</v>
      </c>
      <c r="AY508" t="s">
        <v>74</v>
      </c>
      <c r="AZ508" t="s">
        <v>74</v>
      </c>
      <c r="BA508" t="s">
        <v>74</v>
      </c>
      <c r="BB508">
        <v>237</v>
      </c>
      <c r="BC508">
        <v>247</v>
      </c>
      <c r="BD508" t="s">
        <v>74</v>
      </c>
      <c r="BE508" t="s">
        <v>9750</v>
      </c>
      <c r="BF508" t="str">
        <f>HYPERLINK("http://dx.doi.org/10.1139/Z11-131","http://dx.doi.org/10.1139/Z11-131")</f>
        <v>http://dx.doi.org/10.1139/Z11-131</v>
      </c>
      <c r="BG508" t="s">
        <v>74</v>
      </c>
      <c r="BH508" t="s">
        <v>74</v>
      </c>
      <c r="BI508">
        <v>11</v>
      </c>
      <c r="BJ508" t="s">
        <v>98</v>
      </c>
      <c r="BK508" t="s">
        <v>99</v>
      </c>
      <c r="BL508" t="s">
        <v>98</v>
      </c>
      <c r="BM508" t="s">
        <v>9751</v>
      </c>
      <c r="BN508" t="s">
        <v>74</v>
      </c>
      <c r="BO508" t="s">
        <v>74</v>
      </c>
      <c r="BP508" t="s">
        <v>74</v>
      </c>
      <c r="BQ508" t="s">
        <v>74</v>
      </c>
      <c r="BR508" t="s">
        <v>101</v>
      </c>
      <c r="BS508" t="s">
        <v>9752</v>
      </c>
      <c r="BT508" t="str">
        <f>HYPERLINK("https%3A%2F%2Fwww.webofscience.com%2Fwos%2Fwoscc%2Ffull-record%2FWOS:000300967400010","View Full Record in Web of Science")</f>
        <v>View Full Record in Web of Science</v>
      </c>
    </row>
    <row r="509" spans="1:72" x14ac:dyDescent="0.15">
      <c r="A509" t="s">
        <v>72</v>
      </c>
      <c r="B509" t="s">
        <v>1137</v>
      </c>
      <c r="C509" t="s">
        <v>74</v>
      </c>
      <c r="D509" t="s">
        <v>74</v>
      </c>
      <c r="E509" t="s">
        <v>74</v>
      </c>
      <c r="F509" t="s">
        <v>1137</v>
      </c>
      <c r="G509" t="s">
        <v>74</v>
      </c>
      <c r="H509" t="s">
        <v>74</v>
      </c>
      <c r="I509" t="s">
        <v>9753</v>
      </c>
      <c r="J509" t="s">
        <v>1139</v>
      </c>
      <c r="K509" t="s">
        <v>74</v>
      </c>
      <c r="L509" t="s">
        <v>74</v>
      </c>
      <c r="M509" t="s">
        <v>78</v>
      </c>
      <c r="N509" t="s">
        <v>887</v>
      </c>
      <c r="O509" t="s">
        <v>74</v>
      </c>
      <c r="P509" t="s">
        <v>74</v>
      </c>
      <c r="Q509" t="s">
        <v>74</v>
      </c>
      <c r="R509" t="s">
        <v>74</v>
      </c>
      <c r="S509" t="s">
        <v>74</v>
      </c>
      <c r="T509" t="s">
        <v>74</v>
      </c>
      <c r="U509" t="s">
        <v>74</v>
      </c>
      <c r="V509" t="s">
        <v>74</v>
      </c>
      <c r="W509" t="s">
        <v>74</v>
      </c>
      <c r="X509" t="s">
        <v>74</v>
      </c>
      <c r="Y509" t="s">
        <v>74</v>
      </c>
      <c r="Z509" t="s">
        <v>74</v>
      </c>
      <c r="AA509" t="s">
        <v>74</v>
      </c>
      <c r="AB509" t="s">
        <v>74</v>
      </c>
      <c r="AC509" t="s">
        <v>74</v>
      </c>
      <c r="AD509" t="s">
        <v>74</v>
      </c>
      <c r="AE509" t="s">
        <v>74</v>
      </c>
      <c r="AF509" t="s">
        <v>74</v>
      </c>
      <c r="AG509">
        <v>0</v>
      </c>
      <c r="AH509">
        <v>0</v>
      </c>
      <c r="AI509">
        <v>0</v>
      </c>
      <c r="AJ509">
        <v>0</v>
      </c>
      <c r="AK509">
        <v>1</v>
      </c>
      <c r="AL509" t="s">
        <v>277</v>
      </c>
      <c r="AM509" t="s">
        <v>278</v>
      </c>
      <c r="AN509" t="s">
        <v>279</v>
      </c>
      <c r="AO509" t="s">
        <v>1140</v>
      </c>
      <c r="AP509" t="s">
        <v>1141</v>
      </c>
      <c r="AQ509" t="s">
        <v>74</v>
      </c>
      <c r="AR509" t="s">
        <v>1142</v>
      </c>
      <c r="AS509" t="s">
        <v>1143</v>
      </c>
      <c r="AT509" t="s">
        <v>9372</v>
      </c>
      <c r="AU509">
        <v>2012</v>
      </c>
      <c r="AV509">
        <v>64</v>
      </c>
      <c r="AW509">
        <v>2</v>
      </c>
      <c r="AX509" t="s">
        <v>74</v>
      </c>
      <c r="AY509" t="s">
        <v>74</v>
      </c>
      <c r="AZ509" t="s">
        <v>74</v>
      </c>
      <c r="BA509" t="s">
        <v>74</v>
      </c>
      <c r="BB509">
        <v>177</v>
      </c>
      <c r="BC509">
        <v>177</v>
      </c>
      <c r="BD509" t="s">
        <v>74</v>
      </c>
      <c r="BE509" t="s">
        <v>74</v>
      </c>
      <c r="BF509" t="s">
        <v>74</v>
      </c>
      <c r="BG509" t="s">
        <v>74</v>
      </c>
      <c r="BH509" t="s">
        <v>74</v>
      </c>
      <c r="BI509">
        <v>1</v>
      </c>
      <c r="BJ509" t="s">
        <v>1144</v>
      </c>
      <c r="BK509" t="s">
        <v>99</v>
      </c>
      <c r="BL509" t="s">
        <v>1145</v>
      </c>
      <c r="BM509" t="s">
        <v>9754</v>
      </c>
      <c r="BN509" t="s">
        <v>74</v>
      </c>
      <c r="BO509" t="s">
        <v>74</v>
      </c>
      <c r="BP509" t="s">
        <v>74</v>
      </c>
      <c r="BQ509" t="s">
        <v>74</v>
      </c>
      <c r="BR509" t="s">
        <v>101</v>
      </c>
      <c r="BS509" t="s">
        <v>9755</v>
      </c>
      <c r="BT509" t="str">
        <f>HYPERLINK("https%3A%2F%2Fwww.webofscience.com%2Fwos%2Fwoscc%2Ffull-record%2FWOS:000300864800002","View Full Record in Web of Science")</f>
        <v>View Full Record in Web of Science</v>
      </c>
    </row>
    <row r="510" spans="1:72" x14ac:dyDescent="0.15">
      <c r="A510" t="s">
        <v>72</v>
      </c>
      <c r="B510" t="s">
        <v>9756</v>
      </c>
      <c r="C510" t="s">
        <v>74</v>
      </c>
      <c r="D510" t="s">
        <v>74</v>
      </c>
      <c r="E510" t="s">
        <v>74</v>
      </c>
      <c r="F510" t="s">
        <v>9757</v>
      </c>
      <c r="G510" t="s">
        <v>74</v>
      </c>
      <c r="H510" t="s">
        <v>74</v>
      </c>
      <c r="I510" t="s">
        <v>9758</v>
      </c>
      <c r="J510" t="s">
        <v>9759</v>
      </c>
      <c r="K510" t="s">
        <v>74</v>
      </c>
      <c r="L510" t="s">
        <v>74</v>
      </c>
      <c r="M510" t="s">
        <v>78</v>
      </c>
      <c r="N510" t="s">
        <v>79</v>
      </c>
      <c r="O510" t="s">
        <v>74</v>
      </c>
      <c r="P510" t="s">
        <v>74</v>
      </c>
      <c r="Q510" t="s">
        <v>74</v>
      </c>
      <c r="R510" t="s">
        <v>74</v>
      </c>
      <c r="S510" t="s">
        <v>74</v>
      </c>
      <c r="T510" t="s">
        <v>9760</v>
      </c>
      <c r="U510" t="s">
        <v>9761</v>
      </c>
      <c r="V510" t="s">
        <v>9762</v>
      </c>
      <c r="W510" t="s">
        <v>9763</v>
      </c>
      <c r="X510" t="s">
        <v>9764</v>
      </c>
      <c r="Y510" t="s">
        <v>9765</v>
      </c>
      <c r="Z510" t="s">
        <v>9766</v>
      </c>
      <c r="AA510" t="s">
        <v>9767</v>
      </c>
      <c r="AB510" t="s">
        <v>9768</v>
      </c>
      <c r="AC510" t="s">
        <v>9769</v>
      </c>
      <c r="AD510" t="s">
        <v>9770</v>
      </c>
      <c r="AE510" t="s">
        <v>9771</v>
      </c>
      <c r="AF510" t="s">
        <v>74</v>
      </c>
      <c r="AG510">
        <v>86</v>
      </c>
      <c r="AH510">
        <v>11</v>
      </c>
      <c r="AI510">
        <v>12</v>
      </c>
      <c r="AJ510">
        <v>0</v>
      </c>
      <c r="AK510">
        <v>5</v>
      </c>
      <c r="AL510" t="s">
        <v>9772</v>
      </c>
      <c r="AM510" t="s">
        <v>9773</v>
      </c>
      <c r="AN510" t="s">
        <v>9774</v>
      </c>
      <c r="AO510" t="s">
        <v>9775</v>
      </c>
      <c r="AP510" t="s">
        <v>74</v>
      </c>
      <c r="AQ510" t="s">
        <v>74</v>
      </c>
      <c r="AR510" t="s">
        <v>9776</v>
      </c>
      <c r="AS510" t="s">
        <v>9777</v>
      </c>
      <c r="AT510" t="s">
        <v>9372</v>
      </c>
      <c r="AU510">
        <v>2012</v>
      </c>
      <c r="AV510">
        <v>31</v>
      </c>
      <c r="AW510" t="s">
        <v>74</v>
      </c>
      <c r="AX510">
        <v>1</v>
      </c>
      <c r="AY510" t="s">
        <v>74</v>
      </c>
      <c r="AZ510" t="s">
        <v>74</v>
      </c>
      <c r="BA510" t="s">
        <v>74</v>
      </c>
      <c r="BB510">
        <v>29</v>
      </c>
      <c r="BC510">
        <v>52</v>
      </c>
      <c r="BD510" t="s">
        <v>74</v>
      </c>
      <c r="BE510" t="s">
        <v>9778</v>
      </c>
      <c r="BF510" t="str">
        <f>HYPERLINK("http://dx.doi.org/10.1144/0262-821X10-026","http://dx.doi.org/10.1144/0262-821X10-026")</f>
        <v>http://dx.doi.org/10.1144/0262-821X10-026</v>
      </c>
      <c r="BG510" t="s">
        <v>74</v>
      </c>
      <c r="BH510" t="s">
        <v>74</v>
      </c>
      <c r="BI510">
        <v>24</v>
      </c>
      <c r="BJ510" t="s">
        <v>5138</v>
      </c>
      <c r="BK510" t="s">
        <v>99</v>
      </c>
      <c r="BL510" t="s">
        <v>5138</v>
      </c>
      <c r="BM510" t="s">
        <v>9779</v>
      </c>
      <c r="BN510" t="s">
        <v>74</v>
      </c>
      <c r="BO510" t="s">
        <v>1094</v>
      </c>
      <c r="BP510" t="s">
        <v>74</v>
      </c>
      <c r="BQ510" t="s">
        <v>74</v>
      </c>
      <c r="BR510" t="s">
        <v>101</v>
      </c>
      <c r="BS510" t="s">
        <v>9780</v>
      </c>
      <c r="BT510" t="str">
        <f>HYPERLINK("https%3A%2F%2Fwww.webofscience.com%2Fwos%2Fwoscc%2Ffull-record%2FWOS:000300616100002","View Full Record in Web of Science")</f>
        <v>View Full Record in Web of Science</v>
      </c>
    </row>
    <row r="511" spans="1:72" x14ac:dyDescent="0.15">
      <c r="A511" t="s">
        <v>72</v>
      </c>
      <c r="B511" t="s">
        <v>9781</v>
      </c>
      <c r="C511" t="s">
        <v>74</v>
      </c>
      <c r="D511" t="s">
        <v>74</v>
      </c>
      <c r="E511" t="s">
        <v>74</v>
      </c>
      <c r="F511" t="s">
        <v>9782</v>
      </c>
      <c r="G511" t="s">
        <v>74</v>
      </c>
      <c r="H511" t="s">
        <v>74</v>
      </c>
      <c r="I511" t="s">
        <v>9783</v>
      </c>
      <c r="J511" t="s">
        <v>9784</v>
      </c>
      <c r="K511" t="s">
        <v>74</v>
      </c>
      <c r="L511" t="s">
        <v>74</v>
      </c>
      <c r="M511" t="s">
        <v>78</v>
      </c>
      <c r="N511" t="s">
        <v>79</v>
      </c>
      <c r="O511" t="s">
        <v>74</v>
      </c>
      <c r="P511" t="s">
        <v>74</v>
      </c>
      <c r="Q511" t="s">
        <v>74</v>
      </c>
      <c r="R511" t="s">
        <v>74</v>
      </c>
      <c r="S511" t="s">
        <v>74</v>
      </c>
      <c r="T511" t="s">
        <v>9785</v>
      </c>
      <c r="U511" t="s">
        <v>9786</v>
      </c>
      <c r="V511" t="s">
        <v>9787</v>
      </c>
      <c r="W511" t="s">
        <v>9788</v>
      </c>
      <c r="X511" t="s">
        <v>9789</v>
      </c>
      <c r="Y511" t="s">
        <v>9790</v>
      </c>
      <c r="Z511" t="s">
        <v>9791</v>
      </c>
      <c r="AA511" t="s">
        <v>9792</v>
      </c>
      <c r="AB511" t="s">
        <v>9793</v>
      </c>
      <c r="AC511" t="s">
        <v>9794</v>
      </c>
      <c r="AD511" t="s">
        <v>9795</v>
      </c>
      <c r="AE511" t="s">
        <v>9796</v>
      </c>
      <c r="AF511" t="s">
        <v>74</v>
      </c>
      <c r="AG511">
        <v>24</v>
      </c>
      <c r="AH511">
        <v>15</v>
      </c>
      <c r="AI511">
        <v>17</v>
      </c>
      <c r="AJ511">
        <v>0</v>
      </c>
      <c r="AK511">
        <v>14</v>
      </c>
      <c r="AL511" t="s">
        <v>9797</v>
      </c>
      <c r="AM511" t="s">
        <v>1023</v>
      </c>
      <c r="AN511" t="s">
        <v>9798</v>
      </c>
      <c r="AO511" t="s">
        <v>9799</v>
      </c>
      <c r="AP511" t="s">
        <v>74</v>
      </c>
      <c r="AQ511" t="s">
        <v>74</v>
      </c>
      <c r="AR511" t="s">
        <v>9800</v>
      </c>
      <c r="AS511" t="s">
        <v>9801</v>
      </c>
      <c r="AT511" t="s">
        <v>9372</v>
      </c>
      <c r="AU511">
        <v>2012</v>
      </c>
      <c r="AV511">
        <v>263</v>
      </c>
      <c r="AW511">
        <v>2</v>
      </c>
      <c r="AX511" t="s">
        <v>74</v>
      </c>
      <c r="AY511" t="s">
        <v>74</v>
      </c>
      <c r="AZ511" t="s">
        <v>74</v>
      </c>
      <c r="BA511" t="s">
        <v>74</v>
      </c>
      <c r="BB511">
        <v>125</v>
      </c>
      <c r="BC511">
        <v>131</v>
      </c>
      <c r="BD511" t="s">
        <v>74</v>
      </c>
      <c r="BE511" t="s">
        <v>9802</v>
      </c>
      <c r="BF511" t="str">
        <f>HYPERLINK("http://dx.doi.org/10.1127/0077-7749/2012/0217","http://dx.doi.org/10.1127/0077-7749/2012/0217")</f>
        <v>http://dx.doi.org/10.1127/0077-7749/2012/0217</v>
      </c>
      <c r="BG511" t="s">
        <v>74</v>
      </c>
      <c r="BH511" t="s">
        <v>74</v>
      </c>
      <c r="BI511">
        <v>7</v>
      </c>
      <c r="BJ511" t="s">
        <v>5138</v>
      </c>
      <c r="BK511" t="s">
        <v>99</v>
      </c>
      <c r="BL511" t="s">
        <v>5138</v>
      </c>
      <c r="BM511" t="s">
        <v>9803</v>
      </c>
      <c r="BN511" t="s">
        <v>74</v>
      </c>
      <c r="BO511" t="s">
        <v>74</v>
      </c>
      <c r="BP511" t="s">
        <v>74</v>
      </c>
      <c r="BQ511" t="s">
        <v>74</v>
      </c>
      <c r="BR511" t="s">
        <v>101</v>
      </c>
      <c r="BS511" t="s">
        <v>9804</v>
      </c>
      <c r="BT511" t="str">
        <f>HYPERLINK("https%3A%2F%2Fwww.webofscience.com%2Fwos%2Fwoscc%2Ffull-record%2FWOS:000300605000004","View Full Record in Web of Science")</f>
        <v>View Full Record in Web of Science</v>
      </c>
    </row>
    <row r="512" spans="1:72" x14ac:dyDescent="0.15">
      <c r="A512" t="s">
        <v>72</v>
      </c>
      <c r="B512" t="s">
        <v>9805</v>
      </c>
      <c r="C512" t="s">
        <v>74</v>
      </c>
      <c r="D512" t="s">
        <v>74</v>
      </c>
      <c r="E512" t="s">
        <v>74</v>
      </c>
      <c r="F512" t="s">
        <v>9806</v>
      </c>
      <c r="G512" t="s">
        <v>74</v>
      </c>
      <c r="H512" t="s">
        <v>74</v>
      </c>
      <c r="I512" t="s">
        <v>9807</v>
      </c>
      <c r="J512" t="s">
        <v>9808</v>
      </c>
      <c r="K512" t="s">
        <v>74</v>
      </c>
      <c r="L512" t="s">
        <v>74</v>
      </c>
      <c r="M512" t="s">
        <v>78</v>
      </c>
      <c r="N512" t="s">
        <v>79</v>
      </c>
      <c r="O512" t="s">
        <v>74</v>
      </c>
      <c r="P512" t="s">
        <v>74</v>
      </c>
      <c r="Q512" t="s">
        <v>74</v>
      </c>
      <c r="R512" t="s">
        <v>74</v>
      </c>
      <c r="S512" t="s">
        <v>74</v>
      </c>
      <c r="T512" t="s">
        <v>9809</v>
      </c>
      <c r="U512" t="s">
        <v>9810</v>
      </c>
      <c r="V512" t="s">
        <v>9811</v>
      </c>
      <c r="W512" t="s">
        <v>9812</v>
      </c>
      <c r="X512" t="s">
        <v>9813</v>
      </c>
      <c r="Y512" t="s">
        <v>9814</v>
      </c>
      <c r="Z512" t="s">
        <v>9815</v>
      </c>
      <c r="AA512" t="s">
        <v>9816</v>
      </c>
      <c r="AB512" t="s">
        <v>9817</v>
      </c>
      <c r="AC512" t="s">
        <v>9818</v>
      </c>
      <c r="AD512" t="s">
        <v>9819</v>
      </c>
      <c r="AE512" t="s">
        <v>9820</v>
      </c>
      <c r="AF512" t="s">
        <v>74</v>
      </c>
      <c r="AG512">
        <v>64</v>
      </c>
      <c r="AH512">
        <v>20</v>
      </c>
      <c r="AI512">
        <v>21</v>
      </c>
      <c r="AJ512">
        <v>4</v>
      </c>
      <c r="AK512">
        <v>91</v>
      </c>
      <c r="AL512" t="s">
        <v>1595</v>
      </c>
      <c r="AM512" t="s">
        <v>278</v>
      </c>
      <c r="AN512" t="s">
        <v>1596</v>
      </c>
      <c r="AO512" t="s">
        <v>9821</v>
      </c>
      <c r="AP512" t="s">
        <v>74</v>
      </c>
      <c r="AQ512" t="s">
        <v>74</v>
      </c>
      <c r="AR512" t="s">
        <v>9822</v>
      </c>
      <c r="AS512" t="s">
        <v>9823</v>
      </c>
      <c r="AT512" t="s">
        <v>9372</v>
      </c>
      <c r="AU512">
        <v>2012</v>
      </c>
      <c r="AV512">
        <v>161</v>
      </c>
      <c r="AW512" t="s">
        <v>74</v>
      </c>
      <c r="AX512" t="s">
        <v>74</v>
      </c>
      <c r="AY512" t="s">
        <v>74</v>
      </c>
      <c r="AZ512" t="s">
        <v>74</v>
      </c>
      <c r="BA512" t="s">
        <v>74</v>
      </c>
      <c r="BB512">
        <v>143</v>
      </c>
      <c r="BC512">
        <v>153</v>
      </c>
      <c r="BD512" t="s">
        <v>74</v>
      </c>
      <c r="BE512" t="s">
        <v>9824</v>
      </c>
      <c r="BF512" t="str">
        <f>HYPERLINK("http://dx.doi.org/10.1016/j.envpol.2011.09.035","http://dx.doi.org/10.1016/j.envpol.2011.09.035")</f>
        <v>http://dx.doi.org/10.1016/j.envpol.2011.09.035</v>
      </c>
      <c r="BG512" t="s">
        <v>74</v>
      </c>
      <c r="BH512" t="s">
        <v>74</v>
      </c>
      <c r="BI512">
        <v>11</v>
      </c>
      <c r="BJ512" t="s">
        <v>1258</v>
      </c>
      <c r="BK512" t="s">
        <v>99</v>
      </c>
      <c r="BL512" t="s">
        <v>1259</v>
      </c>
      <c r="BM512" t="s">
        <v>9825</v>
      </c>
      <c r="BN512">
        <v>22230079</v>
      </c>
      <c r="BO512" t="s">
        <v>74</v>
      </c>
      <c r="BP512" t="s">
        <v>74</v>
      </c>
      <c r="BQ512" t="s">
        <v>74</v>
      </c>
      <c r="BR512" t="s">
        <v>101</v>
      </c>
      <c r="BS512" t="s">
        <v>9826</v>
      </c>
      <c r="BT512" t="str">
        <f>HYPERLINK("https%3A%2F%2Fwww.webofscience.com%2Fwos%2Fwoscc%2Ffull-record%2FWOS:000300539300020","View Full Record in Web of Science")</f>
        <v>View Full Record in Web of Science</v>
      </c>
    </row>
    <row r="513" spans="1:72" x14ac:dyDescent="0.15">
      <c r="A513" t="s">
        <v>72</v>
      </c>
      <c r="B513" t="s">
        <v>9827</v>
      </c>
      <c r="C513" t="s">
        <v>74</v>
      </c>
      <c r="D513" t="s">
        <v>74</v>
      </c>
      <c r="E513" t="s">
        <v>74</v>
      </c>
      <c r="F513" t="s">
        <v>9828</v>
      </c>
      <c r="G513" t="s">
        <v>74</v>
      </c>
      <c r="H513" t="s">
        <v>74</v>
      </c>
      <c r="I513" t="s">
        <v>9829</v>
      </c>
      <c r="J513" t="s">
        <v>1151</v>
      </c>
      <c r="K513" t="s">
        <v>74</v>
      </c>
      <c r="L513" t="s">
        <v>74</v>
      </c>
      <c r="M513" t="s">
        <v>78</v>
      </c>
      <c r="N513" t="s">
        <v>79</v>
      </c>
      <c r="O513" t="s">
        <v>74</v>
      </c>
      <c r="P513" t="s">
        <v>74</v>
      </c>
      <c r="Q513" t="s">
        <v>74</v>
      </c>
      <c r="R513" t="s">
        <v>74</v>
      </c>
      <c r="S513" t="s">
        <v>74</v>
      </c>
      <c r="T513" t="s">
        <v>74</v>
      </c>
      <c r="U513" t="s">
        <v>9830</v>
      </c>
      <c r="V513" t="s">
        <v>9831</v>
      </c>
      <c r="W513" t="s">
        <v>9832</v>
      </c>
      <c r="X513" t="s">
        <v>9833</v>
      </c>
      <c r="Y513" t="s">
        <v>9834</v>
      </c>
      <c r="Z513" t="s">
        <v>9835</v>
      </c>
      <c r="AA513" t="s">
        <v>9836</v>
      </c>
      <c r="AB513" t="s">
        <v>9837</v>
      </c>
      <c r="AC513" t="s">
        <v>9838</v>
      </c>
      <c r="AD513" t="s">
        <v>9839</v>
      </c>
      <c r="AE513" t="s">
        <v>9840</v>
      </c>
      <c r="AF513" t="s">
        <v>74</v>
      </c>
      <c r="AG513">
        <v>64</v>
      </c>
      <c r="AH513">
        <v>122</v>
      </c>
      <c r="AI513">
        <v>127</v>
      </c>
      <c r="AJ513">
        <v>1</v>
      </c>
      <c r="AK513">
        <v>34</v>
      </c>
      <c r="AL513" t="s">
        <v>997</v>
      </c>
      <c r="AM513" t="s">
        <v>998</v>
      </c>
      <c r="AN513" t="s">
        <v>999</v>
      </c>
      <c r="AO513" t="s">
        <v>1163</v>
      </c>
      <c r="AP513" t="s">
        <v>1164</v>
      </c>
      <c r="AQ513" t="s">
        <v>74</v>
      </c>
      <c r="AR513" t="s">
        <v>1165</v>
      </c>
      <c r="AS513" t="s">
        <v>1166</v>
      </c>
      <c r="AT513" t="s">
        <v>9372</v>
      </c>
      <c r="AU513">
        <v>2012</v>
      </c>
      <c r="AV513">
        <v>25</v>
      </c>
      <c r="AW513">
        <v>4</v>
      </c>
      <c r="AX513" t="s">
        <v>74</v>
      </c>
      <c r="AY513" t="s">
        <v>74</v>
      </c>
      <c r="AZ513" t="s">
        <v>74</v>
      </c>
      <c r="BA513" t="s">
        <v>74</v>
      </c>
      <c r="BB513">
        <v>1137</v>
      </c>
      <c r="BC513">
        <v>1156</v>
      </c>
      <c r="BD513" t="s">
        <v>74</v>
      </c>
      <c r="BE513" t="s">
        <v>9841</v>
      </c>
      <c r="BF513" t="str">
        <f>HYPERLINK("http://dx.doi.org/10.1175/JCLI-D-10-05032.1","http://dx.doi.org/10.1175/JCLI-D-10-05032.1")</f>
        <v>http://dx.doi.org/10.1175/JCLI-D-10-05032.1</v>
      </c>
      <c r="BG513" t="s">
        <v>74</v>
      </c>
      <c r="BH513" t="s">
        <v>74</v>
      </c>
      <c r="BI513">
        <v>20</v>
      </c>
      <c r="BJ513" t="s">
        <v>128</v>
      </c>
      <c r="BK513" t="s">
        <v>99</v>
      </c>
      <c r="BL513" t="s">
        <v>128</v>
      </c>
      <c r="BM513" t="s">
        <v>9842</v>
      </c>
      <c r="BN513" t="s">
        <v>74</v>
      </c>
      <c r="BO513" t="s">
        <v>308</v>
      </c>
      <c r="BP513" t="s">
        <v>74</v>
      </c>
      <c r="BQ513" t="s">
        <v>74</v>
      </c>
      <c r="BR513" t="s">
        <v>101</v>
      </c>
      <c r="BS513" t="s">
        <v>9843</v>
      </c>
      <c r="BT513" t="str">
        <f>HYPERLINK("https%3A%2F%2Fwww.webofscience.com%2Fwos%2Fwoscc%2Ffull-record%2FWOS:000300418500005","View Full Record in Web of Science")</f>
        <v>View Full Record in Web of Science</v>
      </c>
    </row>
    <row r="514" spans="1:72" x14ac:dyDescent="0.15">
      <c r="A514" t="s">
        <v>72</v>
      </c>
      <c r="B514" t="s">
        <v>9844</v>
      </c>
      <c r="C514" t="s">
        <v>74</v>
      </c>
      <c r="D514" t="s">
        <v>74</v>
      </c>
      <c r="E514" t="s">
        <v>74</v>
      </c>
      <c r="F514" t="s">
        <v>9845</v>
      </c>
      <c r="G514" t="s">
        <v>74</v>
      </c>
      <c r="H514" t="s">
        <v>74</v>
      </c>
      <c r="I514" t="s">
        <v>9846</v>
      </c>
      <c r="J514" t="s">
        <v>1151</v>
      </c>
      <c r="K514" t="s">
        <v>74</v>
      </c>
      <c r="L514" t="s">
        <v>74</v>
      </c>
      <c r="M514" t="s">
        <v>78</v>
      </c>
      <c r="N514" t="s">
        <v>79</v>
      </c>
      <c r="O514" t="s">
        <v>74</v>
      </c>
      <c r="P514" t="s">
        <v>74</v>
      </c>
      <c r="Q514" t="s">
        <v>74</v>
      </c>
      <c r="R514" t="s">
        <v>74</v>
      </c>
      <c r="S514" t="s">
        <v>74</v>
      </c>
      <c r="T514" t="s">
        <v>74</v>
      </c>
      <c r="U514" t="s">
        <v>9847</v>
      </c>
      <c r="V514" t="s">
        <v>9848</v>
      </c>
      <c r="W514" t="s">
        <v>9849</v>
      </c>
      <c r="X514" t="s">
        <v>9850</v>
      </c>
      <c r="Y514" t="s">
        <v>9851</v>
      </c>
      <c r="Z514" t="s">
        <v>9852</v>
      </c>
      <c r="AA514" t="s">
        <v>9853</v>
      </c>
      <c r="AB514" t="s">
        <v>9854</v>
      </c>
      <c r="AC514" t="s">
        <v>9855</v>
      </c>
      <c r="AD514" t="s">
        <v>9856</v>
      </c>
      <c r="AE514" t="s">
        <v>9857</v>
      </c>
      <c r="AF514" t="s">
        <v>74</v>
      </c>
      <c r="AG514">
        <v>23</v>
      </c>
      <c r="AH514">
        <v>9</v>
      </c>
      <c r="AI514">
        <v>10</v>
      </c>
      <c r="AJ514">
        <v>0</v>
      </c>
      <c r="AK514">
        <v>4</v>
      </c>
      <c r="AL514" t="s">
        <v>997</v>
      </c>
      <c r="AM514" t="s">
        <v>998</v>
      </c>
      <c r="AN514" t="s">
        <v>999</v>
      </c>
      <c r="AO514" t="s">
        <v>1163</v>
      </c>
      <c r="AP514" t="s">
        <v>1164</v>
      </c>
      <c r="AQ514" t="s">
        <v>74</v>
      </c>
      <c r="AR514" t="s">
        <v>1165</v>
      </c>
      <c r="AS514" t="s">
        <v>1166</v>
      </c>
      <c r="AT514" t="s">
        <v>9372</v>
      </c>
      <c r="AU514">
        <v>2012</v>
      </c>
      <c r="AV514">
        <v>25</v>
      </c>
      <c r="AW514">
        <v>4</v>
      </c>
      <c r="AX514" t="s">
        <v>74</v>
      </c>
      <c r="AY514" t="s">
        <v>74</v>
      </c>
      <c r="AZ514" t="s">
        <v>74</v>
      </c>
      <c r="BA514" t="s">
        <v>74</v>
      </c>
      <c r="BB514">
        <v>1349</v>
      </c>
      <c r="BC514">
        <v>1356</v>
      </c>
      <c r="BD514" t="s">
        <v>74</v>
      </c>
      <c r="BE514" t="s">
        <v>9858</v>
      </c>
      <c r="BF514" t="str">
        <f>HYPERLINK("http://dx.doi.org/10.1175/JCLI-D-11-00040.1","http://dx.doi.org/10.1175/JCLI-D-11-00040.1")</f>
        <v>http://dx.doi.org/10.1175/JCLI-D-11-00040.1</v>
      </c>
      <c r="BG514" t="s">
        <v>74</v>
      </c>
      <c r="BH514" t="s">
        <v>74</v>
      </c>
      <c r="BI514">
        <v>8</v>
      </c>
      <c r="BJ514" t="s">
        <v>128</v>
      </c>
      <c r="BK514" t="s">
        <v>99</v>
      </c>
      <c r="BL514" t="s">
        <v>128</v>
      </c>
      <c r="BM514" t="s">
        <v>9842</v>
      </c>
      <c r="BN514" t="s">
        <v>74</v>
      </c>
      <c r="BO514" t="s">
        <v>217</v>
      </c>
      <c r="BP514" t="s">
        <v>74</v>
      </c>
      <c r="BQ514" t="s">
        <v>74</v>
      </c>
      <c r="BR514" t="s">
        <v>101</v>
      </c>
      <c r="BS514" t="s">
        <v>9859</v>
      </c>
      <c r="BT514" t="str">
        <f>HYPERLINK("https%3A%2F%2Fwww.webofscience.com%2Fwos%2Fwoscc%2Ffull-record%2FWOS:000300418500019","View Full Record in Web of Science")</f>
        <v>View Full Record in Web of Science</v>
      </c>
    </row>
    <row r="515" spans="1:72" x14ac:dyDescent="0.15">
      <c r="A515" t="s">
        <v>72</v>
      </c>
      <c r="B515" t="s">
        <v>9860</v>
      </c>
      <c r="C515" t="s">
        <v>74</v>
      </c>
      <c r="D515" t="s">
        <v>74</v>
      </c>
      <c r="E515" t="s">
        <v>74</v>
      </c>
      <c r="F515" t="s">
        <v>9861</v>
      </c>
      <c r="G515" t="s">
        <v>74</v>
      </c>
      <c r="H515" t="s">
        <v>74</v>
      </c>
      <c r="I515" t="s">
        <v>9862</v>
      </c>
      <c r="J515" t="s">
        <v>4266</v>
      </c>
      <c r="K515" t="s">
        <v>74</v>
      </c>
      <c r="L515" t="s">
        <v>74</v>
      </c>
      <c r="M515" t="s">
        <v>78</v>
      </c>
      <c r="N515" t="s">
        <v>79</v>
      </c>
      <c r="O515" t="s">
        <v>74</v>
      </c>
      <c r="P515" t="s">
        <v>74</v>
      </c>
      <c r="Q515" t="s">
        <v>74</v>
      </c>
      <c r="R515" t="s">
        <v>74</v>
      </c>
      <c r="S515" t="s">
        <v>74</v>
      </c>
      <c r="T515" t="s">
        <v>74</v>
      </c>
      <c r="U515" t="s">
        <v>9863</v>
      </c>
      <c r="V515" t="s">
        <v>9864</v>
      </c>
      <c r="W515" t="s">
        <v>9865</v>
      </c>
      <c r="X515" t="s">
        <v>9866</v>
      </c>
      <c r="Y515" t="s">
        <v>9867</v>
      </c>
      <c r="Z515" t="s">
        <v>9868</v>
      </c>
      <c r="AA515" t="s">
        <v>9869</v>
      </c>
      <c r="AB515" t="s">
        <v>9870</v>
      </c>
      <c r="AC515" t="s">
        <v>9871</v>
      </c>
      <c r="AD515" t="s">
        <v>9872</v>
      </c>
      <c r="AE515" t="s">
        <v>9873</v>
      </c>
      <c r="AF515" t="s">
        <v>74</v>
      </c>
      <c r="AG515">
        <v>40</v>
      </c>
      <c r="AH515">
        <v>33</v>
      </c>
      <c r="AI515">
        <v>33</v>
      </c>
      <c r="AJ515">
        <v>0</v>
      </c>
      <c r="AK515">
        <v>13</v>
      </c>
      <c r="AL515" t="s">
        <v>997</v>
      </c>
      <c r="AM515" t="s">
        <v>998</v>
      </c>
      <c r="AN515" t="s">
        <v>999</v>
      </c>
      <c r="AO515" t="s">
        <v>4278</v>
      </c>
      <c r="AP515" t="s">
        <v>74</v>
      </c>
      <c r="AQ515" t="s">
        <v>74</v>
      </c>
      <c r="AR515" t="s">
        <v>4280</v>
      </c>
      <c r="AS515" t="s">
        <v>4281</v>
      </c>
      <c r="AT515" t="s">
        <v>9372</v>
      </c>
      <c r="AU515">
        <v>2012</v>
      </c>
      <c r="AV515">
        <v>69</v>
      </c>
      <c r="AW515">
        <v>2</v>
      </c>
      <c r="AX515" t="s">
        <v>74</v>
      </c>
      <c r="AY515" t="s">
        <v>74</v>
      </c>
      <c r="AZ515" t="s">
        <v>74</v>
      </c>
      <c r="BA515" t="s">
        <v>74</v>
      </c>
      <c r="BB515">
        <v>741</v>
      </c>
      <c r="BC515">
        <v>752</v>
      </c>
      <c r="BD515" t="s">
        <v>74</v>
      </c>
      <c r="BE515" t="s">
        <v>9874</v>
      </c>
      <c r="BF515" t="str">
        <f>HYPERLINK("http://dx.doi.org/10.1175/JAS-D-11-0142.1","http://dx.doi.org/10.1175/JAS-D-11-0142.1")</f>
        <v>http://dx.doi.org/10.1175/JAS-D-11-0142.1</v>
      </c>
      <c r="BG515" t="s">
        <v>74</v>
      </c>
      <c r="BH515" t="s">
        <v>74</v>
      </c>
      <c r="BI515">
        <v>12</v>
      </c>
      <c r="BJ515" t="s">
        <v>128</v>
      </c>
      <c r="BK515" t="s">
        <v>99</v>
      </c>
      <c r="BL515" t="s">
        <v>128</v>
      </c>
      <c r="BM515" t="s">
        <v>9875</v>
      </c>
      <c r="BN515" t="s">
        <v>74</v>
      </c>
      <c r="BO515" t="s">
        <v>217</v>
      </c>
      <c r="BP515" t="s">
        <v>74</v>
      </c>
      <c r="BQ515" t="s">
        <v>74</v>
      </c>
      <c r="BR515" t="s">
        <v>101</v>
      </c>
      <c r="BS515" t="s">
        <v>9876</v>
      </c>
      <c r="BT515" t="str">
        <f>HYPERLINK("https%3A%2F%2Fwww.webofscience.com%2Fwos%2Fwoscc%2Ffull-record%2FWOS:000299800700020","View Full Record in Web of Science")</f>
        <v>View Full Record in Web of Science</v>
      </c>
    </row>
    <row r="516" spans="1:72" x14ac:dyDescent="0.15">
      <c r="A516" t="s">
        <v>72</v>
      </c>
      <c r="B516" t="s">
        <v>9877</v>
      </c>
      <c r="C516" t="s">
        <v>74</v>
      </c>
      <c r="D516" t="s">
        <v>74</v>
      </c>
      <c r="E516" t="s">
        <v>74</v>
      </c>
      <c r="F516" t="s">
        <v>9878</v>
      </c>
      <c r="G516" t="s">
        <v>74</v>
      </c>
      <c r="H516" t="s">
        <v>74</v>
      </c>
      <c r="I516" t="s">
        <v>9879</v>
      </c>
      <c r="J516" t="s">
        <v>9880</v>
      </c>
      <c r="K516" t="s">
        <v>74</v>
      </c>
      <c r="L516" t="s">
        <v>74</v>
      </c>
      <c r="M516" t="s">
        <v>78</v>
      </c>
      <c r="N516" t="s">
        <v>79</v>
      </c>
      <c r="O516" t="s">
        <v>74</v>
      </c>
      <c r="P516" t="s">
        <v>74</v>
      </c>
      <c r="Q516" t="s">
        <v>74</v>
      </c>
      <c r="R516" t="s">
        <v>74</v>
      </c>
      <c r="S516" t="s">
        <v>74</v>
      </c>
      <c r="T516" t="s">
        <v>9881</v>
      </c>
      <c r="U516" t="s">
        <v>9882</v>
      </c>
      <c r="V516" t="s">
        <v>9883</v>
      </c>
      <c r="W516" t="s">
        <v>9884</v>
      </c>
      <c r="X516" t="s">
        <v>9885</v>
      </c>
      <c r="Y516" t="s">
        <v>9886</v>
      </c>
      <c r="Z516" t="s">
        <v>9887</v>
      </c>
      <c r="AA516" t="s">
        <v>9888</v>
      </c>
      <c r="AB516" t="s">
        <v>9889</v>
      </c>
      <c r="AC516" t="s">
        <v>9890</v>
      </c>
      <c r="AD516" t="s">
        <v>9891</v>
      </c>
      <c r="AE516" t="s">
        <v>9892</v>
      </c>
      <c r="AF516" t="s">
        <v>74</v>
      </c>
      <c r="AG516">
        <v>38</v>
      </c>
      <c r="AH516">
        <v>11</v>
      </c>
      <c r="AI516">
        <v>12</v>
      </c>
      <c r="AJ516">
        <v>1</v>
      </c>
      <c r="AK516">
        <v>21</v>
      </c>
      <c r="AL516" t="s">
        <v>935</v>
      </c>
      <c r="AM516" t="s">
        <v>369</v>
      </c>
      <c r="AN516" t="s">
        <v>936</v>
      </c>
      <c r="AO516" t="s">
        <v>9893</v>
      </c>
      <c r="AP516" t="s">
        <v>9894</v>
      </c>
      <c r="AQ516" t="s">
        <v>74</v>
      </c>
      <c r="AR516" t="s">
        <v>9895</v>
      </c>
      <c r="AS516" t="s">
        <v>9896</v>
      </c>
      <c r="AT516" t="s">
        <v>9372</v>
      </c>
      <c r="AU516">
        <v>2012</v>
      </c>
      <c r="AV516">
        <v>143</v>
      </c>
      <c r="AW516" t="s">
        <v>9897</v>
      </c>
      <c r="AX516" t="s">
        <v>74</v>
      </c>
      <c r="AY516" t="s">
        <v>74</v>
      </c>
      <c r="AZ516" t="s">
        <v>74</v>
      </c>
      <c r="BA516" t="s">
        <v>74</v>
      </c>
      <c r="BB516">
        <v>293</v>
      </c>
      <c r="BC516">
        <v>299</v>
      </c>
      <c r="BD516" t="s">
        <v>74</v>
      </c>
      <c r="BE516" t="s">
        <v>9898</v>
      </c>
      <c r="BF516" t="str">
        <f>HYPERLINK("http://dx.doi.org/10.1016/j.livsci.2011.10.009","http://dx.doi.org/10.1016/j.livsci.2011.10.009")</f>
        <v>http://dx.doi.org/10.1016/j.livsci.2011.10.009</v>
      </c>
      <c r="BG516" t="s">
        <v>74</v>
      </c>
      <c r="BH516" t="s">
        <v>74</v>
      </c>
      <c r="BI516">
        <v>7</v>
      </c>
      <c r="BJ516" t="s">
        <v>9899</v>
      </c>
      <c r="BK516" t="s">
        <v>99</v>
      </c>
      <c r="BL516" t="s">
        <v>4693</v>
      </c>
      <c r="BM516" t="s">
        <v>9900</v>
      </c>
      <c r="BN516" t="s">
        <v>74</v>
      </c>
      <c r="BO516" t="s">
        <v>2812</v>
      </c>
      <c r="BP516" t="s">
        <v>74</v>
      </c>
      <c r="BQ516" t="s">
        <v>74</v>
      </c>
      <c r="BR516" t="s">
        <v>101</v>
      </c>
      <c r="BS516" t="s">
        <v>9901</v>
      </c>
      <c r="BT516" t="str">
        <f>HYPERLINK("https%3A%2F%2Fwww.webofscience.com%2Fwos%2Fwoscc%2Ffull-record%2FWOS:000300070500024","View Full Record in Web of Science")</f>
        <v>View Full Record in Web of Science</v>
      </c>
    </row>
    <row r="517" spans="1:72" x14ac:dyDescent="0.15">
      <c r="A517" t="s">
        <v>72</v>
      </c>
      <c r="B517" t="s">
        <v>9902</v>
      </c>
      <c r="C517" t="s">
        <v>74</v>
      </c>
      <c r="D517" t="s">
        <v>74</v>
      </c>
      <c r="E517" t="s">
        <v>74</v>
      </c>
      <c r="F517" t="s">
        <v>9903</v>
      </c>
      <c r="G517" t="s">
        <v>74</v>
      </c>
      <c r="H517" t="s">
        <v>74</v>
      </c>
      <c r="I517" t="s">
        <v>9904</v>
      </c>
      <c r="J517" t="s">
        <v>9905</v>
      </c>
      <c r="K517" t="s">
        <v>74</v>
      </c>
      <c r="L517" t="s">
        <v>74</v>
      </c>
      <c r="M517" t="s">
        <v>78</v>
      </c>
      <c r="N517" t="s">
        <v>79</v>
      </c>
      <c r="O517" t="s">
        <v>74</v>
      </c>
      <c r="P517" t="s">
        <v>74</v>
      </c>
      <c r="Q517" t="s">
        <v>74</v>
      </c>
      <c r="R517" t="s">
        <v>74</v>
      </c>
      <c r="S517" t="s">
        <v>74</v>
      </c>
      <c r="T517" t="s">
        <v>9906</v>
      </c>
      <c r="U517" t="s">
        <v>9907</v>
      </c>
      <c r="V517" t="s">
        <v>9908</v>
      </c>
      <c r="W517" t="s">
        <v>9909</v>
      </c>
      <c r="X517" t="s">
        <v>9910</v>
      </c>
      <c r="Y517" t="s">
        <v>9911</v>
      </c>
      <c r="Z517" t="s">
        <v>9912</v>
      </c>
      <c r="AA517" t="s">
        <v>9913</v>
      </c>
      <c r="AB517" t="s">
        <v>9914</v>
      </c>
      <c r="AC517" t="s">
        <v>9915</v>
      </c>
      <c r="AD517" t="s">
        <v>9916</v>
      </c>
      <c r="AE517" t="s">
        <v>9917</v>
      </c>
      <c r="AF517" t="s">
        <v>74</v>
      </c>
      <c r="AG517">
        <v>47</v>
      </c>
      <c r="AH517">
        <v>11</v>
      </c>
      <c r="AI517">
        <v>11</v>
      </c>
      <c r="AJ517">
        <v>0</v>
      </c>
      <c r="AK517">
        <v>51</v>
      </c>
      <c r="AL517" t="s">
        <v>9918</v>
      </c>
      <c r="AM517" t="s">
        <v>9919</v>
      </c>
      <c r="AN517" t="s">
        <v>9920</v>
      </c>
      <c r="AO517" t="s">
        <v>9921</v>
      </c>
      <c r="AP517" t="s">
        <v>74</v>
      </c>
      <c r="AQ517" t="s">
        <v>74</v>
      </c>
      <c r="AR517" t="s">
        <v>9922</v>
      </c>
      <c r="AS517" t="s">
        <v>9923</v>
      </c>
      <c r="AT517" t="s">
        <v>9372</v>
      </c>
      <c r="AU517">
        <v>2012</v>
      </c>
      <c r="AV517">
        <v>21</v>
      </c>
      <c r="AW517">
        <v>1</v>
      </c>
      <c r="AX517" t="s">
        <v>74</v>
      </c>
      <c r="AY517" t="s">
        <v>74</v>
      </c>
      <c r="AZ517" t="s">
        <v>74</v>
      </c>
      <c r="BA517" t="s">
        <v>74</v>
      </c>
      <c r="BB517">
        <v>101</v>
      </c>
      <c r="BC517">
        <v>111</v>
      </c>
      <c r="BD517" t="s">
        <v>74</v>
      </c>
      <c r="BE517" t="s">
        <v>9924</v>
      </c>
      <c r="BF517" t="str">
        <f>HYPERLINK("http://dx.doi.org/10.7120/096272812799129493","http://dx.doi.org/10.7120/096272812799129493")</f>
        <v>http://dx.doi.org/10.7120/096272812799129493</v>
      </c>
      <c r="BG517" t="s">
        <v>74</v>
      </c>
      <c r="BH517" t="s">
        <v>74</v>
      </c>
      <c r="BI517">
        <v>11</v>
      </c>
      <c r="BJ517" t="s">
        <v>9925</v>
      </c>
      <c r="BK517" t="s">
        <v>99</v>
      </c>
      <c r="BL517" t="s">
        <v>9925</v>
      </c>
      <c r="BM517" t="s">
        <v>9926</v>
      </c>
      <c r="BN517" t="s">
        <v>74</v>
      </c>
      <c r="BO517" t="s">
        <v>74</v>
      </c>
      <c r="BP517" t="s">
        <v>74</v>
      </c>
      <c r="BQ517" t="s">
        <v>74</v>
      </c>
      <c r="BR517" t="s">
        <v>101</v>
      </c>
      <c r="BS517" t="s">
        <v>9927</v>
      </c>
      <c r="BT517" t="str">
        <f>HYPERLINK("https%3A%2F%2Fwww.webofscience.com%2Fwos%2Fwoscc%2Ffull-record%2FWOS:000299905700012","View Full Record in Web of Science")</f>
        <v>View Full Record in Web of Science</v>
      </c>
    </row>
    <row r="518" spans="1:72" x14ac:dyDescent="0.15">
      <c r="A518" t="s">
        <v>72</v>
      </c>
      <c r="B518" t="s">
        <v>9928</v>
      </c>
      <c r="C518" t="s">
        <v>74</v>
      </c>
      <c r="D518" t="s">
        <v>74</v>
      </c>
      <c r="E518" t="s">
        <v>74</v>
      </c>
      <c r="F518" t="s">
        <v>9929</v>
      </c>
      <c r="G518" t="s">
        <v>74</v>
      </c>
      <c r="H518" t="s">
        <v>74</v>
      </c>
      <c r="I518" t="s">
        <v>9930</v>
      </c>
      <c r="J518" t="s">
        <v>4738</v>
      </c>
      <c r="K518" t="s">
        <v>74</v>
      </c>
      <c r="L518" t="s">
        <v>74</v>
      </c>
      <c r="M518" t="s">
        <v>78</v>
      </c>
      <c r="N518" t="s">
        <v>79</v>
      </c>
      <c r="O518" t="s">
        <v>74</v>
      </c>
      <c r="P518" t="s">
        <v>74</v>
      </c>
      <c r="Q518" t="s">
        <v>74</v>
      </c>
      <c r="R518" t="s">
        <v>74</v>
      </c>
      <c r="S518" t="s">
        <v>74</v>
      </c>
      <c r="T518" t="s">
        <v>9931</v>
      </c>
      <c r="U518" t="s">
        <v>9932</v>
      </c>
      <c r="V518" t="s">
        <v>9933</v>
      </c>
      <c r="W518" t="s">
        <v>9934</v>
      </c>
      <c r="X518" t="s">
        <v>9935</v>
      </c>
      <c r="Y518" t="s">
        <v>9936</v>
      </c>
      <c r="Z518" t="s">
        <v>9937</v>
      </c>
      <c r="AA518" t="s">
        <v>74</v>
      </c>
      <c r="AB518" t="s">
        <v>9938</v>
      </c>
      <c r="AC518" t="s">
        <v>74</v>
      </c>
      <c r="AD518" t="s">
        <v>74</v>
      </c>
      <c r="AE518" t="s">
        <v>74</v>
      </c>
      <c r="AF518" t="s">
        <v>74</v>
      </c>
      <c r="AG518">
        <v>51</v>
      </c>
      <c r="AH518">
        <v>19</v>
      </c>
      <c r="AI518">
        <v>19</v>
      </c>
      <c r="AJ518">
        <v>0</v>
      </c>
      <c r="AK518">
        <v>17</v>
      </c>
      <c r="AL518" t="s">
        <v>655</v>
      </c>
      <c r="AM518" t="s">
        <v>656</v>
      </c>
      <c r="AN518" t="s">
        <v>657</v>
      </c>
      <c r="AO518" t="s">
        <v>4750</v>
      </c>
      <c r="AP518" t="s">
        <v>4751</v>
      </c>
      <c r="AQ518" t="s">
        <v>74</v>
      </c>
      <c r="AR518" t="s">
        <v>4752</v>
      </c>
      <c r="AS518" t="s">
        <v>4753</v>
      </c>
      <c r="AT518" t="s">
        <v>9372</v>
      </c>
      <c r="AU518">
        <v>2012</v>
      </c>
      <c r="AV518">
        <v>38</v>
      </c>
      <c r="AW518" t="s">
        <v>374</v>
      </c>
      <c r="AX518" t="s">
        <v>74</v>
      </c>
      <c r="AY518" t="s">
        <v>74</v>
      </c>
      <c r="AZ518" t="s">
        <v>74</v>
      </c>
      <c r="BA518" t="s">
        <v>74</v>
      </c>
      <c r="BB518">
        <v>547</v>
      </c>
      <c r="BC518">
        <v>562</v>
      </c>
      <c r="BD518" t="s">
        <v>74</v>
      </c>
      <c r="BE518" t="s">
        <v>9939</v>
      </c>
      <c r="BF518" t="str">
        <f>HYPERLINK("http://dx.doi.org/10.1007/s00382-010-0957-1","http://dx.doi.org/10.1007/s00382-010-0957-1")</f>
        <v>http://dx.doi.org/10.1007/s00382-010-0957-1</v>
      </c>
      <c r="BG518" t="s">
        <v>74</v>
      </c>
      <c r="BH518" t="s">
        <v>74</v>
      </c>
      <c r="BI518">
        <v>16</v>
      </c>
      <c r="BJ518" t="s">
        <v>128</v>
      </c>
      <c r="BK518" t="s">
        <v>99</v>
      </c>
      <c r="BL518" t="s">
        <v>128</v>
      </c>
      <c r="BM518" t="s">
        <v>9940</v>
      </c>
      <c r="BN518" t="s">
        <v>74</v>
      </c>
      <c r="BO518" t="s">
        <v>74</v>
      </c>
      <c r="BP518" t="s">
        <v>74</v>
      </c>
      <c r="BQ518" t="s">
        <v>74</v>
      </c>
      <c r="BR518" t="s">
        <v>101</v>
      </c>
      <c r="BS518" t="s">
        <v>9941</v>
      </c>
      <c r="BT518" t="str">
        <f>HYPERLINK("https%3A%2F%2Fwww.webofscience.com%2Fwos%2Fwoscc%2Ffull-record%2FWOS:000299899300007","View Full Record in Web of Science")</f>
        <v>View Full Record in Web of Science</v>
      </c>
    </row>
    <row r="519" spans="1:72" x14ac:dyDescent="0.15">
      <c r="A519" t="s">
        <v>72</v>
      </c>
      <c r="B519" t="s">
        <v>9942</v>
      </c>
      <c r="C519" t="s">
        <v>74</v>
      </c>
      <c r="D519" t="s">
        <v>74</v>
      </c>
      <c r="E519" t="s">
        <v>74</v>
      </c>
      <c r="F519" t="s">
        <v>9943</v>
      </c>
      <c r="G519" t="s">
        <v>74</v>
      </c>
      <c r="H519" t="s">
        <v>74</v>
      </c>
      <c r="I519" t="s">
        <v>9944</v>
      </c>
      <c r="J519" t="s">
        <v>1812</v>
      </c>
      <c r="K519" t="s">
        <v>74</v>
      </c>
      <c r="L519" t="s">
        <v>74</v>
      </c>
      <c r="M519" t="s">
        <v>78</v>
      </c>
      <c r="N519" t="s">
        <v>79</v>
      </c>
      <c r="O519" t="s">
        <v>74</v>
      </c>
      <c r="P519" t="s">
        <v>74</v>
      </c>
      <c r="Q519" t="s">
        <v>74</v>
      </c>
      <c r="R519" t="s">
        <v>74</v>
      </c>
      <c r="S519" t="s">
        <v>74</v>
      </c>
      <c r="T519" t="s">
        <v>9945</v>
      </c>
      <c r="U519" t="s">
        <v>9946</v>
      </c>
      <c r="V519" t="s">
        <v>9947</v>
      </c>
      <c r="W519" t="s">
        <v>9948</v>
      </c>
      <c r="X519" t="s">
        <v>9949</v>
      </c>
      <c r="Y519" t="s">
        <v>9950</v>
      </c>
      <c r="Z519" t="s">
        <v>9951</v>
      </c>
      <c r="AA519" t="s">
        <v>74</v>
      </c>
      <c r="AB519" t="s">
        <v>9952</v>
      </c>
      <c r="AC519" t="s">
        <v>9953</v>
      </c>
      <c r="AD519" t="s">
        <v>9954</v>
      </c>
      <c r="AE519" t="s">
        <v>9955</v>
      </c>
      <c r="AF519" t="s">
        <v>74</v>
      </c>
      <c r="AG519">
        <v>48</v>
      </c>
      <c r="AH519">
        <v>30</v>
      </c>
      <c r="AI519">
        <v>32</v>
      </c>
      <c r="AJ519">
        <v>1</v>
      </c>
      <c r="AK519">
        <v>53</v>
      </c>
      <c r="AL519" t="s">
        <v>1548</v>
      </c>
      <c r="AM519" t="s">
        <v>656</v>
      </c>
      <c r="AN519" t="s">
        <v>1549</v>
      </c>
      <c r="AO519" t="s">
        <v>1824</v>
      </c>
      <c r="AP519" t="s">
        <v>1825</v>
      </c>
      <c r="AQ519" t="s">
        <v>74</v>
      </c>
      <c r="AR519" t="s">
        <v>1826</v>
      </c>
      <c r="AS519" t="s">
        <v>1827</v>
      </c>
      <c r="AT519" t="s">
        <v>9372</v>
      </c>
      <c r="AU519">
        <v>2012</v>
      </c>
      <c r="AV519">
        <v>161</v>
      </c>
      <c r="AW519">
        <v>2</v>
      </c>
      <c r="AX519" t="s">
        <v>74</v>
      </c>
      <c r="AY519" t="s">
        <v>74</v>
      </c>
      <c r="AZ519" t="s">
        <v>74</v>
      </c>
      <c r="BA519" t="s">
        <v>74</v>
      </c>
      <c r="BB519">
        <v>122</v>
      </c>
      <c r="BC519">
        <v>129</v>
      </c>
      <c r="BD519" t="s">
        <v>74</v>
      </c>
      <c r="BE519" t="s">
        <v>9956</v>
      </c>
      <c r="BF519" t="str">
        <f>HYPERLINK("http://dx.doi.org/10.1016/j.cbpa.2011.09.011","http://dx.doi.org/10.1016/j.cbpa.2011.09.011")</f>
        <v>http://dx.doi.org/10.1016/j.cbpa.2011.09.011</v>
      </c>
      <c r="BG519" t="s">
        <v>74</v>
      </c>
      <c r="BH519" t="s">
        <v>74</v>
      </c>
      <c r="BI519">
        <v>8</v>
      </c>
      <c r="BJ519" t="s">
        <v>1829</v>
      </c>
      <c r="BK519" t="s">
        <v>99</v>
      </c>
      <c r="BL519" t="s">
        <v>1829</v>
      </c>
      <c r="BM519" t="s">
        <v>9957</v>
      </c>
      <c r="BN519">
        <v>21996321</v>
      </c>
      <c r="BO519" t="s">
        <v>74</v>
      </c>
      <c r="BP519" t="s">
        <v>74</v>
      </c>
      <c r="BQ519" t="s">
        <v>74</v>
      </c>
      <c r="BR519" t="s">
        <v>101</v>
      </c>
      <c r="BS519" t="s">
        <v>9958</v>
      </c>
      <c r="BT519" t="str">
        <f>HYPERLINK("https%3A%2F%2Fwww.webofscience.com%2Fwos%2Fwoscc%2Ffull-record%2FWOS:000300069700004","View Full Record in Web of Science")</f>
        <v>View Full Record in Web of Science</v>
      </c>
    </row>
    <row r="520" spans="1:72" x14ac:dyDescent="0.15">
      <c r="A520" t="s">
        <v>72</v>
      </c>
      <c r="B520" t="s">
        <v>9959</v>
      </c>
      <c r="C520" t="s">
        <v>74</v>
      </c>
      <c r="D520" t="s">
        <v>74</v>
      </c>
      <c r="E520" t="s">
        <v>74</v>
      </c>
      <c r="F520" t="s">
        <v>9960</v>
      </c>
      <c r="G520" t="s">
        <v>74</v>
      </c>
      <c r="H520" t="s">
        <v>74</v>
      </c>
      <c r="I520" t="s">
        <v>9961</v>
      </c>
      <c r="J520" t="s">
        <v>420</v>
      </c>
      <c r="K520" t="s">
        <v>74</v>
      </c>
      <c r="L520" t="s">
        <v>74</v>
      </c>
      <c r="M520" t="s">
        <v>78</v>
      </c>
      <c r="N520" t="s">
        <v>79</v>
      </c>
      <c r="O520" t="s">
        <v>74</v>
      </c>
      <c r="P520" t="s">
        <v>74</v>
      </c>
      <c r="Q520" t="s">
        <v>74</v>
      </c>
      <c r="R520" t="s">
        <v>74</v>
      </c>
      <c r="S520" t="s">
        <v>74</v>
      </c>
      <c r="T520" t="s">
        <v>74</v>
      </c>
      <c r="U520" t="s">
        <v>9962</v>
      </c>
      <c r="V520" t="s">
        <v>9963</v>
      </c>
      <c r="W520" t="s">
        <v>9964</v>
      </c>
      <c r="X520" t="s">
        <v>9965</v>
      </c>
      <c r="Y520" t="s">
        <v>9966</v>
      </c>
      <c r="Z520" t="s">
        <v>9967</v>
      </c>
      <c r="AA520" t="s">
        <v>9968</v>
      </c>
      <c r="AB520" t="s">
        <v>9969</v>
      </c>
      <c r="AC520" t="s">
        <v>9970</v>
      </c>
      <c r="AD520" t="s">
        <v>9971</v>
      </c>
      <c r="AE520" t="s">
        <v>9972</v>
      </c>
      <c r="AF520" t="s">
        <v>74</v>
      </c>
      <c r="AG520">
        <v>70</v>
      </c>
      <c r="AH520">
        <v>33</v>
      </c>
      <c r="AI520">
        <v>36</v>
      </c>
      <c r="AJ520">
        <v>0</v>
      </c>
      <c r="AK520">
        <v>10</v>
      </c>
      <c r="AL520" t="s">
        <v>118</v>
      </c>
      <c r="AM520" t="s">
        <v>119</v>
      </c>
      <c r="AN520" t="s">
        <v>120</v>
      </c>
      <c r="AO520" t="s">
        <v>432</v>
      </c>
      <c r="AP520" t="s">
        <v>433</v>
      </c>
      <c r="AQ520" t="s">
        <v>74</v>
      </c>
      <c r="AR520" t="s">
        <v>434</v>
      </c>
      <c r="AS520" t="s">
        <v>435</v>
      </c>
      <c r="AT520" t="s">
        <v>9594</v>
      </c>
      <c r="AU520">
        <v>2012</v>
      </c>
      <c r="AV520">
        <v>117</v>
      </c>
      <c r="AW520" t="s">
        <v>74</v>
      </c>
      <c r="AX520" t="s">
        <v>74</v>
      </c>
      <c r="AY520" t="s">
        <v>74</v>
      </c>
      <c r="AZ520" t="s">
        <v>74</v>
      </c>
      <c r="BA520" t="s">
        <v>74</v>
      </c>
      <c r="BB520" t="s">
        <v>74</v>
      </c>
      <c r="BC520" t="s">
        <v>74</v>
      </c>
      <c r="BD520" t="s">
        <v>9973</v>
      </c>
      <c r="BE520" t="s">
        <v>9974</v>
      </c>
      <c r="BF520" t="str">
        <f>HYPERLINK("http://dx.doi.org/10.1029/2011JA017188","http://dx.doi.org/10.1029/2011JA017188")</f>
        <v>http://dx.doi.org/10.1029/2011JA017188</v>
      </c>
      <c r="BG520" t="s">
        <v>74</v>
      </c>
      <c r="BH520" t="s">
        <v>74</v>
      </c>
      <c r="BI520">
        <v>14</v>
      </c>
      <c r="BJ520" t="s">
        <v>438</v>
      </c>
      <c r="BK520" t="s">
        <v>99</v>
      </c>
      <c r="BL520" t="s">
        <v>438</v>
      </c>
      <c r="BM520" t="s">
        <v>9975</v>
      </c>
      <c r="BN520" t="s">
        <v>74</v>
      </c>
      <c r="BO520" t="s">
        <v>217</v>
      </c>
      <c r="BP520" t="s">
        <v>74</v>
      </c>
      <c r="BQ520" t="s">
        <v>74</v>
      </c>
      <c r="BR520" t="s">
        <v>101</v>
      </c>
      <c r="BS520" t="s">
        <v>9976</v>
      </c>
      <c r="BT520" t="str">
        <f>HYPERLINK("https%3A%2F%2Fwww.webofscience.com%2Fwos%2Fwoscc%2Ffull-record%2FWOS:000299989700003","View Full Record in Web of Science")</f>
        <v>View Full Record in Web of Science</v>
      </c>
    </row>
    <row r="521" spans="1:72" x14ac:dyDescent="0.15">
      <c r="A521" t="s">
        <v>72</v>
      </c>
      <c r="B521" t="s">
        <v>9977</v>
      </c>
      <c r="C521" t="s">
        <v>74</v>
      </c>
      <c r="D521" t="s">
        <v>74</v>
      </c>
      <c r="E521" t="s">
        <v>74</v>
      </c>
      <c r="F521" t="s">
        <v>9978</v>
      </c>
      <c r="G521" t="s">
        <v>74</v>
      </c>
      <c r="H521" t="s">
        <v>74</v>
      </c>
      <c r="I521" t="s">
        <v>9979</v>
      </c>
      <c r="J521" t="s">
        <v>9980</v>
      </c>
      <c r="K521" t="s">
        <v>74</v>
      </c>
      <c r="L521" t="s">
        <v>74</v>
      </c>
      <c r="M521" t="s">
        <v>78</v>
      </c>
      <c r="N521" t="s">
        <v>79</v>
      </c>
      <c r="O521" t="s">
        <v>74</v>
      </c>
      <c r="P521" t="s">
        <v>74</v>
      </c>
      <c r="Q521" t="s">
        <v>74</v>
      </c>
      <c r="R521" t="s">
        <v>74</v>
      </c>
      <c r="S521" t="s">
        <v>74</v>
      </c>
      <c r="T521" t="s">
        <v>9981</v>
      </c>
      <c r="U521" t="s">
        <v>74</v>
      </c>
      <c r="V521" t="s">
        <v>9982</v>
      </c>
      <c r="W521" t="s">
        <v>9983</v>
      </c>
      <c r="X521" t="s">
        <v>9984</v>
      </c>
      <c r="Y521" t="s">
        <v>9985</v>
      </c>
      <c r="Z521" t="s">
        <v>9986</v>
      </c>
      <c r="AA521" t="s">
        <v>74</v>
      </c>
      <c r="AB521" t="s">
        <v>74</v>
      </c>
      <c r="AC521" t="s">
        <v>9987</v>
      </c>
      <c r="AD521" t="s">
        <v>9988</v>
      </c>
      <c r="AE521" t="s">
        <v>9989</v>
      </c>
      <c r="AF521" t="s">
        <v>74</v>
      </c>
      <c r="AG521">
        <v>35</v>
      </c>
      <c r="AH521">
        <v>1</v>
      </c>
      <c r="AI521">
        <v>1</v>
      </c>
      <c r="AJ521">
        <v>0</v>
      </c>
      <c r="AK521">
        <v>12</v>
      </c>
      <c r="AL521" t="s">
        <v>9990</v>
      </c>
      <c r="AM521" t="s">
        <v>9991</v>
      </c>
      <c r="AN521" t="s">
        <v>9992</v>
      </c>
      <c r="AO521" t="s">
        <v>9993</v>
      </c>
      <c r="AP521" t="s">
        <v>9994</v>
      </c>
      <c r="AQ521" t="s">
        <v>74</v>
      </c>
      <c r="AR521" t="s">
        <v>9995</v>
      </c>
      <c r="AS521" t="s">
        <v>9996</v>
      </c>
      <c r="AT521" t="s">
        <v>9372</v>
      </c>
      <c r="AU521">
        <v>2012</v>
      </c>
      <c r="AV521">
        <v>175</v>
      </c>
      <c r="AW521">
        <v>1</v>
      </c>
      <c r="AX521" t="s">
        <v>74</v>
      </c>
      <c r="AY521" t="s">
        <v>74</v>
      </c>
      <c r="AZ521" t="s">
        <v>74</v>
      </c>
      <c r="BA521" t="s">
        <v>74</v>
      </c>
      <c r="BB521">
        <v>53</v>
      </c>
      <c r="BC521">
        <v>59</v>
      </c>
      <c r="BD521" t="s">
        <v>74</v>
      </c>
      <c r="BE521" t="s">
        <v>9997</v>
      </c>
      <c r="BF521" t="str">
        <f>HYPERLINK("http://dx.doi.org/10.1002/jpln.201100253","http://dx.doi.org/10.1002/jpln.201100253")</f>
        <v>http://dx.doi.org/10.1002/jpln.201100253</v>
      </c>
      <c r="BG521" t="s">
        <v>74</v>
      </c>
      <c r="BH521" t="s">
        <v>74</v>
      </c>
      <c r="BI521">
        <v>7</v>
      </c>
      <c r="BJ521" t="s">
        <v>9998</v>
      </c>
      <c r="BK521" t="s">
        <v>99</v>
      </c>
      <c r="BL521" t="s">
        <v>9999</v>
      </c>
      <c r="BM521" t="s">
        <v>10000</v>
      </c>
      <c r="BN521" t="s">
        <v>74</v>
      </c>
      <c r="BO521" t="s">
        <v>217</v>
      </c>
      <c r="BP521" t="s">
        <v>74</v>
      </c>
      <c r="BQ521" t="s">
        <v>74</v>
      </c>
      <c r="BR521" t="s">
        <v>101</v>
      </c>
      <c r="BS521" t="s">
        <v>10001</v>
      </c>
      <c r="BT521" t="str">
        <f>HYPERLINK("https%3A%2F%2Fwww.webofscience.com%2Fwos%2Fwoscc%2Ffull-record%2FWOS:000299999300008","View Full Record in Web of Science")</f>
        <v>View Full Record in Web of Science</v>
      </c>
    </row>
    <row r="522" spans="1:72" x14ac:dyDescent="0.15">
      <c r="A522" t="s">
        <v>72</v>
      </c>
      <c r="B522" t="s">
        <v>10002</v>
      </c>
      <c r="C522" t="s">
        <v>74</v>
      </c>
      <c r="D522" t="s">
        <v>74</v>
      </c>
      <c r="E522" t="s">
        <v>74</v>
      </c>
      <c r="F522" t="s">
        <v>10003</v>
      </c>
      <c r="G522" t="s">
        <v>74</v>
      </c>
      <c r="H522" t="s">
        <v>74</v>
      </c>
      <c r="I522" t="s">
        <v>10004</v>
      </c>
      <c r="J522" t="s">
        <v>3865</v>
      </c>
      <c r="K522" t="s">
        <v>74</v>
      </c>
      <c r="L522" t="s">
        <v>74</v>
      </c>
      <c r="M522" t="s">
        <v>78</v>
      </c>
      <c r="N522" t="s">
        <v>79</v>
      </c>
      <c r="O522" t="s">
        <v>74</v>
      </c>
      <c r="P522" t="s">
        <v>74</v>
      </c>
      <c r="Q522" t="s">
        <v>74</v>
      </c>
      <c r="R522" t="s">
        <v>74</v>
      </c>
      <c r="S522" t="s">
        <v>74</v>
      </c>
      <c r="T522" t="s">
        <v>74</v>
      </c>
      <c r="U522" t="s">
        <v>10005</v>
      </c>
      <c r="V522" t="s">
        <v>10006</v>
      </c>
      <c r="W522" t="s">
        <v>10007</v>
      </c>
      <c r="X522" t="s">
        <v>7178</v>
      </c>
      <c r="Y522" t="s">
        <v>10008</v>
      </c>
      <c r="Z522" t="s">
        <v>10009</v>
      </c>
      <c r="AA522" t="s">
        <v>74</v>
      </c>
      <c r="AB522" t="s">
        <v>74</v>
      </c>
      <c r="AC522" t="s">
        <v>10010</v>
      </c>
      <c r="AD522" t="s">
        <v>8851</v>
      </c>
      <c r="AE522" t="s">
        <v>10011</v>
      </c>
      <c r="AF522" t="s">
        <v>74</v>
      </c>
      <c r="AG522">
        <v>77</v>
      </c>
      <c r="AH522">
        <v>47</v>
      </c>
      <c r="AI522">
        <v>47</v>
      </c>
      <c r="AJ522">
        <v>0</v>
      </c>
      <c r="AK522">
        <v>15</v>
      </c>
      <c r="AL522" t="s">
        <v>627</v>
      </c>
      <c r="AM522" t="s">
        <v>628</v>
      </c>
      <c r="AN522" t="s">
        <v>629</v>
      </c>
      <c r="AO522" t="s">
        <v>3876</v>
      </c>
      <c r="AP522" t="s">
        <v>3877</v>
      </c>
      <c r="AQ522" t="s">
        <v>74</v>
      </c>
      <c r="AR522" t="s">
        <v>3878</v>
      </c>
      <c r="AS522" t="s">
        <v>3879</v>
      </c>
      <c r="AT522" t="s">
        <v>9372</v>
      </c>
      <c r="AU522">
        <v>2012</v>
      </c>
      <c r="AV522">
        <v>47</v>
      </c>
      <c r="AW522">
        <v>2</v>
      </c>
      <c r="AX522" t="s">
        <v>74</v>
      </c>
      <c r="AY522" t="s">
        <v>74</v>
      </c>
      <c r="AZ522" t="s">
        <v>74</v>
      </c>
      <c r="BA522" t="s">
        <v>74</v>
      </c>
      <c r="BB522">
        <v>209</v>
      </c>
      <c r="BC522">
        <v>227</v>
      </c>
      <c r="BD522" t="s">
        <v>74</v>
      </c>
      <c r="BE522" t="s">
        <v>10012</v>
      </c>
      <c r="BF522" t="str">
        <f>HYPERLINK("http://dx.doi.org/10.1111/j.1945-5100.2011.01320.x","http://dx.doi.org/10.1111/j.1945-5100.2011.01320.x")</f>
        <v>http://dx.doi.org/10.1111/j.1945-5100.2011.01320.x</v>
      </c>
      <c r="BG522" t="s">
        <v>74</v>
      </c>
      <c r="BH522" t="s">
        <v>74</v>
      </c>
      <c r="BI522">
        <v>19</v>
      </c>
      <c r="BJ522" t="s">
        <v>1134</v>
      </c>
      <c r="BK522" t="s">
        <v>99</v>
      </c>
      <c r="BL522" t="s">
        <v>1134</v>
      </c>
      <c r="BM522" t="s">
        <v>10013</v>
      </c>
      <c r="BN522" t="s">
        <v>74</v>
      </c>
      <c r="BO522" t="s">
        <v>217</v>
      </c>
      <c r="BP522" t="s">
        <v>74</v>
      </c>
      <c r="BQ522" t="s">
        <v>74</v>
      </c>
      <c r="BR522" t="s">
        <v>101</v>
      </c>
      <c r="BS522" t="s">
        <v>10014</v>
      </c>
      <c r="BT522" t="str">
        <f>HYPERLINK("https%3A%2F%2Fwww.webofscience.com%2Fwos%2Fwoscc%2Ffull-record%2FWOS:000299931200004","View Full Record in Web of Science")</f>
        <v>View Full Record in Web of Science</v>
      </c>
    </row>
    <row r="523" spans="1:72" x14ac:dyDescent="0.15">
      <c r="A523" t="s">
        <v>72</v>
      </c>
      <c r="B523" t="s">
        <v>10015</v>
      </c>
      <c r="C523" t="s">
        <v>74</v>
      </c>
      <c r="D523" t="s">
        <v>74</v>
      </c>
      <c r="E523" t="s">
        <v>74</v>
      </c>
      <c r="F523" t="s">
        <v>10016</v>
      </c>
      <c r="G523" t="s">
        <v>74</v>
      </c>
      <c r="H523" t="s">
        <v>74</v>
      </c>
      <c r="I523" t="s">
        <v>10017</v>
      </c>
      <c r="J523" t="s">
        <v>10018</v>
      </c>
      <c r="K523" t="s">
        <v>74</v>
      </c>
      <c r="L523" t="s">
        <v>74</v>
      </c>
      <c r="M523" t="s">
        <v>78</v>
      </c>
      <c r="N523" t="s">
        <v>79</v>
      </c>
      <c r="O523" t="s">
        <v>74</v>
      </c>
      <c r="P523" t="s">
        <v>74</v>
      </c>
      <c r="Q523" t="s">
        <v>74</v>
      </c>
      <c r="R523" t="s">
        <v>74</v>
      </c>
      <c r="S523" t="s">
        <v>74</v>
      </c>
      <c r="T523" t="s">
        <v>74</v>
      </c>
      <c r="U523" t="s">
        <v>10019</v>
      </c>
      <c r="V523" t="s">
        <v>10020</v>
      </c>
      <c r="W523" t="s">
        <v>10021</v>
      </c>
      <c r="X523" t="s">
        <v>10022</v>
      </c>
      <c r="Y523" t="s">
        <v>10023</v>
      </c>
      <c r="Z523" t="s">
        <v>10024</v>
      </c>
      <c r="AA523" t="s">
        <v>10025</v>
      </c>
      <c r="AB523" t="s">
        <v>10026</v>
      </c>
      <c r="AC523" t="s">
        <v>10027</v>
      </c>
      <c r="AD523" t="s">
        <v>10028</v>
      </c>
      <c r="AE523" t="s">
        <v>10029</v>
      </c>
      <c r="AF523" t="s">
        <v>74</v>
      </c>
      <c r="AG523">
        <v>22</v>
      </c>
      <c r="AH523">
        <v>2</v>
      </c>
      <c r="AI523">
        <v>4</v>
      </c>
      <c r="AJ523">
        <v>2</v>
      </c>
      <c r="AK523">
        <v>18</v>
      </c>
      <c r="AL523" t="s">
        <v>10030</v>
      </c>
      <c r="AM523" t="s">
        <v>10031</v>
      </c>
      <c r="AN523" t="s">
        <v>10032</v>
      </c>
      <c r="AO523" t="s">
        <v>10033</v>
      </c>
      <c r="AP523" t="s">
        <v>10034</v>
      </c>
      <c r="AQ523" t="s">
        <v>74</v>
      </c>
      <c r="AR523" t="s">
        <v>10035</v>
      </c>
      <c r="AS523" t="s">
        <v>10036</v>
      </c>
      <c r="AT523" t="s">
        <v>9372</v>
      </c>
      <c r="AU523">
        <v>2012</v>
      </c>
      <c r="AV523">
        <v>115</v>
      </c>
      <c r="AW523" t="s">
        <v>374</v>
      </c>
      <c r="AX523" t="s">
        <v>74</v>
      </c>
      <c r="AY523" t="s">
        <v>74</v>
      </c>
      <c r="AZ523" t="s">
        <v>74</v>
      </c>
      <c r="BA523" t="s">
        <v>74</v>
      </c>
      <c r="BB523">
        <v>153</v>
      </c>
      <c r="BC523">
        <v>162</v>
      </c>
      <c r="BD523" t="s">
        <v>74</v>
      </c>
      <c r="BE523" t="s">
        <v>10037</v>
      </c>
      <c r="BF523" t="str">
        <f>HYPERLINK("http://dx.doi.org/10.1007/s00703-011-0175-3","http://dx.doi.org/10.1007/s00703-011-0175-3")</f>
        <v>http://dx.doi.org/10.1007/s00703-011-0175-3</v>
      </c>
      <c r="BG523" t="s">
        <v>74</v>
      </c>
      <c r="BH523" t="s">
        <v>74</v>
      </c>
      <c r="BI523">
        <v>10</v>
      </c>
      <c r="BJ523" t="s">
        <v>128</v>
      </c>
      <c r="BK523" t="s">
        <v>99</v>
      </c>
      <c r="BL523" t="s">
        <v>128</v>
      </c>
      <c r="BM523" t="s">
        <v>10038</v>
      </c>
      <c r="BN523" t="s">
        <v>74</v>
      </c>
      <c r="BO523" t="s">
        <v>74</v>
      </c>
      <c r="BP523" t="s">
        <v>74</v>
      </c>
      <c r="BQ523" t="s">
        <v>74</v>
      </c>
      <c r="BR523" t="s">
        <v>101</v>
      </c>
      <c r="BS523" t="s">
        <v>10039</v>
      </c>
      <c r="BT523" t="str">
        <f>HYPERLINK("https%3A%2F%2Fwww.webofscience.com%2Fwos%2Fwoscc%2Ffull-record%2FWOS:000299953500005","View Full Record in Web of Science")</f>
        <v>View Full Record in Web of Science</v>
      </c>
    </row>
    <row r="524" spans="1:72" x14ac:dyDescent="0.15">
      <c r="A524" t="s">
        <v>72</v>
      </c>
      <c r="B524" t="s">
        <v>10040</v>
      </c>
      <c r="C524" t="s">
        <v>74</v>
      </c>
      <c r="D524" t="s">
        <v>74</v>
      </c>
      <c r="E524" t="s">
        <v>74</v>
      </c>
      <c r="F524" t="s">
        <v>10041</v>
      </c>
      <c r="G524" t="s">
        <v>74</v>
      </c>
      <c r="H524" t="s">
        <v>74</v>
      </c>
      <c r="I524" t="s">
        <v>10042</v>
      </c>
      <c r="J524" t="s">
        <v>4645</v>
      </c>
      <c r="K524" t="s">
        <v>74</v>
      </c>
      <c r="L524" t="s">
        <v>74</v>
      </c>
      <c r="M524" t="s">
        <v>78</v>
      </c>
      <c r="N524" t="s">
        <v>79</v>
      </c>
      <c r="O524" t="s">
        <v>74</v>
      </c>
      <c r="P524" t="s">
        <v>74</v>
      </c>
      <c r="Q524" t="s">
        <v>74</v>
      </c>
      <c r="R524" t="s">
        <v>74</v>
      </c>
      <c r="S524" t="s">
        <v>74</v>
      </c>
      <c r="T524" t="s">
        <v>10043</v>
      </c>
      <c r="U524" t="s">
        <v>10044</v>
      </c>
      <c r="V524" t="s">
        <v>10045</v>
      </c>
      <c r="W524" t="s">
        <v>10046</v>
      </c>
      <c r="X524" t="s">
        <v>10047</v>
      </c>
      <c r="Y524" t="s">
        <v>10048</v>
      </c>
      <c r="Z524" t="s">
        <v>10049</v>
      </c>
      <c r="AA524" t="s">
        <v>10050</v>
      </c>
      <c r="AB524" t="s">
        <v>10051</v>
      </c>
      <c r="AC524" t="s">
        <v>10052</v>
      </c>
      <c r="AD524" t="s">
        <v>10053</v>
      </c>
      <c r="AE524" t="s">
        <v>10054</v>
      </c>
      <c r="AF524" t="s">
        <v>74</v>
      </c>
      <c r="AG524">
        <v>50</v>
      </c>
      <c r="AH524">
        <v>11</v>
      </c>
      <c r="AI524">
        <v>13</v>
      </c>
      <c r="AJ524">
        <v>2</v>
      </c>
      <c r="AK524">
        <v>34</v>
      </c>
      <c r="AL524" t="s">
        <v>1111</v>
      </c>
      <c r="AM524" t="s">
        <v>656</v>
      </c>
      <c r="AN524" t="s">
        <v>1209</v>
      </c>
      <c r="AO524" t="s">
        <v>4646</v>
      </c>
      <c r="AP524" t="s">
        <v>5458</v>
      </c>
      <c r="AQ524" t="s">
        <v>74</v>
      </c>
      <c r="AR524" t="s">
        <v>4647</v>
      </c>
      <c r="AS524" t="s">
        <v>4648</v>
      </c>
      <c r="AT524" t="s">
        <v>9372</v>
      </c>
      <c r="AU524">
        <v>2012</v>
      </c>
      <c r="AV524">
        <v>24</v>
      </c>
      <c r="AW524">
        <v>1</v>
      </c>
      <c r="AX524" t="s">
        <v>74</v>
      </c>
      <c r="AY524" t="s">
        <v>74</v>
      </c>
      <c r="AZ524" t="s">
        <v>74</v>
      </c>
      <c r="BA524" t="s">
        <v>74</v>
      </c>
      <c r="BB524">
        <v>15</v>
      </c>
      <c r="BC524">
        <v>22</v>
      </c>
      <c r="BD524" t="s">
        <v>74</v>
      </c>
      <c r="BE524" t="s">
        <v>10055</v>
      </c>
      <c r="BF524" t="str">
        <f>HYPERLINK("http://dx.doi.org/10.1017/S0954102011000629","http://dx.doi.org/10.1017/S0954102011000629")</f>
        <v>http://dx.doi.org/10.1017/S0954102011000629</v>
      </c>
      <c r="BG524" t="s">
        <v>74</v>
      </c>
      <c r="BH524" t="s">
        <v>74</v>
      </c>
      <c r="BI524">
        <v>8</v>
      </c>
      <c r="BJ524" t="s">
        <v>4650</v>
      </c>
      <c r="BK524" t="s">
        <v>99</v>
      </c>
      <c r="BL524" t="s">
        <v>4651</v>
      </c>
      <c r="BM524" t="s">
        <v>10056</v>
      </c>
      <c r="BN524" t="s">
        <v>74</v>
      </c>
      <c r="BO524" t="s">
        <v>74</v>
      </c>
      <c r="BP524" t="s">
        <v>74</v>
      </c>
      <c r="BQ524" t="s">
        <v>74</v>
      </c>
      <c r="BR524" t="s">
        <v>101</v>
      </c>
      <c r="BS524" t="s">
        <v>10057</v>
      </c>
      <c r="BT524" t="str">
        <f>HYPERLINK("https%3A%2F%2Fwww.webofscience.com%2Fwos%2Fwoscc%2Ffull-record%2FWOS:000299936300003","View Full Record in Web of Science")</f>
        <v>View Full Record in Web of Science</v>
      </c>
    </row>
    <row r="525" spans="1:72" x14ac:dyDescent="0.15">
      <c r="A525" t="s">
        <v>72</v>
      </c>
      <c r="B525" t="s">
        <v>10058</v>
      </c>
      <c r="C525" t="s">
        <v>74</v>
      </c>
      <c r="D525" t="s">
        <v>74</v>
      </c>
      <c r="E525" t="s">
        <v>74</v>
      </c>
      <c r="F525" t="s">
        <v>10059</v>
      </c>
      <c r="G525" t="s">
        <v>74</v>
      </c>
      <c r="H525" t="s">
        <v>74</v>
      </c>
      <c r="I525" t="s">
        <v>10060</v>
      </c>
      <c r="J525" t="s">
        <v>4645</v>
      </c>
      <c r="K525" t="s">
        <v>74</v>
      </c>
      <c r="L525" t="s">
        <v>74</v>
      </c>
      <c r="M525" t="s">
        <v>78</v>
      </c>
      <c r="N525" t="s">
        <v>79</v>
      </c>
      <c r="O525" t="s">
        <v>74</v>
      </c>
      <c r="P525" t="s">
        <v>74</v>
      </c>
      <c r="Q525" t="s">
        <v>74</v>
      </c>
      <c r="R525" t="s">
        <v>74</v>
      </c>
      <c r="S525" t="s">
        <v>74</v>
      </c>
      <c r="T525" t="s">
        <v>10061</v>
      </c>
      <c r="U525" t="s">
        <v>10062</v>
      </c>
      <c r="V525" t="s">
        <v>10063</v>
      </c>
      <c r="W525" t="s">
        <v>10064</v>
      </c>
      <c r="X525" t="s">
        <v>10065</v>
      </c>
      <c r="Y525" t="s">
        <v>10066</v>
      </c>
      <c r="Z525" t="s">
        <v>10067</v>
      </c>
      <c r="AA525" t="s">
        <v>74</v>
      </c>
      <c r="AB525" t="s">
        <v>10068</v>
      </c>
      <c r="AC525" t="s">
        <v>10069</v>
      </c>
      <c r="AD525" t="s">
        <v>10070</v>
      </c>
      <c r="AE525" t="s">
        <v>10071</v>
      </c>
      <c r="AF525" t="s">
        <v>74</v>
      </c>
      <c r="AG525">
        <v>28</v>
      </c>
      <c r="AH525">
        <v>11</v>
      </c>
      <c r="AI525">
        <v>11</v>
      </c>
      <c r="AJ525">
        <v>0</v>
      </c>
      <c r="AK525">
        <v>25</v>
      </c>
      <c r="AL525" t="s">
        <v>1111</v>
      </c>
      <c r="AM525" t="s">
        <v>656</v>
      </c>
      <c r="AN525" t="s">
        <v>1209</v>
      </c>
      <c r="AO525" t="s">
        <v>4646</v>
      </c>
      <c r="AP525" t="s">
        <v>74</v>
      </c>
      <c r="AQ525" t="s">
        <v>74</v>
      </c>
      <c r="AR525" t="s">
        <v>4647</v>
      </c>
      <c r="AS525" t="s">
        <v>4648</v>
      </c>
      <c r="AT525" t="s">
        <v>9372</v>
      </c>
      <c r="AU525">
        <v>2012</v>
      </c>
      <c r="AV525">
        <v>24</v>
      </c>
      <c r="AW525">
        <v>1</v>
      </c>
      <c r="AX525" t="s">
        <v>74</v>
      </c>
      <c r="AY525" t="s">
        <v>74</v>
      </c>
      <c r="AZ525" t="s">
        <v>74</v>
      </c>
      <c r="BA525" t="s">
        <v>74</v>
      </c>
      <c r="BB525">
        <v>34</v>
      </c>
      <c r="BC525">
        <v>42</v>
      </c>
      <c r="BD525" t="s">
        <v>74</v>
      </c>
      <c r="BE525" t="s">
        <v>10072</v>
      </c>
      <c r="BF525" t="str">
        <f>HYPERLINK("http://dx.doi.org/10.1017/S0954102011000654","http://dx.doi.org/10.1017/S0954102011000654")</f>
        <v>http://dx.doi.org/10.1017/S0954102011000654</v>
      </c>
      <c r="BG525" t="s">
        <v>74</v>
      </c>
      <c r="BH525" t="s">
        <v>74</v>
      </c>
      <c r="BI525">
        <v>9</v>
      </c>
      <c r="BJ525" t="s">
        <v>4650</v>
      </c>
      <c r="BK525" t="s">
        <v>99</v>
      </c>
      <c r="BL525" t="s">
        <v>4651</v>
      </c>
      <c r="BM525" t="s">
        <v>10056</v>
      </c>
      <c r="BN525" t="s">
        <v>74</v>
      </c>
      <c r="BO525" t="s">
        <v>74</v>
      </c>
      <c r="BP525" t="s">
        <v>74</v>
      </c>
      <c r="BQ525" t="s">
        <v>74</v>
      </c>
      <c r="BR525" t="s">
        <v>101</v>
      </c>
      <c r="BS525" t="s">
        <v>10073</v>
      </c>
      <c r="BT525" t="str">
        <f>HYPERLINK("https%3A%2F%2Fwww.webofscience.com%2Fwos%2Fwoscc%2Ffull-record%2FWOS:000299936300005","View Full Record in Web of Science")</f>
        <v>View Full Record in Web of Science</v>
      </c>
    </row>
    <row r="526" spans="1:72" x14ac:dyDescent="0.15">
      <c r="A526" t="s">
        <v>72</v>
      </c>
      <c r="B526" t="s">
        <v>10074</v>
      </c>
      <c r="C526" t="s">
        <v>74</v>
      </c>
      <c r="D526" t="s">
        <v>74</v>
      </c>
      <c r="E526" t="s">
        <v>74</v>
      </c>
      <c r="F526" t="s">
        <v>10075</v>
      </c>
      <c r="G526" t="s">
        <v>74</v>
      </c>
      <c r="H526" t="s">
        <v>74</v>
      </c>
      <c r="I526" t="s">
        <v>10076</v>
      </c>
      <c r="J526" t="s">
        <v>4645</v>
      </c>
      <c r="K526" t="s">
        <v>74</v>
      </c>
      <c r="L526" t="s">
        <v>74</v>
      </c>
      <c r="M526" t="s">
        <v>78</v>
      </c>
      <c r="N526" t="s">
        <v>79</v>
      </c>
      <c r="O526" t="s">
        <v>74</v>
      </c>
      <c r="P526" t="s">
        <v>74</v>
      </c>
      <c r="Q526" t="s">
        <v>74</v>
      </c>
      <c r="R526" t="s">
        <v>74</v>
      </c>
      <c r="S526" t="s">
        <v>74</v>
      </c>
      <c r="T526" t="s">
        <v>74</v>
      </c>
      <c r="U526" t="s">
        <v>10077</v>
      </c>
      <c r="V526" t="s">
        <v>74</v>
      </c>
      <c r="W526" t="s">
        <v>10078</v>
      </c>
      <c r="X526" t="s">
        <v>10079</v>
      </c>
      <c r="Y526" t="s">
        <v>10080</v>
      </c>
      <c r="Z526" t="s">
        <v>10081</v>
      </c>
      <c r="AA526" t="s">
        <v>74</v>
      </c>
      <c r="AB526" t="s">
        <v>10082</v>
      </c>
      <c r="AC526" t="s">
        <v>10083</v>
      </c>
      <c r="AD526" t="s">
        <v>10084</v>
      </c>
      <c r="AE526" t="s">
        <v>10085</v>
      </c>
      <c r="AF526" t="s">
        <v>74</v>
      </c>
      <c r="AG526">
        <v>13</v>
      </c>
      <c r="AH526">
        <v>3</v>
      </c>
      <c r="AI526">
        <v>3</v>
      </c>
      <c r="AJ526">
        <v>0</v>
      </c>
      <c r="AK526">
        <v>6</v>
      </c>
      <c r="AL526" t="s">
        <v>1111</v>
      </c>
      <c r="AM526" t="s">
        <v>656</v>
      </c>
      <c r="AN526" t="s">
        <v>1209</v>
      </c>
      <c r="AO526" t="s">
        <v>4646</v>
      </c>
      <c r="AP526" t="s">
        <v>74</v>
      </c>
      <c r="AQ526" t="s">
        <v>74</v>
      </c>
      <c r="AR526" t="s">
        <v>4647</v>
      </c>
      <c r="AS526" t="s">
        <v>4648</v>
      </c>
      <c r="AT526" t="s">
        <v>9372</v>
      </c>
      <c r="AU526">
        <v>2012</v>
      </c>
      <c r="AV526">
        <v>24</v>
      </c>
      <c r="AW526">
        <v>1</v>
      </c>
      <c r="AX526" t="s">
        <v>74</v>
      </c>
      <c r="AY526" t="s">
        <v>74</v>
      </c>
      <c r="AZ526" t="s">
        <v>74</v>
      </c>
      <c r="BA526" t="s">
        <v>74</v>
      </c>
      <c r="BB526">
        <v>43</v>
      </c>
      <c r="BC526">
        <v>44</v>
      </c>
      <c r="BD526" t="s">
        <v>74</v>
      </c>
      <c r="BE526" t="s">
        <v>10086</v>
      </c>
      <c r="BF526" t="str">
        <f>HYPERLINK("http://dx.doi.org/10.1017/S0954102011000782","http://dx.doi.org/10.1017/S0954102011000782")</f>
        <v>http://dx.doi.org/10.1017/S0954102011000782</v>
      </c>
      <c r="BG526" t="s">
        <v>74</v>
      </c>
      <c r="BH526" t="s">
        <v>74</v>
      </c>
      <c r="BI526">
        <v>2</v>
      </c>
      <c r="BJ526" t="s">
        <v>4650</v>
      </c>
      <c r="BK526" t="s">
        <v>99</v>
      </c>
      <c r="BL526" t="s">
        <v>4651</v>
      </c>
      <c r="BM526" t="s">
        <v>10056</v>
      </c>
      <c r="BN526" t="s">
        <v>74</v>
      </c>
      <c r="BO526" t="s">
        <v>74</v>
      </c>
      <c r="BP526" t="s">
        <v>74</v>
      </c>
      <c r="BQ526" t="s">
        <v>74</v>
      </c>
      <c r="BR526" t="s">
        <v>101</v>
      </c>
      <c r="BS526" t="s">
        <v>10087</v>
      </c>
      <c r="BT526" t="str">
        <f>HYPERLINK("https%3A%2F%2Fwww.webofscience.com%2Fwos%2Fwoscc%2Ffull-record%2FWOS:000299936300006","View Full Record in Web of Science")</f>
        <v>View Full Record in Web of Science</v>
      </c>
    </row>
    <row r="527" spans="1:72" x14ac:dyDescent="0.15">
      <c r="A527" t="s">
        <v>72</v>
      </c>
      <c r="B527" t="s">
        <v>10088</v>
      </c>
      <c r="C527" t="s">
        <v>74</v>
      </c>
      <c r="D527" t="s">
        <v>74</v>
      </c>
      <c r="E527" t="s">
        <v>74</v>
      </c>
      <c r="F527" t="s">
        <v>10089</v>
      </c>
      <c r="G527" t="s">
        <v>74</v>
      </c>
      <c r="H527" t="s">
        <v>74</v>
      </c>
      <c r="I527" t="s">
        <v>10090</v>
      </c>
      <c r="J527" t="s">
        <v>4645</v>
      </c>
      <c r="K527" t="s">
        <v>74</v>
      </c>
      <c r="L527" t="s">
        <v>74</v>
      </c>
      <c r="M527" t="s">
        <v>78</v>
      </c>
      <c r="N527" t="s">
        <v>79</v>
      </c>
      <c r="O527" t="s">
        <v>74</v>
      </c>
      <c r="P527" t="s">
        <v>74</v>
      </c>
      <c r="Q527" t="s">
        <v>74</v>
      </c>
      <c r="R527" t="s">
        <v>74</v>
      </c>
      <c r="S527" t="s">
        <v>74</v>
      </c>
      <c r="T527" t="s">
        <v>10091</v>
      </c>
      <c r="U527" t="s">
        <v>10092</v>
      </c>
      <c r="V527" t="s">
        <v>10093</v>
      </c>
      <c r="W527" t="s">
        <v>10094</v>
      </c>
      <c r="X527" t="s">
        <v>10095</v>
      </c>
      <c r="Y527" t="s">
        <v>10096</v>
      </c>
      <c r="Z527" t="s">
        <v>10097</v>
      </c>
      <c r="AA527" t="s">
        <v>10098</v>
      </c>
      <c r="AB527" t="s">
        <v>10099</v>
      </c>
      <c r="AC527" t="s">
        <v>10100</v>
      </c>
      <c r="AD527" t="s">
        <v>10101</v>
      </c>
      <c r="AE527" t="s">
        <v>10102</v>
      </c>
      <c r="AF527" t="s">
        <v>74</v>
      </c>
      <c r="AG527">
        <v>36</v>
      </c>
      <c r="AH527">
        <v>4</v>
      </c>
      <c r="AI527">
        <v>4</v>
      </c>
      <c r="AJ527">
        <v>0</v>
      </c>
      <c r="AK527">
        <v>12</v>
      </c>
      <c r="AL527" t="s">
        <v>1111</v>
      </c>
      <c r="AM527" t="s">
        <v>656</v>
      </c>
      <c r="AN527" t="s">
        <v>1209</v>
      </c>
      <c r="AO527" t="s">
        <v>4646</v>
      </c>
      <c r="AP527" t="s">
        <v>5458</v>
      </c>
      <c r="AQ527" t="s">
        <v>74</v>
      </c>
      <c r="AR527" t="s">
        <v>4647</v>
      </c>
      <c r="AS527" t="s">
        <v>4648</v>
      </c>
      <c r="AT527" t="s">
        <v>9372</v>
      </c>
      <c r="AU527">
        <v>2012</v>
      </c>
      <c r="AV527">
        <v>24</v>
      </c>
      <c r="AW527">
        <v>1</v>
      </c>
      <c r="AX527" t="s">
        <v>74</v>
      </c>
      <c r="AY527" t="s">
        <v>74</v>
      </c>
      <c r="AZ527" t="s">
        <v>74</v>
      </c>
      <c r="BA527" t="s">
        <v>74</v>
      </c>
      <c r="BB527">
        <v>45</v>
      </c>
      <c r="BC527">
        <v>58</v>
      </c>
      <c r="BD527" t="s">
        <v>74</v>
      </c>
      <c r="BE527" t="s">
        <v>10103</v>
      </c>
      <c r="BF527" t="str">
        <f>HYPERLINK("http://dx.doi.org/10.1017/S0954102011000599","http://dx.doi.org/10.1017/S0954102011000599")</f>
        <v>http://dx.doi.org/10.1017/S0954102011000599</v>
      </c>
      <c r="BG527" t="s">
        <v>74</v>
      </c>
      <c r="BH527" t="s">
        <v>74</v>
      </c>
      <c r="BI527">
        <v>14</v>
      </c>
      <c r="BJ527" t="s">
        <v>4650</v>
      </c>
      <c r="BK527" t="s">
        <v>99</v>
      </c>
      <c r="BL527" t="s">
        <v>4651</v>
      </c>
      <c r="BM527" t="s">
        <v>10056</v>
      </c>
      <c r="BN527" t="s">
        <v>74</v>
      </c>
      <c r="BO527" t="s">
        <v>74</v>
      </c>
      <c r="BP527" t="s">
        <v>74</v>
      </c>
      <c r="BQ527" t="s">
        <v>74</v>
      </c>
      <c r="BR527" t="s">
        <v>101</v>
      </c>
      <c r="BS527" t="s">
        <v>10104</v>
      </c>
      <c r="BT527" t="str">
        <f>HYPERLINK("https%3A%2F%2Fwww.webofscience.com%2Fwos%2Fwoscc%2Ffull-record%2FWOS:000299936300007","View Full Record in Web of Science")</f>
        <v>View Full Record in Web of Science</v>
      </c>
    </row>
    <row r="528" spans="1:72" x14ac:dyDescent="0.15">
      <c r="A528" t="s">
        <v>72</v>
      </c>
      <c r="B528" t="s">
        <v>10105</v>
      </c>
      <c r="C528" t="s">
        <v>74</v>
      </c>
      <c r="D528" t="s">
        <v>74</v>
      </c>
      <c r="E528" t="s">
        <v>74</v>
      </c>
      <c r="F528" t="s">
        <v>10106</v>
      </c>
      <c r="G528" t="s">
        <v>74</v>
      </c>
      <c r="H528" t="s">
        <v>74</v>
      </c>
      <c r="I528" t="s">
        <v>10107</v>
      </c>
      <c r="J528" t="s">
        <v>4645</v>
      </c>
      <c r="K528" t="s">
        <v>74</v>
      </c>
      <c r="L528" t="s">
        <v>74</v>
      </c>
      <c r="M528" t="s">
        <v>78</v>
      </c>
      <c r="N528" t="s">
        <v>79</v>
      </c>
      <c r="O528" t="s">
        <v>74</v>
      </c>
      <c r="P528" t="s">
        <v>74</v>
      </c>
      <c r="Q528" t="s">
        <v>74</v>
      </c>
      <c r="R528" t="s">
        <v>74</v>
      </c>
      <c r="S528" t="s">
        <v>74</v>
      </c>
      <c r="T528" t="s">
        <v>10108</v>
      </c>
      <c r="U528" t="s">
        <v>10109</v>
      </c>
      <c r="V528" t="s">
        <v>10110</v>
      </c>
      <c r="W528" t="s">
        <v>10111</v>
      </c>
      <c r="X528" t="s">
        <v>10112</v>
      </c>
      <c r="Y528" t="s">
        <v>10113</v>
      </c>
      <c r="Z528" t="s">
        <v>10114</v>
      </c>
      <c r="AA528" t="s">
        <v>10115</v>
      </c>
      <c r="AB528" t="s">
        <v>10116</v>
      </c>
      <c r="AC528" t="s">
        <v>10117</v>
      </c>
      <c r="AD528" t="s">
        <v>10118</v>
      </c>
      <c r="AE528" t="s">
        <v>10119</v>
      </c>
      <c r="AF528" t="s">
        <v>74</v>
      </c>
      <c r="AG528">
        <v>39</v>
      </c>
      <c r="AH528">
        <v>11</v>
      </c>
      <c r="AI528">
        <v>11</v>
      </c>
      <c r="AJ528">
        <v>1</v>
      </c>
      <c r="AK528">
        <v>32</v>
      </c>
      <c r="AL528" t="s">
        <v>1111</v>
      </c>
      <c r="AM528" t="s">
        <v>656</v>
      </c>
      <c r="AN528" t="s">
        <v>1209</v>
      </c>
      <c r="AO528" t="s">
        <v>4646</v>
      </c>
      <c r="AP528" t="s">
        <v>5458</v>
      </c>
      <c r="AQ528" t="s">
        <v>74</v>
      </c>
      <c r="AR528" t="s">
        <v>4647</v>
      </c>
      <c r="AS528" t="s">
        <v>4648</v>
      </c>
      <c r="AT528" t="s">
        <v>9372</v>
      </c>
      <c r="AU528">
        <v>2012</v>
      </c>
      <c r="AV528">
        <v>24</v>
      </c>
      <c r="AW528">
        <v>1</v>
      </c>
      <c r="AX528" t="s">
        <v>74</v>
      </c>
      <c r="AY528" t="s">
        <v>74</v>
      </c>
      <c r="AZ528" t="s">
        <v>74</v>
      </c>
      <c r="BA528" t="s">
        <v>74</v>
      </c>
      <c r="BB528">
        <v>59</v>
      </c>
      <c r="BC528">
        <v>76</v>
      </c>
      <c r="BD528" t="s">
        <v>74</v>
      </c>
      <c r="BE528" t="s">
        <v>10120</v>
      </c>
      <c r="BF528" t="str">
        <f>HYPERLINK("http://dx.doi.org/10.1017/S095410201100054X","http://dx.doi.org/10.1017/S095410201100054X")</f>
        <v>http://dx.doi.org/10.1017/S095410201100054X</v>
      </c>
      <c r="BG528" t="s">
        <v>74</v>
      </c>
      <c r="BH528" t="s">
        <v>74</v>
      </c>
      <c r="BI528">
        <v>18</v>
      </c>
      <c r="BJ528" t="s">
        <v>4650</v>
      </c>
      <c r="BK528" t="s">
        <v>99</v>
      </c>
      <c r="BL528" t="s">
        <v>4651</v>
      </c>
      <c r="BM528" t="s">
        <v>10056</v>
      </c>
      <c r="BN528" t="s">
        <v>74</v>
      </c>
      <c r="BO528" t="s">
        <v>74</v>
      </c>
      <c r="BP528" t="s">
        <v>74</v>
      </c>
      <c r="BQ528" t="s">
        <v>74</v>
      </c>
      <c r="BR528" t="s">
        <v>101</v>
      </c>
      <c r="BS528" t="s">
        <v>10121</v>
      </c>
      <c r="BT528" t="str">
        <f>HYPERLINK("https%3A%2F%2Fwww.webofscience.com%2Fwos%2Fwoscc%2Ffull-record%2FWOS:000299936300008","View Full Record in Web of Science")</f>
        <v>View Full Record in Web of Science</v>
      </c>
    </row>
    <row r="529" spans="1:72" x14ac:dyDescent="0.15">
      <c r="A529" t="s">
        <v>72</v>
      </c>
      <c r="B529" t="s">
        <v>10122</v>
      </c>
      <c r="C529" t="s">
        <v>74</v>
      </c>
      <c r="D529" t="s">
        <v>74</v>
      </c>
      <c r="E529" t="s">
        <v>74</v>
      </c>
      <c r="F529" t="s">
        <v>10123</v>
      </c>
      <c r="G529" t="s">
        <v>74</v>
      </c>
      <c r="H529" t="s">
        <v>74</v>
      </c>
      <c r="I529" t="s">
        <v>10124</v>
      </c>
      <c r="J529" t="s">
        <v>4645</v>
      </c>
      <c r="K529" t="s">
        <v>74</v>
      </c>
      <c r="L529" t="s">
        <v>74</v>
      </c>
      <c r="M529" t="s">
        <v>78</v>
      </c>
      <c r="N529" t="s">
        <v>79</v>
      </c>
      <c r="O529" t="s">
        <v>74</v>
      </c>
      <c r="P529" t="s">
        <v>74</v>
      </c>
      <c r="Q529" t="s">
        <v>74</v>
      </c>
      <c r="R529" t="s">
        <v>74</v>
      </c>
      <c r="S529" t="s">
        <v>74</v>
      </c>
      <c r="T529" t="s">
        <v>10125</v>
      </c>
      <c r="U529" t="s">
        <v>10126</v>
      </c>
      <c r="V529" t="s">
        <v>10127</v>
      </c>
      <c r="W529" t="s">
        <v>10128</v>
      </c>
      <c r="X529" t="s">
        <v>10129</v>
      </c>
      <c r="Y529" t="s">
        <v>10130</v>
      </c>
      <c r="Z529" t="s">
        <v>10131</v>
      </c>
      <c r="AA529" t="s">
        <v>10132</v>
      </c>
      <c r="AB529" t="s">
        <v>10133</v>
      </c>
      <c r="AC529" t="s">
        <v>74</v>
      </c>
      <c r="AD529" t="s">
        <v>74</v>
      </c>
      <c r="AE529" t="s">
        <v>74</v>
      </c>
      <c r="AF529" t="s">
        <v>74</v>
      </c>
      <c r="AG529">
        <v>40</v>
      </c>
      <c r="AH529">
        <v>26</v>
      </c>
      <c r="AI529">
        <v>28</v>
      </c>
      <c r="AJ529">
        <v>0</v>
      </c>
      <c r="AK529">
        <v>19</v>
      </c>
      <c r="AL529" t="s">
        <v>1111</v>
      </c>
      <c r="AM529" t="s">
        <v>656</v>
      </c>
      <c r="AN529" t="s">
        <v>1209</v>
      </c>
      <c r="AO529" t="s">
        <v>4646</v>
      </c>
      <c r="AP529" t="s">
        <v>74</v>
      </c>
      <c r="AQ529" t="s">
        <v>74</v>
      </c>
      <c r="AR529" t="s">
        <v>4647</v>
      </c>
      <c r="AS529" t="s">
        <v>4648</v>
      </c>
      <c r="AT529" t="s">
        <v>9372</v>
      </c>
      <c r="AU529">
        <v>2012</v>
      </c>
      <c r="AV529">
        <v>24</v>
      </c>
      <c r="AW529">
        <v>1</v>
      </c>
      <c r="AX529" t="s">
        <v>74</v>
      </c>
      <c r="AY529" t="s">
        <v>74</v>
      </c>
      <c r="AZ529" t="s">
        <v>74</v>
      </c>
      <c r="BA529" t="s">
        <v>74</v>
      </c>
      <c r="BB529">
        <v>77</v>
      </c>
      <c r="BC529">
        <v>87</v>
      </c>
      <c r="BD529" t="s">
        <v>74</v>
      </c>
      <c r="BE529" t="s">
        <v>10134</v>
      </c>
      <c r="BF529" t="str">
        <f>HYPERLINK("http://dx.doi.org/10.1017/S0954102011000538","http://dx.doi.org/10.1017/S0954102011000538")</f>
        <v>http://dx.doi.org/10.1017/S0954102011000538</v>
      </c>
      <c r="BG529" t="s">
        <v>74</v>
      </c>
      <c r="BH529" t="s">
        <v>74</v>
      </c>
      <c r="BI529">
        <v>11</v>
      </c>
      <c r="BJ529" t="s">
        <v>4650</v>
      </c>
      <c r="BK529" t="s">
        <v>99</v>
      </c>
      <c r="BL529" t="s">
        <v>4651</v>
      </c>
      <c r="BM529" t="s">
        <v>10056</v>
      </c>
      <c r="BN529" t="s">
        <v>74</v>
      </c>
      <c r="BO529" t="s">
        <v>74</v>
      </c>
      <c r="BP529" t="s">
        <v>74</v>
      </c>
      <c r="BQ529" t="s">
        <v>74</v>
      </c>
      <c r="BR529" t="s">
        <v>101</v>
      </c>
      <c r="BS529" t="s">
        <v>10135</v>
      </c>
      <c r="BT529" t="str">
        <f>HYPERLINK("https%3A%2F%2Fwww.webofscience.com%2Fwos%2Fwoscc%2Ffull-record%2FWOS:000299936300009","View Full Record in Web of Science")</f>
        <v>View Full Record in Web of Science</v>
      </c>
    </row>
    <row r="530" spans="1:72" x14ac:dyDescent="0.15">
      <c r="A530" t="s">
        <v>72</v>
      </c>
      <c r="B530" t="s">
        <v>10136</v>
      </c>
      <c r="C530" t="s">
        <v>74</v>
      </c>
      <c r="D530" t="s">
        <v>74</v>
      </c>
      <c r="E530" t="s">
        <v>74</v>
      </c>
      <c r="F530" t="s">
        <v>10137</v>
      </c>
      <c r="G530" t="s">
        <v>74</v>
      </c>
      <c r="H530" t="s">
        <v>74</v>
      </c>
      <c r="I530" t="s">
        <v>10138</v>
      </c>
      <c r="J530" t="s">
        <v>4645</v>
      </c>
      <c r="K530" t="s">
        <v>74</v>
      </c>
      <c r="L530" t="s">
        <v>74</v>
      </c>
      <c r="M530" t="s">
        <v>78</v>
      </c>
      <c r="N530" t="s">
        <v>79</v>
      </c>
      <c r="O530" t="s">
        <v>74</v>
      </c>
      <c r="P530" t="s">
        <v>74</v>
      </c>
      <c r="Q530" t="s">
        <v>74</v>
      </c>
      <c r="R530" t="s">
        <v>74</v>
      </c>
      <c r="S530" t="s">
        <v>74</v>
      </c>
      <c r="T530" t="s">
        <v>10139</v>
      </c>
      <c r="U530" t="s">
        <v>10140</v>
      </c>
      <c r="V530" t="s">
        <v>10141</v>
      </c>
      <c r="W530" t="s">
        <v>10142</v>
      </c>
      <c r="X530" t="s">
        <v>10143</v>
      </c>
      <c r="Y530" t="s">
        <v>10144</v>
      </c>
      <c r="Z530" t="s">
        <v>10145</v>
      </c>
      <c r="AA530" t="s">
        <v>74</v>
      </c>
      <c r="AB530" t="s">
        <v>10146</v>
      </c>
      <c r="AC530" t="s">
        <v>74</v>
      </c>
      <c r="AD530" t="s">
        <v>74</v>
      </c>
      <c r="AE530" t="s">
        <v>74</v>
      </c>
      <c r="AF530" t="s">
        <v>74</v>
      </c>
      <c r="AG530">
        <v>19</v>
      </c>
      <c r="AH530">
        <v>9</v>
      </c>
      <c r="AI530">
        <v>9</v>
      </c>
      <c r="AJ530">
        <v>0</v>
      </c>
      <c r="AK530">
        <v>7</v>
      </c>
      <c r="AL530" t="s">
        <v>1111</v>
      </c>
      <c r="AM530" t="s">
        <v>656</v>
      </c>
      <c r="AN530" t="s">
        <v>1209</v>
      </c>
      <c r="AO530" t="s">
        <v>4646</v>
      </c>
      <c r="AP530" t="s">
        <v>74</v>
      </c>
      <c r="AQ530" t="s">
        <v>74</v>
      </c>
      <c r="AR530" t="s">
        <v>4647</v>
      </c>
      <c r="AS530" t="s">
        <v>4648</v>
      </c>
      <c r="AT530" t="s">
        <v>9372</v>
      </c>
      <c r="AU530">
        <v>2012</v>
      </c>
      <c r="AV530">
        <v>24</v>
      </c>
      <c r="AW530">
        <v>1</v>
      </c>
      <c r="AX530" t="s">
        <v>74</v>
      </c>
      <c r="AY530" t="s">
        <v>74</v>
      </c>
      <c r="AZ530" t="s">
        <v>74</v>
      </c>
      <c r="BA530" t="s">
        <v>74</v>
      </c>
      <c r="BB530">
        <v>88</v>
      </c>
      <c r="BC530">
        <v>94</v>
      </c>
      <c r="BD530" t="s">
        <v>74</v>
      </c>
      <c r="BE530" t="s">
        <v>10147</v>
      </c>
      <c r="BF530" t="str">
        <f>HYPERLINK("http://dx.doi.org/10.1017/S0954102011000587","http://dx.doi.org/10.1017/S0954102011000587")</f>
        <v>http://dx.doi.org/10.1017/S0954102011000587</v>
      </c>
      <c r="BG530" t="s">
        <v>74</v>
      </c>
      <c r="BH530" t="s">
        <v>74</v>
      </c>
      <c r="BI530">
        <v>7</v>
      </c>
      <c r="BJ530" t="s">
        <v>4650</v>
      </c>
      <c r="BK530" t="s">
        <v>99</v>
      </c>
      <c r="BL530" t="s">
        <v>4651</v>
      </c>
      <c r="BM530" t="s">
        <v>10056</v>
      </c>
      <c r="BN530" t="s">
        <v>74</v>
      </c>
      <c r="BO530" t="s">
        <v>74</v>
      </c>
      <c r="BP530" t="s">
        <v>74</v>
      </c>
      <c r="BQ530" t="s">
        <v>74</v>
      </c>
      <c r="BR530" t="s">
        <v>101</v>
      </c>
      <c r="BS530" t="s">
        <v>10148</v>
      </c>
      <c r="BT530" t="str">
        <f>HYPERLINK("https%3A%2F%2Fwww.webofscience.com%2Fwos%2Fwoscc%2Ffull-record%2FWOS:000299936300010","View Full Record in Web of Science")</f>
        <v>View Full Record in Web of Science</v>
      </c>
    </row>
    <row r="531" spans="1:72" x14ac:dyDescent="0.15">
      <c r="A531" t="s">
        <v>72</v>
      </c>
      <c r="B531" t="s">
        <v>10149</v>
      </c>
      <c r="C531" t="s">
        <v>74</v>
      </c>
      <c r="D531" t="s">
        <v>74</v>
      </c>
      <c r="E531" t="s">
        <v>74</v>
      </c>
      <c r="F531" t="s">
        <v>10150</v>
      </c>
      <c r="G531" t="s">
        <v>74</v>
      </c>
      <c r="H531" t="s">
        <v>74</v>
      </c>
      <c r="I531" t="s">
        <v>10151</v>
      </c>
      <c r="J531" t="s">
        <v>4411</v>
      </c>
      <c r="K531" t="s">
        <v>74</v>
      </c>
      <c r="L531" t="s">
        <v>74</v>
      </c>
      <c r="M531" t="s">
        <v>78</v>
      </c>
      <c r="N531" t="s">
        <v>79</v>
      </c>
      <c r="O531" t="s">
        <v>74</v>
      </c>
      <c r="P531" t="s">
        <v>74</v>
      </c>
      <c r="Q531" t="s">
        <v>74</v>
      </c>
      <c r="R531" t="s">
        <v>74</v>
      </c>
      <c r="S531" t="s">
        <v>74</v>
      </c>
      <c r="T531" t="s">
        <v>74</v>
      </c>
      <c r="U531" t="s">
        <v>10152</v>
      </c>
      <c r="V531" t="s">
        <v>10153</v>
      </c>
      <c r="W531" t="s">
        <v>10154</v>
      </c>
      <c r="X531" t="s">
        <v>10155</v>
      </c>
      <c r="Y531" t="s">
        <v>10156</v>
      </c>
      <c r="Z531" t="s">
        <v>10157</v>
      </c>
      <c r="AA531" t="s">
        <v>74</v>
      </c>
      <c r="AB531" t="s">
        <v>10158</v>
      </c>
      <c r="AC531" t="s">
        <v>10159</v>
      </c>
      <c r="AD531" t="s">
        <v>10160</v>
      </c>
      <c r="AE531" t="s">
        <v>10161</v>
      </c>
      <c r="AF531" t="s">
        <v>74</v>
      </c>
      <c r="AG531">
        <v>45</v>
      </c>
      <c r="AH531">
        <v>9</v>
      </c>
      <c r="AI531">
        <v>11</v>
      </c>
      <c r="AJ531">
        <v>2</v>
      </c>
      <c r="AK531">
        <v>28</v>
      </c>
      <c r="AL531" t="s">
        <v>2030</v>
      </c>
      <c r="AM531" t="s">
        <v>119</v>
      </c>
      <c r="AN531" t="s">
        <v>2031</v>
      </c>
      <c r="AO531" t="s">
        <v>4421</v>
      </c>
      <c r="AP531" t="s">
        <v>7943</v>
      </c>
      <c r="AQ531" t="s">
        <v>74</v>
      </c>
      <c r="AR531" t="s">
        <v>4422</v>
      </c>
      <c r="AS531" t="s">
        <v>4423</v>
      </c>
      <c r="AT531" t="s">
        <v>9372</v>
      </c>
      <c r="AU531">
        <v>2012</v>
      </c>
      <c r="AV531">
        <v>78</v>
      </c>
      <c r="AW531">
        <v>3</v>
      </c>
      <c r="AX531" t="s">
        <v>74</v>
      </c>
      <c r="AY531" t="s">
        <v>74</v>
      </c>
      <c r="AZ531" t="s">
        <v>74</v>
      </c>
      <c r="BA531" t="s">
        <v>74</v>
      </c>
      <c r="BB531">
        <v>895</v>
      </c>
      <c r="BC531">
        <v>899</v>
      </c>
      <c r="BD531" t="s">
        <v>74</v>
      </c>
      <c r="BE531" t="s">
        <v>10162</v>
      </c>
      <c r="BF531" t="str">
        <f>HYPERLINK("http://dx.doi.org/10.1128/AEM.05578-11","http://dx.doi.org/10.1128/AEM.05578-11")</f>
        <v>http://dx.doi.org/10.1128/AEM.05578-11</v>
      </c>
      <c r="BG531" t="s">
        <v>74</v>
      </c>
      <c r="BH531" t="s">
        <v>74</v>
      </c>
      <c r="BI531">
        <v>5</v>
      </c>
      <c r="BJ531" t="s">
        <v>4425</v>
      </c>
      <c r="BK531" t="s">
        <v>99</v>
      </c>
      <c r="BL531" t="s">
        <v>4425</v>
      </c>
      <c r="BM531" t="s">
        <v>10163</v>
      </c>
      <c r="BN531">
        <v>22138997</v>
      </c>
      <c r="BO531" t="s">
        <v>822</v>
      </c>
      <c r="BP531" t="s">
        <v>74</v>
      </c>
      <c r="BQ531" t="s">
        <v>74</v>
      </c>
      <c r="BR531" t="s">
        <v>101</v>
      </c>
      <c r="BS531" t="s">
        <v>10164</v>
      </c>
      <c r="BT531" t="str">
        <f>HYPERLINK("https%3A%2F%2Fwww.webofscience.com%2Fwos%2Fwoscc%2Ffull-record%2FWOS:000299594200037","View Full Record in Web of Science")</f>
        <v>View Full Record in Web of Science</v>
      </c>
    </row>
    <row r="532" spans="1:72" x14ac:dyDescent="0.15">
      <c r="A532" t="s">
        <v>72</v>
      </c>
      <c r="B532" t="s">
        <v>10165</v>
      </c>
      <c r="C532" t="s">
        <v>74</v>
      </c>
      <c r="D532" t="s">
        <v>74</v>
      </c>
      <c r="E532" t="s">
        <v>74</v>
      </c>
      <c r="F532" t="s">
        <v>10166</v>
      </c>
      <c r="G532" t="s">
        <v>74</v>
      </c>
      <c r="H532" t="s">
        <v>74</v>
      </c>
      <c r="I532" t="s">
        <v>10167</v>
      </c>
      <c r="J532" t="s">
        <v>10168</v>
      </c>
      <c r="K532" t="s">
        <v>74</v>
      </c>
      <c r="L532" t="s">
        <v>74</v>
      </c>
      <c r="M532" t="s">
        <v>78</v>
      </c>
      <c r="N532" t="s">
        <v>79</v>
      </c>
      <c r="O532" t="s">
        <v>74</v>
      </c>
      <c r="P532" t="s">
        <v>74</v>
      </c>
      <c r="Q532" t="s">
        <v>74</v>
      </c>
      <c r="R532" t="s">
        <v>74</v>
      </c>
      <c r="S532" t="s">
        <v>74</v>
      </c>
      <c r="T532" t="s">
        <v>10169</v>
      </c>
      <c r="U532" t="s">
        <v>10170</v>
      </c>
      <c r="V532" t="s">
        <v>10171</v>
      </c>
      <c r="W532" t="s">
        <v>10172</v>
      </c>
      <c r="X532" t="s">
        <v>7636</v>
      </c>
      <c r="Y532" t="s">
        <v>10173</v>
      </c>
      <c r="Z532" t="s">
        <v>10174</v>
      </c>
      <c r="AA532" t="s">
        <v>7639</v>
      </c>
      <c r="AB532" t="s">
        <v>7640</v>
      </c>
      <c r="AC532" t="s">
        <v>10175</v>
      </c>
      <c r="AD532" t="s">
        <v>10176</v>
      </c>
      <c r="AE532" t="s">
        <v>10177</v>
      </c>
      <c r="AF532" t="s">
        <v>74</v>
      </c>
      <c r="AG532">
        <v>37</v>
      </c>
      <c r="AH532">
        <v>5</v>
      </c>
      <c r="AI532">
        <v>5</v>
      </c>
      <c r="AJ532">
        <v>0</v>
      </c>
      <c r="AK532">
        <v>27</v>
      </c>
      <c r="AL532" t="s">
        <v>3895</v>
      </c>
      <c r="AM532" t="s">
        <v>3896</v>
      </c>
      <c r="AN532" t="s">
        <v>3897</v>
      </c>
      <c r="AO532" t="s">
        <v>10178</v>
      </c>
      <c r="AP532" t="s">
        <v>74</v>
      </c>
      <c r="AQ532" t="s">
        <v>74</v>
      </c>
      <c r="AR532" t="s">
        <v>10179</v>
      </c>
      <c r="AS532" t="s">
        <v>10180</v>
      </c>
      <c r="AT532" t="s">
        <v>9372</v>
      </c>
      <c r="AU532">
        <v>2012</v>
      </c>
      <c r="AV532">
        <v>31</v>
      </c>
      <c r="AW532">
        <v>2</v>
      </c>
      <c r="AX532" t="s">
        <v>74</v>
      </c>
      <c r="AY532" t="s">
        <v>74</v>
      </c>
      <c r="AZ532" t="s">
        <v>74</v>
      </c>
      <c r="BA532" t="s">
        <v>74</v>
      </c>
      <c r="BB532">
        <v>395</v>
      </c>
      <c r="BC532">
        <v>401</v>
      </c>
      <c r="BD532" t="s">
        <v>74</v>
      </c>
      <c r="BE532" t="s">
        <v>10181</v>
      </c>
      <c r="BF532" t="str">
        <f>HYPERLINK("http://dx.doi.org/10.1002/etc.745","http://dx.doi.org/10.1002/etc.745")</f>
        <v>http://dx.doi.org/10.1002/etc.745</v>
      </c>
      <c r="BG532" t="s">
        <v>74</v>
      </c>
      <c r="BH532" t="s">
        <v>74</v>
      </c>
      <c r="BI532">
        <v>7</v>
      </c>
      <c r="BJ532" t="s">
        <v>2499</v>
      </c>
      <c r="BK532" t="s">
        <v>99</v>
      </c>
      <c r="BL532" t="s">
        <v>2500</v>
      </c>
      <c r="BM532" t="s">
        <v>10182</v>
      </c>
      <c r="BN532">
        <v>22102214</v>
      </c>
      <c r="BO532" t="s">
        <v>74</v>
      </c>
      <c r="BP532" t="s">
        <v>74</v>
      </c>
      <c r="BQ532" t="s">
        <v>74</v>
      </c>
      <c r="BR532" t="s">
        <v>101</v>
      </c>
      <c r="BS532" t="s">
        <v>10183</v>
      </c>
      <c r="BT532" t="str">
        <f>HYPERLINK("https%3A%2F%2Fwww.webofscience.com%2Fwos%2Fwoscc%2Ffull-record%2FWOS:000299036300022","View Full Record in Web of Science")</f>
        <v>View Full Record in Web of Science</v>
      </c>
    </row>
    <row r="533" spans="1:72" x14ac:dyDescent="0.15">
      <c r="A533" t="s">
        <v>72</v>
      </c>
      <c r="B533" t="s">
        <v>10165</v>
      </c>
      <c r="C533" t="s">
        <v>74</v>
      </c>
      <c r="D533" t="s">
        <v>74</v>
      </c>
      <c r="E533" t="s">
        <v>74</v>
      </c>
      <c r="F533" t="s">
        <v>10166</v>
      </c>
      <c r="G533" t="s">
        <v>74</v>
      </c>
      <c r="H533" t="s">
        <v>74</v>
      </c>
      <c r="I533" t="s">
        <v>10184</v>
      </c>
      <c r="J533" t="s">
        <v>10168</v>
      </c>
      <c r="K533" t="s">
        <v>74</v>
      </c>
      <c r="L533" t="s">
        <v>74</v>
      </c>
      <c r="M533" t="s">
        <v>78</v>
      </c>
      <c r="N533" t="s">
        <v>79</v>
      </c>
      <c r="O533" t="s">
        <v>74</v>
      </c>
      <c r="P533" t="s">
        <v>74</v>
      </c>
      <c r="Q533" t="s">
        <v>74</v>
      </c>
      <c r="R533" t="s">
        <v>74</v>
      </c>
      <c r="S533" t="s">
        <v>74</v>
      </c>
      <c r="T533" t="s">
        <v>10185</v>
      </c>
      <c r="U533" t="s">
        <v>10186</v>
      </c>
      <c r="V533" t="s">
        <v>10187</v>
      </c>
      <c r="W533" t="s">
        <v>10172</v>
      </c>
      <c r="X533" t="s">
        <v>7636</v>
      </c>
      <c r="Y533" t="s">
        <v>10173</v>
      </c>
      <c r="Z533" t="s">
        <v>10174</v>
      </c>
      <c r="AA533" t="s">
        <v>7639</v>
      </c>
      <c r="AB533" t="s">
        <v>7640</v>
      </c>
      <c r="AC533" t="s">
        <v>10188</v>
      </c>
      <c r="AD533" t="s">
        <v>10189</v>
      </c>
      <c r="AE533" t="s">
        <v>10190</v>
      </c>
      <c r="AF533" t="s">
        <v>74</v>
      </c>
      <c r="AG533">
        <v>39</v>
      </c>
      <c r="AH533">
        <v>10</v>
      </c>
      <c r="AI533">
        <v>10</v>
      </c>
      <c r="AJ533">
        <v>1</v>
      </c>
      <c r="AK533">
        <v>21</v>
      </c>
      <c r="AL533" t="s">
        <v>3895</v>
      </c>
      <c r="AM533" t="s">
        <v>3896</v>
      </c>
      <c r="AN533" t="s">
        <v>3897</v>
      </c>
      <c r="AO533" t="s">
        <v>10178</v>
      </c>
      <c r="AP533" t="s">
        <v>74</v>
      </c>
      <c r="AQ533" t="s">
        <v>74</v>
      </c>
      <c r="AR533" t="s">
        <v>10179</v>
      </c>
      <c r="AS533" t="s">
        <v>10180</v>
      </c>
      <c r="AT533" t="s">
        <v>9372</v>
      </c>
      <c r="AU533">
        <v>2012</v>
      </c>
      <c r="AV533">
        <v>31</v>
      </c>
      <c r="AW533">
        <v>2</v>
      </c>
      <c r="AX533" t="s">
        <v>74</v>
      </c>
      <c r="AY533" t="s">
        <v>74</v>
      </c>
      <c r="AZ533" t="s">
        <v>74</v>
      </c>
      <c r="BA533" t="s">
        <v>74</v>
      </c>
      <c r="BB533">
        <v>402</v>
      </c>
      <c r="BC533">
        <v>407</v>
      </c>
      <c r="BD533" t="s">
        <v>74</v>
      </c>
      <c r="BE533" t="s">
        <v>10191</v>
      </c>
      <c r="BF533" t="str">
        <f>HYPERLINK("http://dx.doi.org/10.1002/etc.744","http://dx.doi.org/10.1002/etc.744")</f>
        <v>http://dx.doi.org/10.1002/etc.744</v>
      </c>
      <c r="BG533" t="s">
        <v>74</v>
      </c>
      <c r="BH533" t="s">
        <v>74</v>
      </c>
      <c r="BI533">
        <v>6</v>
      </c>
      <c r="BJ533" t="s">
        <v>2499</v>
      </c>
      <c r="BK533" t="s">
        <v>99</v>
      </c>
      <c r="BL533" t="s">
        <v>2500</v>
      </c>
      <c r="BM533" t="s">
        <v>10182</v>
      </c>
      <c r="BN533">
        <v>22102175</v>
      </c>
      <c r="BO533" t="s">
        <v>74</v>
      </c>
      <c r="BP533" t="s">
        <v>74</v>
      </c>
      <c r="BQ533" t="s">
        <v>74</v>
      </c>
      <c r="BR533" t="s">
        <v>101</v>
      </c>
      <c r="BS533" t="s">
        <v>10192</v>
      </c>
      <c r="BT533" t="str">
        <f>HYPERLINK("https%3A%2F%2Fwww.webofscience.com%2Fwos%2Fwoscc%2Ffull-record%2FWOS:000299036300023","View Full Record in Web of Science")</f>
        <v>View Full Record in Web of Science</v>
      </c>
    </row>
    <row r="534" spans="1:72" x14ac:dyDescent="0.15">
      <c r="A534" t="s">
        <v>72</v>
      </c>
      <c r="B534" t="s">
        <v>10193</v>
      </c>
      <c r="C534" t="s">
        <v>74</v>
      </c>
      <c r="D534" t="s">
        <v>74</v>
      </c>
      <c r="E534" t="s">
        <v>74</v>
      </c>
      <c r="F534" t="s">
        <v>10194</v>
      </c>
      <c r="G534" t="s">
        <v>74</v>
      </c>
      <c r="H534" t="s">
        <v>74</v>
      </c>
      <c r="I534" t="s">
        <v>10195</v>
      </c>
      <c r="J534" t="s">
        <v>10196</v>
      </c>
      <c r="K534" t="s">
        <v>74</v>
      </c>
      <c r="L534" t="s">
        <v>74</v>
      </c>
      <c r="M534" t="s">
        <v>78</v>
      </c>
      <c r="N534" t="s">
        <v>79</v>
      </c>
      <c r="O534" t="s">
        <v>74</v>
      </c>
      <c r="P534" t="s">
        <v>74</v>
      </c>
      <c r="Q534" t="s">
        <v>74</v>
      </c>
      <c r="R534" t="s">
        <v>74</v>
      </c>
      <c r="S534" t="s">
        <v>74</v>
      </c>
      <c r="T534" t="s">
        <v>10197</v>
      </c>
      <c r="U534" t="s">
        <v>10198</v>
      </c>
      <c r="V534" t="s">
        <v>10199</v>
      </c>
      <c r="W534" t="s">
        <v>10200</v>
      </c>
      <c r="X534" t="s">
        <v>10201</v>
      </c>
      <c r="Y534" t="s">
        <v>10202</v>
      </c>
      <c r="Z534" t="s">
        <v>10203</v>
      </c>
      <c r="AA534" t="s">
        <v>10204</v>
      </c>
      <c r="AB534" t="s">
        <v>10205</v>
      </c>
      <c r="AC534" t="s">
        <v>10206</v>
      </c>
      <c r="AD534" t="s">
        <v>10207</v>
      </c>
      <c r="AE534" t="s">
        <v>10208</v>
      </c>
      <c r="AF534" t="s">
        <v>74</v>
      </c>
      <c r="AG534">
        <v>50</v>
      </c>
      <c r="AH534">
        <v>16</v>
      </c>
      <c r="AI534">
        <v>19</v>
      </c>
      <c r="AJ534">
        <v>0</v>
      </c>
      <c r="AK534">
        <v>48</v>
      </c>
      <c r="AL534" t="s">
        <v>3895</v>
      </c>
      <c r="AM534" t="s">
        <v>3896</v>
      </c>
      <c r="AN534" t="s">
        <v>3897</v>
      </c>
      <c r="AO534" t="s">
        <v>10209</v>
      </c>
      <c r="AP534" t="s">
        <v>74</v>
      </c>
      <c r="AQ534" t="s">
        <v>74</v>
      </c>
      <c r="AR534" t="s">
        <v>10210</v>
      </c>
      <c r="AS534" t="s">
        <v>10211</v>
      </c>
      <c r="AT534" t="s">
        <v>9372</v>
      </c>
      <c r="AU534">
        <v>2012</v>
      </c>
      <c r="AV534">
        <v>48</v>
      </c>
      <c r="AW534">
        <v>1</v>
      </c>
      <c r="AX534" t="s">
        <v>74</v>
      </c>
      <c r="AY534" t="s">
        <v>74</v>
      </c>
      <c r="AZ534" t="s">
        <v>74</v>
      </c>
      <c r="BA534" t="s">
        <v>74</v>
      </c>
      <c r="BB534">
        <v>74</v>
      </c>
      <c r="BC534">
        <v>84</v>
      </c>
      <c r="BD534" t="s">
        <v>74</v>
      </c>
      <c r="BE534" t="s">
        <v>10212</v>
      </c>
      <c r="BF534" t="str">
        <f>HYPERLINK("http://dx.doi.org/10.1111/j.1529-8817.2011.01104.x","http://dx.doi.org/10.1111/j.1529-8817.2011.01104.x")</f>
        <v>http://dx.doi.org/10.1111/j.1529-8817.2011.01104.x</v>
      </c>
      <c r="BG534" t="s">
        <v>74</v>
      </c>
      <c r="BH534" t="s">
        <v>74</v>
      </c>
      <c r="BI534">
        <v>11</v>
      </c>
      <c r="BJ534" t="s">
        <v>10213</v>
      </c>
      <c r="BK534" t="s">
        <v>99</v>
      </c>
      <c r="BL534" t="s">
        <v>10213</v>
      </c>
      <c r="BM534" t="s">
        <v>10214</v>
      </c>
      <c r="BN534">
        <v>27009652</v>
      </c>
      <c r="BO534" t="s">
        <v>74</v>
      </c>
      <c r="BP534" t="s">
        <v>74</v>
      </c>
      <c r="BQ534" t="s">
        <v>74</v>
      </c>
      <c r="BR534" t="s">
        <v>101</v>
      </c>
      <c r="BS534" t="s">
        <v>10215</v>
      </c>
      <c r="BT534" t="str">
        <f>HYPERLINK("https%3A%2F%2Fwww.webofscience.com%2Fwos%2Fwoscc%2Ffull-record%2FWOS:000299730600007","View Full Record in Web of Science")</f>
        <v>View Full Record in Web of Science</v>
      </c>
    </row>
    <row r="535" spans="1:72" x14ac:dyDescent="0.15">
      <c r="A535" t="s">
        <v>72</v>
      </c>
      <c r="B535" t="s">
        <v>10216</v>
      </c>
      <c r="C535" t="s">
        <v>74</v>
      </c>
      <c r="D535" t="s">
        <v>74</v>
      </c>
      <c r="E535" t="s">
        <v>74</v>
      </c>
      <c r="F535" t="s">
        <v>10217</v>
      </c>
      <c r="G535" t="s">
        <v>74</v>
      </c>
      <c r="H535" t="s">
        <v>74</v>
      </c>
      <c r="I535" t="s">
        <v>10218</v>
      </c>
      <c r="J535" t="s">
        <v>10196</v>
      </c>
      <c r="K535" t="s">
        <v>74</v>
      </c>
      <c r="L535" t="s">
        <v>74</v>
      </c>
      <c r="M535" t="s">
        <v>78</v>
      </c>
      <c r="N535" t="s">
        <v>79</v>
      </c>
      <c r="O535" t="s">
        <v>74</v>
      </c>
      <c r="P535" t="s">
        <v>74</v>
      </c>
      <c r="Q535" t="s">
        <v>74</v>
      </c>
      <c r="R535" t="s">
        <v>74</v>
      </c>
      <c r="S535" t="s">
        <v>74</v>
      </c>
      <c r="T535" t="s">
        <v>10219</v>
      </c>
      <c r="U535" t="s">
        <v>10220</v>
      </c>
      <c r="V535" t="s">
        <v>10221</v>
      </c>
      <c r="W535" t="s">
        <v>10222</v>
      </c>
      <c r="X535" t="s">
        <v>10223</v>
      </c>
      <c r="Y535" t="s">
        <v>10224</v>
      </c>
      <c r="Z535" t="s">
        <v>10225</v>
      </c>
      <c r="AA535" t="s">
        <v>10226</v>
      </c>
      <c r="AB535" t="s">
        <v>10227</v>
      </c>
      <c r="AC535" t="s">
        <v>10228</v>
      </c>
      <c r="AD535" t="s">
        <v>10229</v>
      </c>
      <c r="AE535" t="s">
        <v>10230</v>
      </c>
      <c r="AF535" t="s">
        <v>74</v>
      </c>
      <c r="AG535">
        <v>42</v>
      </c>
      <c r="AH535">
        <v>24</v>
      </c>
      <c r="AI535">
        <v>30</v>
      </c>
      <c r="AJ535">
        <v>0</v>
      </c>
      <c r="AK535">
        <v>32</v>
      </c>
      <c r="AL535" t="s">
        <v>627</v>
      </c>
      <c r="AM535" t="s">
        <v>628</v>
      </c>
      <c r="AN535" t="s">
        <v>629</v>
      </c>
      <c r="AO535" t="s">
        <v>10209</v>
      </c>
      <c r="AP535" t="s">
        <v>10231</v>
      </c>
      <c r="AQ535" t="s">
        <v>74</v>
      </c>
      <c r="AR535" t="s">
        <v>10210</v>
      </c>
      <c r="AS535" t="s">
        <v>10211</v>
      </c>
      <c r="AT535" t="s">
        <v>9372</v>
      </c>
      <c r="AU535">
        <v>2012</v>
      </c>
      <c r="AV535">
        <v>48</v>
      </c>
      <c r="AW535">
        <v>1</v>
      </c>
      <c r="AX535" t="s">
        <v>74</v>
      </c>
      <c r="AY535" t="s">
        <v>74</v>
      </c>
      <c r="AZ535" t="s">
        <v>74</v>
      </c>
      <c r="BA535" t="s">
        <v>74</v>
      </c>
      <c r="BB535">
        <v>127</v>
      </c>
      <c r="BC535">
        <v>136</v>
      </c>
      <c r="BD535" t="s">
        <v>74</v>
      </c>
      <c r="BE535" t="s">
        <v>10232</v>
      </c>
      <c r="BF535" t="str">
        <f>HYPERLINK("http://dx.doi.org/10.1111/j.1529-8817.2011.01107.x","http://dx.doi.org/10.1111/j.1529-8817.2011.01107.x")</f>
        <v>http://dx.doi.org/10.1111/j.1529-8817.2011.01107.x</v>
      </c>
      <c r="BG535" t="s">
        <v>74</v>
      </c>
      <c r="BH535" t="s">
        <v>74</v>
      </c>
      <c r="BI535">
        <v>10</v>
      </c>
      <c r="BJ535" t="s">
        <v>10213</v>
      </c>
      <c r="BK535" t="s">
        <v>99</v>
      </c>
      <c r="BL535" t="s">
        <v>10213</v>
      </c>
      <c r="BM535" t="s">
        <v>10214</v>
      </c>
      <c r="BN535">
        <v>27009657</v>
      </c>
      <c r="BO535" t="s">
        <v>74</v>
      </c>
      <c r="BP535" t="s">
        <v>74</v>
      </c>
      <c r="BQ535" t="s">
        <v>74</v>
      </c>
      <c r="BR535" t="s">
        <v>101</v>
      </c>
      <c r="BS535" t="s">
        <v>10233</v>
      </c>
      <c r="BT535" t="str">
        <f>HYPERLINK("https%3A%2F%2Fwww.webofscience.com%2Fwos%2Fwoscc%2Ffull-record%2FWOS:000299730600012","View Full Record in Web of Science")</f>
        <v>View Full Record in Web of Science</v>
      </c>
    </row>
    <row r="536" spans="1:72" x14ac:dyDescent="0.15">
      <c r="A536" t="s">
        <v>72</v>
      </c>
      <c r="B536" t="s">
        <v>10234</v>
      </c>
      <c r="C536" t="s">
        <v>74</v>
      </c>
      <c r="D536" t="s">
        <v>74</v>
      </c>
      <c r="E536" t="s">
        <v>74</v>
      </c>
      <c r="F536" t="s">
        <v>10235</v>
      </c>
      <c r="G536" t="s">
        <v>74</v>
      </c>
      <c r="H536" t="s">
        <v>74</v>
      </c>
      <c r="I536" t="s">
        <v>10236</v>
      </c>
      <c r="J536" t="s">
        <v>10237</v>
      </c>
      <c r="K536" t="s">
        <v>74</v>
      </c>
      <c r="L536" t="s">
        <v>74</v>
      </c>
      <c r="M536" t="s">
        <v>78</v>
      </c>
      <c r="N536" t="s">
        <v>79</v>
      </c>
      <c r="O536" t="s">
        <v>74</v>
      </c>
      <c r="P536" t="s">
        <v>74</v>
      </c>
      <c r="Q536" t="s">
        <v>74</v>
      </c>
      <c r="R536" t="s">
        <v>74</v>
      </c>
      <c r="S536" t="s">
        <v>74</v>
      </c>
      <c r="T536" t="s">
        <v>10238</v>
      </c>
      <c r="U536" t="s">
        <v>10239</v>
      </c>
      <c r="V536" t="s">
        <v>10240</v>
      </c>
      <c r="W536" t="s">
        <v>10241</v>
      </c>
      <c r="X536" t="s">
        <v>2143</v>
      </c>
      <c r="Y536" t="s">
        <v>10242</v>
      </c>
      <c r="Z536" t="s">
        <v>10243</v>
      </c>
      <c r="AA536" t="s">
        <v>10244</v>
      </c>
      <c r="AB536" t="s">
        <v>10245</v>
      </c>
      <c r="AC536" t="s">
        <v>10246</v>
      </c>
      <c r="AD536" t="s">
        <v>10247</v>
      </c>
      <c r="AE536" t="s">
        <v>10248</v>
      </c>
      <c r="AF536" t="s">
        <v>74</v>
      </c>
      <c r="AG536">
        <v>54</v>
      </c>
      <c r="AH536">
        <v>23</v>
      </c>
      <c r="AI536">
        <v>25</v>
      </c>
      <c r="AJ536">
        <v>0</v>
      </c>
      <c r="AK536">
        <v>30</v>
      </c>
      <c r="AL536" t="s">
        <v>1111</v>
      </c>
      <c r="AM536" t="s">
        <v>656</v>
      </c>
      <c r="AN536" t="s">
        <v>1209</v>
      </c>
      <c r="AO536" t="s">
        <v>10249</v>
      </c>
      <c r="AP536" t="s">
        <v>10250</v>
      </c>
      <c r="AQ536" t="s">
        <v>74</v>
      </c>
      <c r="AR536" t="s">
        <v>10251</v>
      </c>
      <c r="AS536" t="s">
        <v>10252</v>
      </c>
      <c r="AT536" t="s">
        <v>9372</v>
      </c>
      <c r="AU536">
        <v>2012</v>
      </c>
      <c r="AV536">
        <v>92</v>
      </c>
      <c r="AW536">
        <v>1</v>
      </c>
      <c r="AX536" t="s">
        <v>74</v>
      </c>
      <c r="AY536" t="s">
        <v>74</v>
      </c>
      <c r="AZ536" t="s">
        <v>74</v>
      </c>
      <c r="BA536" t="s">
        <v>74</v>
      </c>
      <c r="BB536">
        <v>13</v>
      </c>
      <c r="BC536">
        <v>27</v>
      </c>
      <c r="BD536" t="s">
        <v>74</v>
      </c>
      <c r="BE536" t="s">
        <v>10253</v>
      </c>
      <c r="BF536" t="str">
        <f>HYPERLINK("http://dx.doi.org/10.1017/S0025315411000439","http://dx.doi.org/10.1017/S0025315411000439")</f>
        <v>http://dx.doi.org/10.1017/S0025315411000439</v>
      </c>
      <c r="BG536" t="s">
        <v>74</v>
      </c>
      <c r="BH536" t="s">
        <v>74</v>
      </c>
      <c r="BI536">
        <v>15</v>
      </c>
      <c r="BJ536" t="s">
        <v>588</v>
      </c>
      <c r="BK536" t="s">
        <v>99</v>
      </c>
      <c r="BL536" t="s">
        <v>588</v>
      </c>
      <c r="BM536" t="s">
        <v>10254</v>
      </c>
      <c r="BN536" t="s">
        <v>74</v>
      </c>
      <c r="BO536" t="s">
        <v>74</v>
      </c>
      <c r="BP536" t="s">
        <v>74</v>
      </c>
      <c r="BQ536" t="s">
        <v>74</v>
      </c>
      <c r="BR536" t="s">
        <v>101</v>
      </c>
      <c r="BS536" t="s">
        <v>10255</v>
      </c>
      <c r="BT536" t="str">
        <f>HYPERLINK("https%3A%2F%2Fwww.webofscience.com%2Fwos%2Fwoscc%2Ffull-record%2FWOS:000299655400002","View Full Record in Web of Science")</f>
        <v>View Full Record in Web of Science</v>
      </c>
    </row>
    <row r="537" spans="1:72" x14ac:dyDescent="0.15">
      <c r="A537" t="s">
        <v>72</v>
      </c>
      <c r="B537" t="s">
        <v>10256</v>
      </c>
      <c r="C537" t="s">
        <v>74</v>
      </c>
      <c r="D537" t="s">
        <v>74</v>
      </c>
      <c r="E537" t="s">
        <v>74</v>
      </c>
      <c r="F537" t="s">
        <v>10257</v>
      </c>
      <c r="G537" t="s">
        <v>74</v>
      </c>
      <c r="H537" t="s">
        <v>74</v>
      </c>
      <c r="I537" t="s">
        <v>10258</v>
      </c>
      <c r="J537" t="s">
        <v>1219</v>
      </c>
      <c r="K537" t="s">
        <v>74</v>
      </c>
      <c r="L537" t="s">
        <v>74</v>
      </c>
      <c r="M537" t="s">
        <v>78</v>
      </c>
      <c r="N537" t="s">
        <v>79</v>
      </c>
      <c r="O537" t="s">
        <v>74</v>
      </c>
      <c r="P537" t="s">
        <v>74</v>
      </c>
      <c r="Q537" t="s">
        <v>74</v>
      </c>
      <c r="R537" t="s">
        <v>74</v>
      </c>
      <c r="S537" t="s">
        <v>74</v>
      </c>
      <c r="T537" t="s">
        <v>10259</v>
      </c>
      <c r="U537" t="s">
        <v>10260</v>
      </c>
      <c r="V537" t="s">
        <v>10261</v>
      </c>
      <c r="W537" t="s">
        <v>10262</v>
      </c>
      <c r="X537" t="s">
        <v>1459</v>
      </c>
      <c r="Y537" t="s">
        <v>10263</v>
      </c>
      <c r="Z537" t="s">
        <v>1461</v>
      </c>
      <c r="AA537" t="s">
        <v>74</v>
      </c>
      <c r="AB537" t="s">
        <v>74</v>
      </c>
      <c r="AC537" t="s">
        <v>10264</v>
      </c>
      <c r="AD537" t="s">
        <v>10265</v>
      </c>
      <c r="AE537" t="s">
        <v>10266</v>
      </c>
      <c r="AF537" t="s">
        <v>74</v>
      </c>
      <c r="AG537">
        <v>24</v>
      </c>
      <c r="AH537">
        <v>5</v>
      </c>
      <c r="AI537">
        <v>8</v>
      </c>
      <c r="AJ537">
        <v>0</v>
      </c>
      <c r="AK537">
        <v>20</v>
      </c>
      <c r="AL537" t="s">
        <v>1083</v>
      </c>
      <c r="AM537" t="s">
        <v>1084</v>
      </c>
      <c r="AN537" t="s">
        <v>1085</v>
      </c>
      <c r="AO537" t="s">
        <v>1230</v>
      </c>
      <c r="AP537" t="s">
        <v>1231</v>
      </c>
      <c r="AQ537" t="s">
        <v>74</v>
      </c>
      <c r="AR537" t="s">
        <v>1232</v>
      </c>
      <c r="AS537" t="s">
        <v>1233</v>
      </c>
      <c r="AT537" t="s">
        <v>9372</v>
      </c>
      <c r="AU537">
        <v>2012</v>
      </c>
      <c r="AV537">
        <v>55</v>
      </c>
      <c r="AW537">
        <v>2</v>
      </c>
      <c r="AX537" t="s">
        <v>74</v>
      </c>
      <c r="AY537" t="s">
        <v>74</v>
      </c>
      <c r="AZ537" t="s">
        <v>74</v>
      </c>
      <c r="BA537" t="s">
        <v>74</v>
      </c>
      <c r="BB537">
        <v>262</v>
      </c>
      <c r="BC537">
        <v>270</v>
      </c>
      <c r="BD537" t="s">
        <v>74</v>
      </c>
      <c r="BE537" t="s">
        <v>10267</v>
      </c>
      <c r="BF537" t="str">
        <f>HYPERLINK("http://dx.doi.org/10.1007/s11430-011-4355-2","http://dx.doi.org/10.1007/s11430-011-4355-2")</f>
        <v>http://dx.doi.org/10.1007/s11430-011-4355-2</v>
      </c>
      <c r="BG537" t="s">
        <v>74</v>
      </c>
      <c r="BH537" t="s">
        <v>74</v>
      </c>
      <c r="BI537">
        <v>9</v>
      </c>
      <c r="BJ537" t="s">
        <v>194</v>
      </c>
      <c r="BK537" t="s">
        <v>99</v>
      </c>
      <c r="BL537" t="s">
        <v>195</v>
      </c>
      <c r="BM537" t="s">
        <v>10268</v>
      </c>
      <c r="BN537" t="s">
        <v>74</v>
      </c>
      <c r="BO537" t="s">
        <v>74</v>
      </c>
      <c r="BP537" t="s">
        <v>74</v>
      </c>
      <c r="BQ537" t="s">
        <v>74</v>
      </c>
      <c r="BR537" t="s">
        <v>101</v>
      </c>
      <c r="BS537" t="s">
        <v>10269</v>
      </c>
      <c r="BT537" t="str">
        <f>HYPERLINK("https%3A%2F%2Fwww.webofscience.com%2Fwos%2Fwoscc%2Ffull-record%2FWOS:000299508900010","View Full Record in Web of Science")</f>
        <v>View Full Record in Web of Science</v>
      </c>
    </row>
    <row r="538" spans="1:72" x14ac:dyDescent="0.15">
      <c r="A538" t="s">
        <v>72</v>
      </c>
      <c r="B538" t="s">
        <v>10270</v>
      </c>
      <c r="C538" t="s">
        <v>74</v>
      </c>
      <c r="D538" t="s">
        <v>74</v>
      </c>
      <c r="E538" t="s">
        <v>74</v>
      </c>
      <c r="F538" t="s">
        <v>10271</v>
      </c>
      <c r="G538" t="s">
        <v>74</v>
      </c>
      <c r="H538" t="s">
        <v>74</v>
      </c>
      <c r="I538" t="s">
        <v>10272</v>
      </c>
      <c r="J538" t="s">
        <v>1219</v>
      </c>
      <c r="K538" t="s">
        <v>74</v>
      </c>
      <c r="L538" t="s">
        <v>74</v>
      </c>
      <c r="M538" t="s">
        <v>78</v>
      </c>
      <c r="N538" t="s">
        <v>79</v>
      </c>
      <c r="O538" t="s">
        <v>74</v>
      </c>
      <c r="P538" t="s">
        <v>74</v>
      </c>
      <c r="Q538" t="s">
        <v>74</v>
      </c>
      <c r="R538" t="s">
        <v>74</v>
      </c>
      <c r="S538" t="s">
        <v>74</v>
      </c>
      <c r="T538" t="s">
        <v>10273</v>
      </c>
      <c r="U538" t="s">
        <v>10274</v>
      </c>
      <c r="V538" t="s">
        <v>10275</v>
      </c>
      <c r="W538" t="s">
        <v>10276</v>
      </c>
      <c r="X538" t="s">
        <v>10277</v>
      </c>
      <c r="Y538" t="s">
        <v>10278</v>
      </c>
      <c r="Z538" t="s">
        <v>10279</v>
      </c>
      <c r="AA538" t="s">
        <v>74</v>
      </c>
      <c r="AB538" t="s">
        <v>74</v>
      </c>
      <c r="AC538" t="s">
        <v>10280</v>
      </c>
      <c r="AD538" t="s">
        <v>10281</v>
      </c>
      <c r="AE538" t="s">
        <v>10282</v>
      </c>
      <c r="AF538" t="s">
        <v>74</v>
      </c>
      <c r="AG538">
        <v>15</v>
      </c>
      <c r="AH538">
        <v>1</v>
      </c>
      <c r="AI538">
        <v>3</v>
      </c>
      <c r="AJ538">
        <v>3</v>
      </c>
      <c r="AK538">
        <v>14</v>
      </c>
      <c r="AL538" t="s">
        <v>1083</v>
      </c>
      <c r="AM538" t="s">
        <v>1084</v>
      </c>
      <c r="AN538" t="s">
        <v>1085</v>
      </c>
      <c r="AO538" t="s">
        <v>1230</v>
      </c>
      <c r="AP538" t="s">
        <v>74</v>
      </c>
      <c r="AQ538" t="s">
        <v>74</v>
      </c>
      <c r="AR538" t="s">
        <v>1232</v>
      </c>
      <c r="AS538" t="s">
        <v>1233</v>
      </c>
      <c r="AT538" t="s">
        <v>9372</v>
      </c>
      <c r="AU538">
        <v>2012</v>
      </c>
      <c r="AV538">
        <v>55</v>
      </c>
      <c r="AW538">
        <v>2</v>
      </c>
      <c r="AX538" t="s">
        <v>74</v>
      </c>
      <c r="AY538" t="s">
        <v>74</v>
      </c>
      <c r="AZ538" t="s">
        <v>74</v>
      </c>
      <c r="BA538" t="s">
        <v>74</v>
      </c>
      <c r="BB538">
        <v>315</v>
      </c>
      <c r="BC538">
        <v>322</v>
      </c>
      <c r="BD538" t="s">
        <v>74</v>
      </c>
      <c r="BE538" t="s">
        <v>10283</v>
      </c>
      <c r="BF538" t="str">
        <f>HYPERLINK("http://dx.doi.org/10.1007/s11430-011-4304-0","http://dx.doi.org/10.1007/s11430-011-4304-0")</f>
        <v>http://dx.doi.org/10.1007/s11430-011-4304-0</v>
      </c>
      <c r="BG538" t="s">
        <v>74</v>
      </c>
      <c r="BH538" t="s">
        <v>74</v>
      </c>
      <c r="BI538">
        <v>8</v>
      </c>
      <c r="BJ538" t="s">
        <v>194</v>
      </c>
      <c r="BK538" t="s">
        <v>99</v>
      </c>
      <c r="BL538" t="s">
        <v>195</v>
      </c>
      <c r="BM538" t="s">
        <v>10268</v>
      </c>
      <c r="BN538" t="s">
        <v>74</v>
      </c>
      <c r="BO538" t="s">
        <v>74</v>
      </c>
      <c r="BP538" t="s">
        <v>74</v>
      </c>
      <c r="BQ538" t="s">
        <v>74</v>
      </c>
      <c r="BR538" t="s">
        <v>101</v>
      </c>
      <c r="BS538" t="s">
        <v>10284</v>
      </c>
      <c r="BT538" t="str">
        <f>HYPERLINK("https%3A%2F%2Fwww.webofscience.com%2Fwos%2Fwoscc%2Ffull-record%2FWOS:000299508900016","View Full Record in Web of Science")</f>
        <v>View Full Record in Web of Science</v>
      </c>
    </row>
    <row r="539" spans="1:72" x14ac:dyDescent="0.15">
      <c r="A539" t="s">
        <v>72</v>
      </c>
      <c r="B539" t="s">
        <v>10285</v>
      </c>
      <c r="C539" t="s">
        <v>74</v>
      </c>
      <c r="D539" t="s">
        <v>74</v>
      </c>
      <c r="E539" t="s">
        <v>74</v>
      </c>
      <c r="F539" t="s">
        <v>10286</v>
      </c>
      <c r="G539" t="s">
        <v>74</v>
      </c>
      <c r="H539" t="s">
        <v>74</v>
      </c>
      <c r="I539" t="s">
        <v>10287</v>
      </c>
      <c r="J539" t="s">
        <v>10288</v>
      </c>
      <c r="K539" t="s">
        <v>74</v>
      </c>
      <c r="L539" t="s">
        <v>74</v>
      </c>
      <c r="M539" t="s">
        <v>78</v>
      </c>
      <c r="N539" t="s">
        <v>79</v>
      </c>
      <c r="O539" t="s">
        <v>74</v>
      </c>
      <c r="P539" t="s">
        <v>74</v>
      </c>
      <c r="Q539" t="s">
        <v>74</v>
      </c>
      <c r="R539" t="s">
        <v>74</v>
      </c>
      <c r="S539" t="s">
        <v>74</v>
      </c>
      <c r="T539" t="s">
        <v>10289</v>
      </c>
      <c r="U539" t="s">
        <v>10290</v>
      </c>
      <c r="V539" t="s">
        <v>10291</v>
      </c>
      <c r="W539" t="s">
        <v>10292</v>
      </c>
      <c r="X539" t="s">
        <v>10293</v>
      </c>
      <c r="Y539" t="s">
        <v>10294</v>
      </c>
      <c r="Z539" t="s">
        <v>10295</v>
      </c>
      <c r="AA539" t="s">
        <v>10296</v>
      </c>
      <c r="AB539" t="s">
        <v>10297</v>
      </c>
      <c r="AC539" t="s">
        <v>10298</v>
      </c>
      <c r="AD539" t="s">
        <v>10299</v>
      </c>
      <c r="AE539" t="s">
        <v>10300</v>
      </c>
      <c r="AF539" t="s">
        <v>74</v>
      </c>
      <c r="AG539">
        <v>54</v>
      </c>
      <c r="AH539">
        <v>19</v>
      </c>
      <c r="AI539">
        <v>22</v>
      </c>
      <c r="AJ539">
        <v>1</v>
      </c>
      <c r="AK539">
        <v>32</v>
      </c>
      <c r="AL539" t="s">
        <v>627</v>
      </c>
      <c r="AM539" t="s">
        <v>628</v>
      </c>
      <c r="AN539" t="s">
        <v>629</v>
      </c>
      <c r="AO539" t="s">
        <v>10301</v>
      </c>
      <c r="AP539" t="s">
        <v>10302</v>
      </c>
      <c r="AQ539" t="s">
        <v>74</v>
      </c>
      <c r="AR539" t="s">
        <v>10303</v>
      </c>
      <c r="AS539" t="s">
        <v>10304</v>
      </c>
      <c r="AT539" t="s">
        <v>9372</v>
      </c>
      <c r="AU539">
        <v>2012</v>
      </c>
      <c r="AV539">
        <v>279</v>
      </c>
      <c r="AW539">
        <v>3</v>
      </c>
      <c r="AX539" t="s">
        <v>74</v>
      </c>
      <c r="AY539" t="s">
        <v>74</v>
      </c>
      <c r="AZ539" t="s">
        <v>74</v>
      </c>
      <c r="BA539" t="s">
        <v>74</v>
      </c>
      <c r="BB539">
        <v>437</v>
      </c>
      <c r="BC539">
        <v>450</v>
      </c>
      <c r="BD539" t="s">
        <v>74</v>
      </c>
      <c r="BE539" t="s">
        <v>10305</v>
      </c>
      <c r="BF539" t="str">
        <f>HYPERLINK("http://dx.doi.org/10.1111/j.1742-4658.2011.08436.x","http://dx.doi.org/10.1111/j.1742-4658.2011.08436.x")</f>
        <v>http://dx.doi.org/10.1111/j.1742-4658.2011.08436.x</v>
      </c>
      <c r="BG539" t="s">
        <v>74</v>
      </c>
      <c r="BH539" t="s">
        <v>74</v>
      </c>
      <c r="BI539">
        <v>14</v>
      </c>
      <c r="BJ539" t="s">
        <v>2524</v>
      </c>
      <c r="BK539" t="s">
        <v>99</v>
      </c>
      <c r="BL539" t="s">
        <v>2524</v>
      </c>
      <c r="BM539" t="s">
        <v>10306</v>
      </c>
      <c r="BN539">
        <v>22129240</v>
      </c>
      <c r="BO539" t="s">
        <v>217</v>
      </c>
      <c r="BP539" t="s">
        <v>74</v>
      </c>
      <c r="BQ539" t="s">
        <v>74</v>
      </c>
      <c r="BR539" t="s">
        <v>101</v>
      </c>
      <c r="BS539" t="s">
        <v>10307</v>
      </c>
      <c r="BT539" t="str">
        <f>HYPERLINK("https%3A%2F%2Fwww.webofscience.com%2Fwos%2Fwoscc%2Ffull-record%2FWOS:000299255500007","View Full Record in Web of Science")</f>
        <v>View Full Record in Web of Science</v>
      </c>
    </row>
    <row r="540" spans="1:72" x14ac:dyDescent="0.15">
      <c r="A540" t="s">
        <v>72</v>
      </c>
      <c r="B540" t="s">
        <v>10308</v>
      </c>
      <c r="C540" t="s">
        <v>74</v>
      </c>
      <c r="D540" t="s">
        <v>74</v>
      </c>
      <c r="E540" t="s">
        <v>74</v>
      </c>
      <c r="F540" t="s">
        <v>10309</v>
      </c>
      <c r="G540" t="s">
        <v>74</v>
      </c>
      <c r="H540" t="s">
        <v>74</v>
      </c>
      <c r="I540" t="s">
        <v>10310</v>
      </c>
      <c r="J540" t="s">
        <v>1607</v>
      </c>
      <c r="K540" t="s">
        <v>74</v>
      </c>
      <c r="L540" t="s">
        <v>74</v>
      </c>
      <c r="M540" t="s">
        <v>78</v>
      </c>
      <c r="N540" t="s">
        <v>79</v>
      </c>
      <c r="O540" t="s">
        <v>74</v>
      </c>
      <c r="P540" t="s">
        <v>74</v>
      </c>
      <c r="Q540" t="s">
        <v>74</v>
      </c>
      <c r="R540" t="s">
        <v>74</v>
      </c>
      <c r="S540" t="s">
        <v>74</v>
      </c>
      <c r="T540" t="s">
        <v>10311</v>
      </c>
      <c r="U540" t="s">
        <v>10312</v>
      </c>
      <c r="V540" t="s">
        <v>10313</v>
      </c>
      <c r="W540" t="s">
        <v>10314</v>
      </c>
      <c r="X540" t="s">
        <v>10315</v>
      </c>
      <c r="Y540" t="s">
        <v>10316</v>
      </c>
      <c r="Z540" t="s">
        <v>10317</v>
      </c>
      <c r="AA540" t="s">
        <v>10318</v>
      </c>
      <c r="AB540" t="s">
        <v>10319</v>
      </c>
      <c r="AC540" t="s">
        <v>10320</v>
      </c>
      <c r="AD540" t="s">
        <v>10321</v>
      </c>
      <c r="AE540" t="s">
        <v>10322</v>
      </c>
      <c r="AF540" t="s">
        <v>74</v>
      </c>
      <c r="AG540">
        <v>35</v>
      </c>
      <c r="AH540">
        <v>21</v>
      </c>
      <c r="AI540">
        <v>25</v>
      </c>
      <c r="AJ540">
        <v>0</v>
      </c>
      <c r="AK540">
        <v>36</v>
      </c>
      <c r="AL540" t="s">
        <v>3895</v>
      </c>
      <c r="AM540" t="s">
        <v>3896</v>
      </c>
      <c r="AN540" t="s">
        <v>3897</v>
      </c>
      <c r="AO540" t="s">
        <v>1622</v>
      </c>
      <c r="AP540" t="s">
        <v>74</v>
      </c>
      <c r="AQ540" t="s">
        <v>74</v>
      </c>
      <c r="AR540" t="s">
        <v>1624</v>
      </c>
      <c r="AS540" t="s">
        <v>1625</v>
      </c>
      <c r="AT540" t="s">
        <v>9372</v>
      </c>
      <c r="AU540">
        <v>2012</v>
      </c>
      <c r="AV540">
        <v>188</v>
      </c>
      <c r="AW540">
        <v>2</v>
      </c>
      <c r="AX540" t="s">
        <v>74</v>
      </c>
      <c r="AY540" t="s">
        <v>74</v>
      </c>
      <c r="AZ540" t="s">
        <v>74</v>
      </c>
      <c r="BA540" t="s">
        <v>74</v>
      </c>
      <c r="BB540">
        <v>421</v>
      </c>
      <c r="BC540">
        <v>434</v>
      </c>
      <c r="BD540" t="s">
        <v>74</v>
      </c>
      <c r="BE540" t="s">
        <v>10323</v>
      </c>
      <c r="BF540" t="str">
        <f>HYPERLINK("http://dx.doi.org/10.1111/j.1365-246X.2011.05284.x","http://dx.doi.org/10.1111/j.1365-246X.2011.05284.x")</f>
        <v>http://dx.doi.org/10.1111/j.1365-246X.2011.05284.x</v>
      </c>
      <c r="BG540" t="s">
        <v>74</v>
      </c>
      <c r="BH540" t="s">
        <v>74</v>
      </c>
      <c r="BI540">
        <v>14</v>
      </c>
      <c r="BJ540" t="s">
        <v>1134</v>
      </c>
      <c r="BK540" t="s">
        <v>99</v>
      </c>
      <c r="BL540" t="s">
        <v>1134</v>
      </c>
      <c r="BM540" t="s">
        <v>10324</v>
      </c>
      <c r="BN540" t="s">
        <v>74</v>
      </c>
      <c r="BO540" t="s">
        <v>197</v>
      </c>
      <c r="BP540" t="s">
        <v>74</v>
      </c>
      <c r="BQ540" t="s">
        <v>74</v>
      </c>
      <c r="BR540" t="s">
        <v>101</v>
      </c>
      <c r="BS540" t="s">
        <v>10325</v>
      </c>
      <c r="BT540" t="str">
        <f>HYPERLINK("https%3A%2F%2Fwww.webofscience.com%2Fwos%2Fwoscc%2Ffull-record%2FWOS:000298840800003","View Full Record in Web of Science")</f>
        <v>View Full Record in Web of Science</v>
      </c>
    </row>
    <row r="541" spans="1:72" x14ac:dyDescent="0.15">
      <c r="A541" t="s">
        <v>72</v>
      </c>
      <c r="B541" t="s">
        <v>10326</v>
      </c>
      <c r="C541" t="s">
        <v>74</v>
      </c>
      <c r="D541" t="s">
        <v>74</v>
      </c>
      <c r="E541" t="s">
        <v>74</v>
      </c>
      <c r="F541" t="s">
        <v>10327</v>
      </c>
      <c r="G541" t="s">
        <v>74</v>
      </c>
      <c r="H541" t="s">
        <v>74</v>
      </c>
      <c r="I541" t="s">
        <v>10328</v>
      </c>
      <c r="J541" t="s">
        <v>2303</v>
      </c>
      <c r="K541" t="s">
        <v>74</v>
      </c>
      <c r="L541" t="s">
        <v>74</v>
      </c>
      <c r="M541" t="s">
        <v>78</v>
      </c>
      <c r="N541" t="s">
        <v>79</v>
      </c>
      <c r="O541" t="s">
        <v>74</v>
      </c>
      <c r="P541" t="s">
        <v>74</v>
      </c>
      <c r="Q541" t="s">
        <v>74</v>
      </c>
      <c r="R541" t="s">
        <v>74</v>
      </c>
      <c r="S541" t="s">
        <v>74</v>
      </c>
      <c r="T541" t="s">
        <v>10329</v>
      </c>
      <c r="U541" t="s">
        <v>10330</v>
      </c>
      <c r="V541" t="s">
        <v>10331</v>
      </c>
      <c r="W541" t="s">
        <v>10332</v>
      </c>
      <c r="X541" t="s">
        <v>3826</v>
      </c>
      <c r="Y541" t="s">
        <v>10333</v>
      </c>
      <c r="Z541" t="s">
        <v>10334</v>
      </c>
      <c r="AA541" t="s">
        <v>3828</v>
      </c>
      <c r="AB541" t="s">
        <v>10335</v>
      </c>
      <c r="AC541" t="s">
        <v>10336</v>
      </c>
      <c r="AD541" t="s">
        <v>7817</v>
      </c>
      <c r="AE541" t="s">
        <v>10337</v>
      </c>
      <c r="AF541" t="s">
        <v>74</v>
      </c>
      <c r="AG541">
        <v>42</v>
      </c>
      <c r="AH541">
        <v>14</v>
      </c>
      <c r="AI541">
        <v>16</v>
      </c>
      <c r="AJ541">
        <v>0</v>
      </c>
      <c r="AK541">
        <v>20</v>
      </c>
      <c r="AL541" t="s">
        <v>655</v>
      </c>
      <c r="AM541" t="s">
        <v>656</v>
      </c>
      <c r="AN541" t="s">
        <v>1908</v>
      </c>
      <c r="AO541" t="s">
        <v>2316</v>
      </c>
      <c r="AP541" t="s">
        <v>2338</v>
      </c>
      <c r="AQ541" t="s">
        <v>74</v>
      </c>
      <c r="AR541" t="s">
        <v>2317</v>
      </c>
      <c r="AS541" t="s">
        <v>2318</v>
      </c>
      <c r="AT541" t="s">
        <v>9372</v>
      </c>
      <c r="AU541">
        <v>2012</v>
      </c>
      <c r="AV541">
        <v>35</v>
      </c>
      <c r="AW541">
        <v>2</v>
      </c>
      <c r="AX541" t="s">
        <v>74</v>
      </c>
      <c r="AY541" t="s">
        <v>74</v>
      </c>
      <c r="AZ541" t="s">
        <v>74</v>
      </c>
      <c r="BA541" t="s">
        <v>74</v>
      </c>
      <c r="BB541">
        <v>171</v>
      </c>
      <c r="BC541">
        <v>177</v>
      </c>
      <c r="BD541" t="s">
        <v>74</v>
      </c>
      <c r="BE541" t="s">
        <v>10338</v>
      </c>
      <c r="BF541" t="str">
        <f>HYPERLINK("http://dx.doi.org/10.1007/s00300-011-1049-3","http://dx.doi.org/10.1007/s00300-011-1049-3")</f>
        <v>http://dx.doi.org/10.1007/s00300-011-1049-3</v>
      </c>
      <c r="BG541" t="s">
        <v>74</v>
      </c>
      <c r="BH541" t="s">
        <v>74</v>
      </c>
      <c r="BI541">
        <v>7</v>
      </c>
      <c r="BJ541" t="s">
        <v>2320</v>
      </c>
      <c r="BK541" t="s">
        <v>99</v>
      </c>
      <c r="BL541" t="s">
        <v>1784</v>
      </c>
      <c r="BM541" t="s">
        <v>10339</v>
      </c>
      <c r="BN541" t="s">
        <v>74</v>
      </c>
      <c r="BO541" t="s">
        <v>74</v>
      </c>
      <c r="BP541" t="s">
        <v>74</v>
      </c>
      <c r="BQ541" t="s">
        <v>74</v>
      </c>
      <c r="BR541" t="s">
        <v>101</v>
      </c>
      <c r="BS541" t="s">
        <v>10340</v>
      </c>
      <c r="BT541" t="str">
        <f>HYPERLINK("https%3A%2F%2Fwww.webofscience.com%2Fwos%2Fwoscc%2Ffull-record%2FWOS:000298858100002","View Full Record in Web of Science")</f>
        <v>View Full Record in Web of Science</v>
      </c>
    </row>
    <row r="542" spans="1:72" x14ac:dyDescent="0.15">
      <c r="A542" t="s">
        <v>72</v>
      </c>
      <c r="B542" t="s">
        <v>10341</v>
      </c>
      <c r="C542" t="s">
        <v>74</v>
      </c>
      <c r="D542" t="s">
        <v>74</v>
      </c>
      <c r="E542" t="s">
        <v>74</v>
      </c>
      <c r="F542" t="s">
        <v>10342</v>
      </c>
      <c r="G542" t="s">
        <v>74</v>
      </c>
      <c r="H542" t="s">
        <v>74</v>
      </c>
      <c r="I542" t="s">
        <v>10343</v>
      </c>
      <c r="J542" t="s">
        <v>2303</v>
      </c>
      <c r="K542" t="s">
        <v>74</v>
      </c>
      <c r="L542" t="s">
        <v>74</v>
      </c>
      <c r="M542" t="s">
        <v>78</v>
      </c>
      <c r="N542" t="s">
        <v>79</v>
      </c>
      <c r="O542" t="s">
        <v>74</v>
      </c>
      <c r="P542" t="s">
        <v>74</v>
      </c>
      <c r="Q542" t="s">
        <v>74</v>
      </c>
      <c r="R542" t="s">
        <v>74</v>
      </c>
      <c r="S542" t="s">
        <v>74</v>
      </c>
      <c r="T542" t="s">
        <v>10344</v>
      </c>
      <c r="U542" t="s">
        <v>10345</v>
      </c>
      <c r="V542" t="s">
        <v>10346</v>
      </c>
      <c r="W542" t="s">
        <v>10347</v>
      </c>
      <c r="X542" t="s">
        <v>10348</v>
      </c>
      <c r="Y542" t="s">
        <v>10349</v>
      </c>
      <c r="Z542" t="s">
        <v>10350</v>
      </c>
      <c r="AA542" t="s">
        <v>10351</v>
      </c>
      <c r="AB542" t="s">
        <v>10352</v>
      </c>
      <c r="AC542" t="s">
        <v>10353</v>
      </c>
      <c r="AD542" t="s">
        <v>10354</v>
      </c>
      <c r="AE542" t="s">
        <v>10355</v>
      </c>
      <c r="AF542" t="s">
        <v>74</v>
      </c>
      <c r="AG542">
        <v>29</v>
      </c>
      <c r="AH542">
        <v>2</v>
      </c>
      <c r="AI542">
        <v>2</v>
      </c>
      <c r="AJ542">
        <v>0</v>
      </c>
      <c r="AK542">
        <v>13</v>
      </c>
      <c r="AL542" t="s">
        <v>655</v>
      </c>
      <c r="AM542" t="s">
        <v>656</v>
      </c>
      <c r="AN542" t="s">
        <v>657</v>
      </c>
      <c r="AO542" t="s">
        <v>2316</v>
      </c>
      <c r="AP542" t="s">
        <v>2338</v>
      </c>
      <c r="AQ542" t="s">
        <v>74</v>
      </c>
      <c r="AR542" t="s">
        <v>2317</v>
      </c>
      <c r="AS542" t="s">
        <v>2318</v>
      </c>
      <c r="AT542" t="s">
        <v>9372</v>
      </c>
      <c r="AU542">
        <v>2012</v>
      </c>
      <c r="AV542">
        <v>35</v>
      </c>
      <c r="AW542">
        <v>2</v>
      </c>
      <c r="AX542" t="s">
        <v>74</v>
      </c>
      <c r="AY542" t="s">
        <v>74</v>
      </c>
      <c r="AZ542" t="s">
        <v>74</v>
      </c>
      <c r="BA542" t="s">
        <v>74</v>
      </c>
      <c r="BB542">
        <v>215</v>
      </c>
      <c r="BC542">
        <v>220</v>
      </c>
      <c r="BD542" t="s">
        <v>74</v>
      </c>
      <c r="BE542" t="s">
        <v>10356</v>
      </c>
      <c r="BF542" t="str">
        <f>HYPERLINK("http://dx.doi.org/10.1007/s00300-011-1057-3","http://dx.doi.org/10.1007/s00300-011-1057-3")</f>
        <v>http://dx.doi.org/10.1007/s00300-011-1057-3</v>
      </c>
      <c r="BG542" t="s">
        <v>74</v>
      </c>
      <c r="BH542" t="s">
        <v>74</v>
      </c>
      <c r="BI542">
        <v>6</v>
      </c>
      <c r="BJ542" t="s">
        <v>2320</v>
      </c>
      <c r="BK542" t="s">
        <v>99</v>
      </c>
      <c r="BL542" t="s">
        <v>1784</v>
      </c>
      <c r="BM542" t="s">
        <v>10339</v>
      </c>
      <c r="BN542" t="s">
        <v>74</v>
      </c>
      <c r="BO542" t="s">
        <v>74</v>
      </c>
      <c r="BP542" t="s">
        <v>74</v>
      </c>
      <c r="BQ542" t="s">
        <v>74</v>
      </c>
      <c r="BR542" t="s">
        <v>101</v>
      </c>
      <c r="BS542" t="s">
        <v>10357</v>
      </c>
      <c r="BT542" t="str">
        <f>HYPERLINK("https%3A%2F%2Fwww.webofscience.com%2Fwos%2Fwoscc%2Ffull-record%2FWOS:000298858100006","View Full Record in Web of Science")</f>
        <v>View Full Record in Web of Science</v>
      </c>
    </row>
    <row r="543" spans="1:72" x14ac:dyDescent="0.15">
      <c r="A543" t="s">
        <v>72</v>
      </c>
      <c r="B543" t="s">
        <v>10358</v>
      </c>
      <c r="C543" t="s">
        <v>74</v>
      </c>
      <c r="D543" t="s">
        <v>74</v>
      </c>
      <c r="E543" t="s">
        <v>74</v>
      </c>
      <c r="F543" t="s">
        <v>10359</v>
      </c>
      <c r="G543" t="s">
        <v>74</v>
      </c>
      <c r="H543" t="s">
        <v>74</v>
      </c>
      <c r="I543" t="s">
        <v>10360</v>
      </c>
      <c r="J543" t="s">
        <v>2303</v>
      </c>
      <c r="K543" t="s">
        <v>74</v>
      </c>
      <c r="L543" t="s">
        <v>74</v>
      </c>
      <c r="M543" t="s">
        <v>78</v>
      </c>
      <c r="N543" t="s">
        <v>79</v>
      </c>
      <c r="O543" t="s">
        <v>74</v>
      </c>
      <c r="P543" t="s">
        <v>74</v>
      </c>
      <c r="Q543" t="s">
        <v>74</v>
      </c>
      <c r="R543" t="s">
        <v>74</v>
      </c>
      <c r="S543" t="s">
        <v>74</v>
      </c>
      <c r="T543" t="s">
        <v>10361</v>
      </c>
      <c r="U543" t="s">
        <v>10362</v>
      </c>
      <c r="V543" t="s">
        <v>10363</v>
      </c>
      <c r="W543" t="s">
        <v>10364</v>
      </c>
      <c r="X543" t="s">
        <v>2023</v>
      </c>
      <c r="Y543" t="s">
        <v>10365</v>
      </c>
      <c r="Z543" t="s">
        <v>10366</v>
      </c>
      <c r="AA543" t="s">
        <v>74</v>
      </c>
      <c r="AB543" t="s">
        <v>10367</v>
      </c>
      <c r="AC543" t="s">
        <v>10368</v>
      </c>
      <c r="AD543" t="s">
        <v>10369</v>
      </c>
      <c r="AE543" t="s">
        <v>10370</v>
      </c>
      <c r="AF543" t="s">
        <v>74</v>
      </c>
      <c r="AG543">
        <v>53</v>
      </c>
      <c r="AH543">
        <v>5</v>
      </c>
      <c r="AI543">
        <v>6</v>
      </c>
      <c r="AJ543">
        <v>1</v>
      </c>
      <c r="AK543">
        <v>26</v>
      </c>
      <c r="AL543" t="s">
        <v>655</v>
      </c>
      <c r="AM543" t="s">
        <v>656</v>
      </c>
      <c r="AN543" t="s">
        <v>657</v>
      </c>
      <c r="AO543" t="s">
        <v>2316</v>
      </c>
      <c r="AP543" t="s">
        <v>2338</v>
      </c>
      <c r="AQ543" t="s">
        <v>74</v>
      </c>
      <c r="AR543" t="s">
        <v>2317</v>
      </c>
      <c r="AS543" t="s">
        <v>2318</v>
      </c>
      <c r="AT543" t="s">
        <v>9372</v>
      </c>
      <c r="AU543">
        <v>2012</v>
      </c>
      <c r="AV543">
        <v>35</v>
      </c>
      <c r="AW543">
        <v>2</v>
      </c>
      <c r="AX543" t="s">
        <v>74</v>
      </c>
      <c r="AY543" t="s">
        <v>74</v>
      </c>
      <c r="AZ543" t="s">
        <v>74</v>
      </c>
      <c r="BA543" t="s">
        <v>74</v>
      </c>
      <c r="BB543">
        <v>231</v>
      </c>
      <c r="BC543">
        <v>239</v>
      </c>
      <c r="BD543" t="s">
        <v>74</v>
      </c>
      <c r="BE543" t="s">
        <v>10371</v>
      </c>
      <c r="BF543" t="str">
        <f>HYPERLINK("http://dx.doi.org/10.1007/s00300-011-1066-2","http://dx.doi.org/10.1007/s00300-011-1066-2")</f>
        <v>http://dx.doi.org/10.1007/s00300-011-1066-2</v>
      </c>
      <c r="BG543" t="s">
        <v>74</v>
      </c>
      <c r="BH543" t="s">
        <v>74</v>
      </c>
      <c r="BI543">
        <v>9</v>
      </c>
      <c r="BJ543" t="s">
        <v>2320</v>
      </c>
      <c r="BK543" t="s">
        <v>99</v>
      </c>
      <c r="BL543" t="s">
        <v>1784</v>
      </c>
      <c r="BM543" t="s">
        <v>10339</v>
      </c>
      <c r="BN543" t="s">
        <v>74</v>
      </c>
      <c r="BO543" t="s">
        <v>74</v>
      </c>
      <c r="BP543" t="s">
        <v>74</v>
      </c>
      <c r="BQ543" t="s">
        <v>74</v>
      </c>
      <c r="BR543" t="s">
        <v>101</v>
      </c>
      <c r="BS543" t="s">
        <v>10372</v>
      </c>
      <c r="BT543" t="str">
        <f>HYPERLINK("https%3A%2F%2Fwww.webofscience.com%2Fwos%2Fwoscc%2Ffull-record%2FWOS:000298858100008","View Full Record in Web of Science")</f>
        <v>View Full Record in Web of Science</v>
      </c>
    </row>
    <row r="544" spans="1:72" x14ac:dyDescent="0.15">
      <c r="A544" t="s">
        <v>72</v>
      </c>
      <c r="B544" t="s">
        <v>10373</v>
      </c>
      <c r="C544" t="s">
        <v>74</v>
      </c>
      <c r="D544" t="s">
        <v>74</v>
      </c>
      <c r="E544" t="s">
        <v>74</v>
      </c>
      <c r="F544" t="s">
        <v>10374</v>
      </c>
      <c r="G544" t="s">
        <v>74</v>
      </c>
      <c r="H544" t="s">
        <v>74</v>
      </c>
      <c r="I544" t="s">
        <v>10375</v>
      </c>
      <c r="J544" t="s">
        <v>4967</v>
      </c>
      <c r="K544" t="s">
        <v>74</v>
      </c>
      <c r="L544" t="s">
        <v>74</v>
      </c>
      <c r="M544" t="s">
        <v>78</v>
      </c>
      <c r="N544" t="s">
        <v>79</v>
      </c>
      <c r="O544" t="s">
        <v>74</v>
      </c>
      <c r="P544" t="s">
        <v>74</v>
      </c>
      <c r="Q544" t="s">
        <v>74</v>
      </c>
      <c r="R544" t="s">
        <v>74</v>
      </c>
      <c r="S544" t="s">
        <v>74</v>
      </c>
      <c r="T544" t="s">
        <v>10376</v>
      </c>
      <c r="U544" t="s">
        <v>10377</v>
      </c>
      <c r="V544" t="s">
        <v>10378</v>
      </c>
      <c r="W544" t="s">
        <v>10379</v>
      </c>
      <c r="X544" t="s">
        <v>10380</v>
      </c>
      <c r="Y544" t="s">
        <v>10381</v>
      </c>
      <c r="Z544" t="s">
        <v>10382</v>
      </c>
      <c r="AA544" t="s">
        <v>10383</v>
      </c>
      <c r="AB544" t="s">
        <v>10384</v>
      </c>
      <c r="AC544" t="s">
        <v>10385</v>
      </c>
      <c r="AD544" t="s">
        <v>10385</v>
      </c>
      <c r="AE544" t="s">
        <v>10386</v>
      </c>
      <c r="AF544" t="s">
        <v>74</v>
      </c>
      <c r="AG544">
        <v>73</v>
      </c>
      <c r="AH544">
        <v>10</v>
      </c>
      <c r="AI544">
        <v>10</v>
      </c>
      <c r="AJ544">
        <v>0</v>
      </c>
      <c r="AK544">
        <v>30</v>
      </c>
      <c r="AL544" t="s">
        <v>935</v>
      </c>
      <c r="AM544" t="s">
        <v>369</v>
      </c>
      <c r="AN544" t="s">
        <v>936</v>
      </c>
      <c r="AO544" t="s">
        <v>4980</v>
      </c>
      <c r="AP544" t="s">
        <v>4981</v>
      </c>
      <c r="AQ544" t="s">
        <v>74</v>
      </c>
      <c r="AR544" t="s">
        <v>4982</v>
      </c>
      <c r="AS544" t="s">
        <v>4983</v>
      </c>
      <c r="AT544" t="s">
        <v>9372</v>
      </c>
      <c r="AU544">
        <v>2012</v>
      </c>
      <c r="AV544">
        <v>90</v>
      </c>
      <c r="AW544">
        <v>1</v>
      </c>
      <c r="AX544" t="s">
        <v>74</v>
      </c>
      <c r="AY544" t="s">
        <v>74</v>
      </c>
      <c r="AZ544" t="s">
        <v>74</v>
      </c>
      <c r="BA544" t="s">
        <v>74</v>
      </c>
      <c r="BB544">
        <v>58</v>
      </c>
      <c r="BC544">
        <v>66</v>
      </c>
      <c r="BD544" t="s">
        <v>74</v>
      </c>
      <c r="BE544" t="s">
        <v>10387</v>
      </c>
      <c r="BF544" t="str">
        <f>HYPERLINK("http://dx.doi.org/10.1016/j.jmarsys.2011.08.009","http://dx.doi.org/10.1016/j.jmarsys.2011.08.009")</f>
        <v>http://dx.doi.org/10.1016/j.jmarsys.2011.08.009</v>
      </c>
      <c r="BG544" t="s">
        <v>74</v>
      </c>
      <c r="BH544" t="s">
        <v>74</v>
      </c>
      <c r="BI544">
        <v>9</v>
      </c>
      <c r="BJ544" t="s">
        <v>4985</v>
      </c>
      <c r="BK544" t="s">
        <v>99</v>
      </c>
      <c r="BL544" t="s">
        <v>4986</v>
      </c>
      <c r="BM544" t="s">
        <v>10388</v>
      </c>
      <c r="BN544" t="s">
        <v>74</v>
      </c>
      <c r="BO544" t="s">
        <v>74</v>
      </c>
      <c r="BP544" t="s">
        <v>74</v>
      </c>
      <c r="BQ544" t="s">
        <v>74</v>
      </c>
      <c r="BR544" t="s">
        <v>101</v>
      </c>
      <c r="BS544" t="s">
        <v>10389</v>
      </c>
      <c r="BT544" t="str">
        <f>HYPERLINK("https%3A%2F%2Fwww.webofscience.com%2Fwos%2Fwoscc%2Ffull-record%2FWOS:000296997300006","View Full Record in Web of Science")</f>
        <v>View Full Record in Web of Science</v>
      </c>
    </row>
    <row r="545" spans="1:72" x14ac:dyDescent="0.15">
      <c r="A545" t="s">
        <v>72</v>
      </c>
      <c r="B545" t="s">
        <v>10390</v>
      </c>
      <c r="C545" t="s">
        <v>74</v>
      </c>
      <c r="D545" t="s">
        <v>74</v>
      </c>
      <c r="E545" t="s">
        <v>74</v>
      </c>
      <c r="F545" t="s">
        <v>10391</v>
      </c>
      <c r="G545" t="s">
        <v>74</v>
      </c>
      <c r="H545" t="s">
        <v>74</v>
      </c>
      <c r="I545" t="s">
        <v>10392</v>
      </c>
      <c r="J545" t="s">
        <v>1674</v>
      </c>
      <c r="K545" t="s">
        <v>74</v>
      </c>
      <c r="L545" t="s">
        <v>74</v>
      </c>
      <c r="M545" t="s">
        <v>78</v>
      </c>
      <c r="N545" t="s">
        <v>79</v>
      </c>
      <c r="O545" t="s">
        <v>74</v>
      </c>
      <c r="P545" t="s">
        <v>74</v>
      </c>
      <c r="Q545" t="s">
        <v>74</v>
      </c>
      <c r="R545" t="s">
        <v>74</v>
      </c>
      <c r="S545" t="s">
        <v>74</v>
      </c>
      <c r="T545" t="s">
        <v>10393</v>
      </c>
      <c r="U545" t="s">
        <v>10394</v>
      </c>
      <c r="V545" t="s">
        <v>10395</v>
      </c>
      <c r="W545" t="s">
        <v>10396</v>
      </c>
      <c r="X545" t="s">
        <v>10397</v>
      </c>
      <c r="Y545" t="s">
        <v>10398</v>
      </c>
      <c r="Z545" t="s">
        <v>10399</v>
      </c>
      <c r="AA545" t="s">
        <v>10400</v>
      </c>
      <c r="AB545" t="s">
        <v>10401</v>
      </c>
      <c r="AC545" t="s">
        <v>10402</v>
      </c>
      <c r="AD545" t="s">
        <v>10403</v>
      </c>
      <c r="AE545" t="s">
        <v>10404</v>
      </c>
      <c r="AF545" t="s">
        <v>74</v>
      </c>
      <c r="AG545">
        <v>49</v>
      </c>
      <c r="AH545">
        <v>8</v>
      </c>
      <c r="AI545">
        <v>9</v>
      </c>
      <c r="AJ545">
        <v>0</v>
      </c>
      <c r="AK545">
        <v>12</v>
      </c>
      <c r="AL545" t="s">
        <v>1686</v>
      </c>
      <c r="AM545" t="s">
        <v>1687</v>
      </c>
      <c r="AN545" t="s">
        <v>1688</v>
      </c>
      <c r="AO545" t="s">
        <v>1689</v>
      </c>
      <c r="AP545" t="s">
        <v>74</v>
      </c>
      <c r="AQ545" t="s">
        <v>74</v>
      </c>
      <c r="AR545" t="s">
        <v>1691</v>
      </c>
      <c r="AS545" t="s">
        <v>1692</v>
      </c>
      <c r="AT545" t="s">
        <v>10405</v>
      </c>
      <c r="AU545">
        <v>2012</v>
      </c>
      <c r="AV545">
        <v>97</v>
      </c>
      <c r="AW545" t="s">
        <v>9897</v>
      </c>
      <c r="AX545" t="s">
        <v>74</v>
      </c>
      <c r="AY545" t="s">
        <v>74</v>
      </c>
      <c r="AZ545" t="s">
        <v>74</v>
      </c>
      <c r="BA545" t="s">
        <v>74</v>
      </c>
      <c r="BB545">
        <v>268</v>
      </c>
      <c r="BC545">
        <v>280</v>
      </c>
      <c r="BD545" t="s">
        <v>74</v>
      </c>
      <c r="BE545" t="s">
        <v>10406</v>
      </c>
      <c r="BF545" t="str">
        <f>HYPERLINK("http://dx.doi.org/10.2138/am.2012.3827","http://dx.doi.org/10.2138/am.2012.3827")</f>
        <v>http://dx.doi.org/10.2138/am.2012.3827</v>
      </c>
      <c r="BG545" t="s">
        <v>74</v>
      </c>
      <c r="BH545" t="s">
        <v>74</v>
      </c>
      <c r="BI545">
        <v>13</v>
      </c>
      <c r="BJ545" t="s">
        <v>1530</v>
      </c>
      <c r="BK545" t="s">
        <v>99</v>
      </c>
      <c r="BL545" t="s">
        <v>1530</v>
      </c>
      <c r="BM545" t="s">
        <v>10407</v>
      </c>
      <c r="BN545" t="s">
        <v>74</v>
      </c>
      <c r="BO545" t="s">
        <v>74</v>
      </c>
      <c r="BP545" t="s">
        <v>74</v>
      </c>
      <c r="BQ545" t="s">
        <v>74</v>
      </c>
      <c r="BR545" t="s">
        <v>101</v>
      </c>
      <c r="BS545" t="s">
        <v>10408</v>
      </c>
      <c r="BT545" t="str">
        <f>HYPERLINK("https%3A%2F%2Fwww.webofscience.com%2Fwos%2Fwoscc%2Ffull-record%2FWOS:000300209500003","View Full Record in Web of Science")</f>
        <v>View Full Record in Web of Science</v>
      </c>
    </row>
    <row r="546" spans="1:72" x14ac:dyDescent="0.15">
      <c r="A546" t="s">
        <v>72</v>
      </c>
      <c r="B546" t="s">
        <v>10409</v>
      </c>
      <c r="C546" t="s">
        <v>74</v>
      </c>
      <c r="D546" t="s">
        <v>74</v>
      </c>
      <c r="E546" t="s">
        <v>74</v>
      </c>
      <c r="F546" t="s">
        <v>10410</v>
      </c>
      <c r="G546" t="s">
        <v>74</v>
      </c>
      <c r="H546" t="s">
        <v>74</v>
      </c>
      <c r="I546" t="s">
        <v>10411</v>
      </c>
      <c r="J546" t="s">
        <v>4645</v>
      </c>
      <c r="K546" t="s">
        <v>74</v>
      </c>
      <c r="L546" t="s">
        <v>74</v>
      </c>
      <c r="M546" t="s">
        <v>78</v>
      </c>
      <c r="N546" t="s">
        <v>2225</v>
      </c>
      <c r="O546" t="s">
        <v>74</v>
      </c>
      <c r="P546" t="s">
        <v>74</v>
      </c>
      <c r="Q546" t="s">
        <v>74</v>
      </c>
      <c r="R546" t="s">
        <v>74</v>
      </c>
      <c r="S546" t="s">
        <v>74</v>
      </c>
      <c r="T546" t="s">
        <v>74</v>
      </c>
      <c r="U546" t="s">
        <v>74</v>
      </c>
      <c r="V546" t="s">
        <v>74</v>
      </c>
      <c r="W546" t="s">
        <v>74</v>
      </c>
      <c r="X546" t="s">
        <v>74</v>
      </c>
      <c r="Y546" t="s">
        <v>74</v>
      </c>
      <c r="Z546" t="s">
        <v>74</v>
      </c>
      <c r="AA546" t="s">
        <v>74</v>
      </c>
      <c r="AB546" t="s">
        <v>74</v>
      </c>
      <c r="AC546" t="s">
        <v>74</v>
      </c>
      <c r="AD546" t="s">
        <v>74</v>
      </c>
      <c r="AE546" t="s">
        <v>74</v>
      </c>
      <c r="AF546" t="s">
        <v>74</v>
      </c>
      <c r="AG546">
        <v>0</v>
      </c>
      <c r="AH546">
        <v>0</v>
      </c>
      <c r="AI546">
        <v>0</v>
      </c>
      <c r="AJ546">
        <v>0</v>
      </c>
      <c r="AK546">
        <v>2</v>
      </c>
      <c r="AL546" t="s">
        <v>1111</v>
      </c>
      <c r="AM546" t="s">
        <v>656</v>
      </c>
      <c r="AN546" t="s">
        <v>1209</v>
      </c>
      <c r="AO546" t="s">
        <v>4646</v>
      </c>
      <c r="AP546" t="s">
        <v>74</v>
      </c>
      <c r="AQ546" t="s">
        <v>74</v>
      </c>
      <c r="AR546" t="s">
        <v>4647</v>
      </c>
      <c r="AS546" t="s">
        <v>4648</v>
      </c>
      <c r="AT546" t="s">
        <v>9372</v>
      </c>
      <c r="AU546">
        <v>2012</v>
      </c>
      <c r="AV546">
        <v>24</v>
      </c>
      <c r="AW546">
        <v>1</v>
      </c>
      <c r="AX546" t="s">
        <v>74</v>
      </c>
      <c r="AY546" t="s">
        <v>74</v>
      </c>
      <c r="AZ546" t="s">
        <v>74</v>
      </c>
      <c r="BA546" t="s">
        <v>74</v>
      </c>
      <c r="BB546">
        <v>1</v>
      </c>
      <c r="BC546">
        <v>1</v>
      </c>
      <c r="BD546" t="s">
        <v>74</v>
      </c>
      <c r="BE546" t="s">
        <v>10412</v>
      </c>
      <c r="BF546" t="str">
        <f>HYPERLINK("http://dx.doi.org/10.1017/S0954102012000053","http://dx.doi.org/10.1017/S0954102012000053")</f>
        <v>http://dx.doi.org/10.1017/S0954102012000053</v>
      </c>
      <c r="BG546" t="s">
        <v>74</v>
      </c>
      <c r="BH546" t="s">
        <v>74</v>
      </c>
      <c r="BI546">
        <v>1</v>
      </c>
      <c r="BJ546" t="s">
        <v>4650</v>
      </c>
      <c r="BK546" t="s">
        <v>99</v>
      </c>
      <c r="BL546" t="s">
        <v>4651</v>
      </c>
      <c r="BM546" t="s">
        <v>10056</v>
      </c>
      <c r="BN546" t="s">
        <v>74</v>
      </c>
      <c r="BO546" t="s">
        <v>217</v>
      </c>
      <c r="BP546" t="s">
        <v>74</v>
      </c>
      <c r="BQ546" t="s">
        <v>74</v>
      </c>
      <c r="BR546" t="s">
        <v>101</v>
      </c>
      <c r="BS546" t="s">
        <v>10413</v>
      </c>
      <c r="BT546" t="str">
        <f>HYPERLINK("https%3A%2F%2Fwww.webofscience.com%2Fwos%2Fwoscc%2Ffull-record%2FWOS:000299936300001","View Full Record in Web of Science")</f>
        <v>View Full Record in Web of Science</v>
      </c>
    </row>
    <row r="547" spans="1:72" x14ac:dyDescent="0.15">
      <c r="A547" t="s">
        <v>72</v>
      </c>
      <c r="B547" t="s">
        <v>10414</v>
      </c>
      <c r="C547" t="s">
        <v>74</v>
      </c>
      <c r="D547" t="s">
        <v>74</v>
      </c>
      <c r="E547" t="s">
        <v>74</v>
      </c>
      <c r="F547" t="s">
        <v>10415</v>
      </c>
      <c r="G547" t="s">
        <v>74</v>
      </c>
      <c r="H547" t="s">
        <v>74</v>
      </c>
      <c r="I547" t="s">
        <v>10416</v>
      </c>
      <c r="J547" t="s">
        <v>4645</v>
      </c>
      <c r="K547" t="s">
        <v>74</v>
      </c>
      <c r="L547" t="s">
        <v>74</v>
      </c>
      <c r="M547" t="s">
        <v>78</v>
      </c>
      <c r="N547" t="s">
        <v>79</v>
      </c>
      <c r="O547" t="s">
        <v>74</v>
      </c>
      <c r="P547" t="s">
        <v>74</v>
      </c>
      <c r="Q547" t="s">
        <v>74</v>
      </c>
      <c r="R547" t="s">
        <v>74</v>
      </c>
      <c r="S547" t="s">
        <v>74</v>
      </c>
      <c r="T547" t="s">
        <v>10417</v>
      </c>
      <c r="U547" t="s">
        <v>10418</v>
      </c>
      <c r="V547" t="s">
        <v>10419</v>
      </c>
      <c r="W547" t="s">
        <v>10420</v>
      </c>
      <c r="X547" t="s">
        <v>10421</v>
      </c>
      <c r="Y547" t="s">
        <v>10422</v>
      </c>
      <c r="Z547" t="s">
        <v>10423</v>
      </c>
      <c r="AA547" t="s">
        <v>74</v>
      </c>
      <c r="AB547" t="s">
        <v>10424</v>
      </c>
      <c r="AC547" t="s">
        <v>10425</v>
      </c>
      <c r="AD547" t="s">
        <v>10426</v>
      </c>
      <c r="AE547" t="s">
        <v>10427</v>
      </c>
      <c r="AF547" t="s">
        <v>74</v>
      </c>
      <c r="AG547">
        <v>36</v>
      </c>
      <c r="AH547">
        <v>32</v>
      </c>
      <c r="AI547">
        <v>36</v>
      </c>
      <c r="AJ547">
        <v>0</v>
      </c>
      <c r="AK547">
        <v>20</v>
      </c>
      <c r="AL547" t="s">
        <v>1111</v>
      </c>
      <c r="AM547" t="s">
        <v>656</v>
      </c>
      <c r="AN547" t="s">
        <v>1209</v>
      </c>
      <c r="AO547" t="s">
        <v>4646</v>
      </c>
      <c r="AP547" t="s">
        <v>5458</v>
      </c>
      <c r="AQ547" t="s">
        <v>74</v>
      </c>
      <c r="AR547" t="s">
        <v>4647</v>
      </c>
      <c r="AS547" t="s">
        <v>4648</v>
      </c>
      <c r="AT547" t="s">
        <v>9372</v>
      </c>
      <c r="AU547">
        <v>2012</v>
      </c>
      <c r="AV547">
        <v>24</v>
      </c>
      <c r="AW547">
        <v>1</v>
      </c>
      <c r="AX547" t="s">
        <v>74</v>
      </c>
      <c r="AY547" t="s">
        <v>74</v>
      </c>
      <c r="AZ547" t="s">
        <v>74</v>
      </c>
      <c r="BA547" t="s">
        <v>74</v>
      </c>
      <c r="BB547">
        <v>3</v>
      </c>
      <c r="BC547">
        <v>14</v>
      </c>
      <c r="BD547" t="s">
        <v>74</v>
      </c>
      <c r="BE547" t="s">
        <v>10428</v>
      </c>
      <c r="BF547" t="str">
        <f>HYPERLINK("http://dx.doi.org/10.1017/S0954102011000617","http://dx.doi.org/10.1017/S0954102011000617")</f>
        <v>http://dx.doi.org/10.1017/S0954102011000617</v>
      </c>
      <c r="BG547" t="s">
        <v>74</v>
      </c>
      <c r="BH547" t="s">
        <v>74</v>
      </c>
      <c r="BI547">
        <v>12</v>
      </c>
      <c r="BJ547" t="s">
        <v>4650</v>
      </c>
      <c r="BK547" t="s">
        <v>99</v>
      </c>
      <c r="BL547" t="s">
        <v>4651</v>
      </c>
      <c r="BM547" t="s">
        <v>10056</v>
      </c>
      <c r="BN547" t="s">
        <v>74</v>
      </c>
      <c r="BO547" t="s">
        <v>156</v>
      </c>
      <c r="BP547" t="s">
        <v>74</v>
      </c>
      <c r="BQ547" t="s">
        <v>74</v>
      </c>
      <c r="BR547" t="s">
        <v>101</v>
      </c>
      <c r="BS547" t="s">
        <v>10429</v>
      </c>
      <c r="BT547" t="str">
        <f>HYPERLINK("https%3A%2F%2Fwww.webofscience.com%2Fwos%2Fwoscc%2Ffull-record%2FWOS:000299936300002","View Full Record in Web of Science")</f>
        <v>View Full Record in Web of Science</v>
      </c>
    </row>
    <row r="548" spans="1:72" x14ac:dyDescent="0.15">
      <c r="A548" t="s">
        <v>72</v>
      </c>
      <c r="B548" t="s">
        <v>10430</v>
      </c>
      <c r="C548" t="s">
        <v>74</v>
      </c>
      <c r="D548" t="s">
        <v>74</v>
      </c>
      <c r="E548" t="s">
        <v>74</v>
      </c>
      <c r="F548" t="s">
        <v>10431</v>
      </c>
      <c r="G548" t="s">
        <v>74</v>
      </c>
      <c r="H548" t="s">
        <v>74</v>
      </c>
      <c r="I548" t="s">
        <v>10432</v>
      </c>
      <c r="J548" t="s">
        <v>4645</v>
      </c>
      <c r="K548" t="s">
        <v>74</v>
      </c>
      <c r="L548" t="s">
        <v>74</v>
      </c>
      <c r="M548" t="s">
        <v>78</v>
      </c>
      <c r="N548" t="s">
        <v>79</v>
      </c>
      <c r="O548" t="s">
        <v>74</v>
      </c>
      <c r="P548" t="s">
        <v>74</v>
      </c>
      <c r="Q548" t="s">
        <v>74</v>
      </c>
      <c r="R548" t="s">
        <v>74</v>
      </c>
      <c r="S548" t="s">
        <v>74</v>
      </c>
      <c r="T548" t="s">
        <v>10433</v>
      </c>
      <c r="U548" t="s">
        <v>10434</v>
      </c>
      <c r="V548" t="s">
        <v>10435</v>
      </c>
      <c r="W548" t="s">
        <v>10436</v>
      </c>
      <c r="X548" t="s">
        <v>10437</v>
      </c>
      <c r="Y548" t="s">
        <v>10438</v>
      </c>
      <c r="Z548" t="s">
        <v>10439</v>
      </c>
      <c r="AA548" t="s">
        <v>10440</v>
      </c>
      <c r="AB548" t="s">
        <v>10441</v>
      </c>
      <c r="AC548" t="s">
        <v>10442</v>
      </c>
      <c r="AD548" t="s">
        <v>10443</v>
      </c>
      <c r="AE548" t="s">
        <v>10444</v>
      </c>
      <c r="AF548" t="s">
        <v>74</v>
      </c>
      <c r="AG548">
        <v>45</v>
      </c>
      <c r="AH548">
        <v>24</v>
      </c>
      <c r="AI548">
        <v>27</v>
      </c>
      <c r="AJ548">
        <v>1</v>
      </c>
      <c r="AK548">
        <v>39</v>
      </c>
      <c r="AL548" t="s">
        <v>1111</v>
      </c>
      <c r="AM548" t="s">
        <v>656</v>
      </c>
      <c r="AN548" t="s">
        <v>1209</v>
      </c>
      <c r="AO548" t="s">
        <v>4646</v>
      </c>
      <c r="AP548" t="s">
        <v>5458</v>
      </c>
      <c r="AQ548" t="s">
        <v>74</v>
      </c>
      <c r="AR548" t="s">
        <v>4647</v>
      </c>
      <c r="AS548" t="s">
        <v>4648</v>
      </c>
      <c r="AT548" t="s">
        <v>9372</v>
      </c>
      <c r="AU548">
        <v>2012</v>
      </c>
      <c r="AV548">
        <v>24</v>
      </c>
      <c r="AW548">
        <v>1</v>
      </c>
      <c r="AX548" t="s">
        <v>74</v>
      </c>
      <c r="AY548" t="s">
        <v>74</v>
      </c>
      <c r="AZ548" t="s">
        <v>74</v>
      </c>
      <c r="BA548" t="s">
        <v>74</v>
      </c>
      <c r="BB548">
        <v>23</v>
      </c>
      <c r="BC548">
        <v>33</v>
      </c>
      <c r="BD548" t="s">
        <v>74</v>
      </c>
      <c r="BE548" t="s">
        <v>10445</v>
      </c>
      <c r="BF548" t="str">
        <f>HYPERLINK("http://dx.doi.org/10.1017/S0954102011000642","http://dx.doi.org/10.1017/S0954102011000642")</f>
        <v>http://dx.doi.org/10.1017/S0954102011000642</v>
      </c>
      <c r="BG548" t="s">
        <v>74</v>
      </c>
      <c r="BH548" t="s">
        <v>74</v>
      </c>
      <c r="BI548">
        <v>11</v>
      </c>
      <c r="BJ548" t="s">
        <v>4650</v>
      </c>
      <c r="BK548" t="s">
        <v>99</v>
      </c>
      <c r="BL548" t="s">
        <v>4651</v>
      </c>
      <c r="BM548" t="s">
        <v>10056</v>
      </c>
      <c r="BN548" t="s">
        <v>74</v>
      </c>
      <c r="BO548" t="s">
        <v>2812</v>
      </c>
      <c r="BP548" t="s">
        <v>74</v>
      </c>
      <c r="BQ548" t="s">
        <v>74</v>
      </c>
      <c r="BR548" t="s">
        <v>101</v>
      </c>
      <c r="BS548" t="s">
        <v>10446</v>
      </c>
      <c r="BT548" t="str">
        <f>HYPERLINK("https%3A%2F%2Fwww.webofscience.com%2Fwos%2Fwoscc%2Ffull-record%2FWOS:000299936300004","View Full Record in Web of Science")</f>
        <v>View Full Record in Web of Science</v>
      </c>
    </row>
    <row r="549" spans="1:72" x14ac:dyDescent="0.15">
      <c r="A549" t="s">
        <v>72</v>
      </c>
      <c r="B549" t="s">
        <v>10447</v>
      </c>
      <c r="C549" t="s">
        <v>74</v>
      </c>
      <c r="D549" t="s">
        <v>74</v>
      </c>
      <c r="E549" t="s">
        <v>74</v>
      </c>
      <c r="F549" t="s">
        <v>10448</v>
      </c>
      <c r="G549" t="s">
        <v>74</v>
      </c>
      <c r="H549" t="s">
        <v>74</v>
      </c>
      <c r="I549" t="s">
        <v>10449</v>
      </c>
      <c r="J549" t="s">
        <v>4645</v>
      </c>
      <c r="K549" t="s">
        <v>74</v>
      </c>
      <c r="L549" t="s">
        <v>74</v>
      </c>
      <c r="M549" t="s">
        <v>78</v>
      </c>
      <c r="N549" t="s">
        <v>79</v>
      </c>
      <c r="O549" t="s">
        <v>74</v>
      </c>
      <c r="P549" t="s">
        <v>74</v>
      </c>
      <c r="Q549" t="s">
        <v>74</v>
      </c>
      <c r="R549" t="s">
        <v>74</v>
      </c>
      <c r="S549" t="s">
        <v>74</v>
      </c>
      <c r="T549" t="s">
        <v>10450</v>
      </c>
      <c r="U549" t="s">
        <v>10451</v>
      </c>
      <c r="V549" t="s">
        <v>10452</v>
      </c>
      <c r="W549" t="s">
        <v>10453</v>
      </c>
      <c r="X549" t="s">
        <v>10454</v>
      </c>
      <c r="Y549" t="s">
        <v>10455</v>
      </c>
      <c r="Z549" t="s">
        <v>10456</v>
      </c>
      <c r="AA549" t="s">
        <v>10457</v>
      </c>
      <c r="AB549" t="s">
        <v>10458</v>
      </c>
      <c r="AC549" t="s">
        <v>10459</v>
      </c>
      <c r="AD549" t="s">
        <v>10459</v>
      </c>
      <c r="AE549" t="s">
        <v>10460</v>
      </c>
      <c r="AF549" t="s">
        <v>74</v>
      </c>
      <c r="AG549">
        <v>35</v>
      </c>
      <c r="AH549">
        <v>12</v>
      </c>
      <c r="AI549">
        <v>14</v>
      </c>
      <c r="AJ549">
        <v>1</v>
      </c>
      <c r="AK549">
        <v>36</v>
      </c>
      <c r="AL549" t="s">
        <v>1111</v>
      </c>
      <c r="AM549" t="s">
        <v>656</v>
      </c>
      <c r="AN549" t="s">
        <v>1209</v>
      </c>
      <c r="AO549" t="s">
        <v>4646</v>
      </c>
      <c r="AP549" t="s">
        <v>5458</v>
      </c>
      <c r="AQ549" t="s">
        <v>74</v>
      </c>
      <c r="AR549" t="s">
        <v>4647</v>
      </c>
      <c r="AS549" t="s">
        <v>4648</v>
      </c>
      <c r="AT549" t="s">
        <v>9372</v>
      </c>
      <c r="AU549">
        <v>2012</v>
      </c>
      <c r="AV549">
        <v>24</v>
      </c>
      <c r="AW549">
        <v>1</v>
      </c>
      <c r="AX549" t="s">
        <v>74</v>
      </c>
      <c r="AY549" t="s">
        <v>74</v>
      </c>
      <c r="AZ549" t="s">
        <v>74</v>
      </c>
      <c r="BA549" t="s">
        <v>74</v>
      </c>
      <c r="BB549">
        <v>95</v>
      </c>
      <c r="BC549">
        <v>110</v>
      </c>
      <c r="BD549" t="s">
        <v>74</v>
      </c>
      <c r="BE549" t="s">
        <v>10461</v>
      </c>
      <c r="BF549" t="str">
        <f>HYPERLINK("http://dx.doi.org/10.1017/S0954102011000630","http://dx.doi.org/10.1017/S0954102011000630")</f>
        <v>http://dx.doi.org/10.1017/S0954102011000630</v>
      </c>
      <c r="BG549" t="s">
        <v>74</v>
      </c>
      <c r="BH549" t="s">
        <v>74</v>
      </c>
      <c r="BI549">
        <v>16</v>
      </c>
      <c r="BJ549" t="s">
        <v>4650</v>
      </c>
      <c r="BK549" t="s">
        <v>99</v>
      </c>
      <c r="BL549" t="s">
        <v>4651</v>
      </c>
      <c r="BM549" t="s">
        <v>10056</v>
      </c>
      <c r="BN549" t="s">
        <v>74</v>
      </c>
      <c r="BO549" t="s">
        <v>74</v>
      </c>
      <c r="BP549" t="s">
        <v>74</v>
      </c>
      <c r="BQ549" t="s">
        <v>74</v>
      </c>
      <c r="BR549" t="s">
        <v>101</v>
      </c>
      <c r="BS549" t="s">
        <v>10462</v>
      </c>
      <c r="BT549" t="str">
        <f>HYPERLINK("https%3A%2F%2Fwww.webofscience.com%2Fwos%2Fwoscc%2Ffull-record%2FWOS:000299936300011","View Full Record in Web of Science")</f>
        <v>View Full Record in Web of Science</v>
      </c>
    </row>
    <row r="550" spans="1:72" x14ac:dyDescent="0.15">
      <c r="A550" t="s">
        <v>72</v>
      </c>
      <c r="B550" t="s">
        <v>10463</v>
      </c>
      <c r="C550" t="s">
        <v>74</v>
      </c>
      <c r="D550" t="s">
        <v>74</v>
      </c>
      <c r="E550" t="s">
        <v>74</v>
      </c>
      <c r="F550" t="s">
        <v>10464</v>
      </c>
      <c r="G550" t="s">
        <v>74</v>
      </c>
      <c r="H550" t="s">
        <v>74</v>
      </c>
      <c r="I550" t="s">
        <v>10465</v>
      </c>
      <c r="J550" t="s">
        <v>726</v>
      </c>
      <c r="K550" t="s">
        <v>74</v>
      </c>
      <c r="L550" t="s">
        <v>74</v>
      </c>
      <c r="M550" t="s">
        <v>78</v>
      </c>
      <c r="N550" t="s">
        <v>79</v>
      </c>
      <c r="O550" t="s">
        <v>74</v>
      </c>
      <c r="P550" t="s">
        <v>74</v>
      </c>
      <c r="Q550" t="s">
        <v>74</v>
      </c>
      <c r="R550" t="s">
        <v>74</v>
      </c>
      <c r="S550" t="s">
        <v>74</v>
      </c>
      <c r="T550" t="s">
        <v>74</v>
      </c>
      <c r="U550" t="s">
        <v>10466</v>
      </c>
      <c r="V550" t="s">
        <v>10467</v>
      </c>
      <c r="W550" t="s">
        <v>10468</v>
      </c>
      <c r="X550" t="s">
        <v>10469</v>
      </c>
      <c r="Y550" t="s">
        <v>10470</v>
      </c>
      <c r="Z550" t="s">
        <v>10471</v>
      </c>
      <c r="AA550" t="s">
        <v>10472</v>
      </c>
      <c r="AB550" t="s">
        <v>10473</v>
      </c>
      <c r="AC550" t="s">
        <v>74</v>
      </c>
      <c r="AD550" t="s">
        <v>74</v>
      </c>
      <c r="AE550" t="s">
        <v>74</v>
      </c>
      <c r="AF550" t="s">
        <v>74</v>
      </c>
      <c r="AG550">
        <v>67</v>
      </c>
      <c r="AH550">
        <v>33</v>
      </c>
      <c r="AI550">
        <v>37</v>
      </c>
      <c r="AJ550">
        <v>0</v>
      </c>
      <c r="AK550">
        <v>52</v>
      </c>
      <c r="AL550" t="s">
        <v>761</v>
      </c>
      <c r="AM550" t="s">
        <v>762</v>
      </c>
      <c r="AN550" t="s">
        <v>763</v>
      </c>
      <c r="AO550" t="s">
        <v>739</v>
      </c>
      <c r="AP550" t="s">
        <v>764</v>
      </c>
      <c r="AQ550" t="s">
        <v>74</v>
      </c>
      <c r="AR550" t="s">
        <v>740</v>
      </c>
      <c r="AS550" t="s">
        <v>741</v>
      </c>
      <c r="AT550" t="s">
        <v>9372</v>
      </c>
      <c r="AU550">
        <v>2012</v>
      </c>
      <c r="AV550">
        <v>44</v>
      </c>
      <c r="AW550">
        <v>1</v>
      </c>
      <c r="AX550" t="s">
        <v>74</v>
      </c>
      <c r="AY550" t="s">
        <v>74</v>
      </c>
      <c r="AZ550" t="s">
        <v>74</v>
      </c>
      <c r="BA550" t="s">
        <v>74</v>
      </c>
      <c r="BB550">
        <v>2</v>
      </c>
      <c r="BC550">
        <v>15</v>
      </c>
      <c r="BD550" t="s">
        <v>74</v>
      </c>
      <c r="BE550" t="s">
        <v>10474</v>
      </c>
      <c r="BF550" t="str">
        <f>HYPERLINK("http://dx.doi.org/10.1657/1938-4246-44.1.2","http://dx.doi.org/10.1657/1938-4246-44.1.2")</f>
        <v>http://dx.doi.org/10.1657/1938-4246-44.1.2</v>
      </c>
      <c r="BG550" t="s">
        <v>74</v>
      </c>
      <c r="BH550" t="s">
        <v>74</v>
      </c>
      <c r="BI550">
        <v>14</v>
      </c>
      <c r="BJ550" t="s">
        <v>743</v>
      </c>
      <c r="BK550" t="s">
        <v>99</v>
      </c>
      <c r="BL550" t="s">
        <v>744</v>
      </c>
      <c r="BM550" t="s">
        <v>9434</v>
      </c>
      <c r="BN550" t="s">
        <v>74</v>
      </c>
      <c r="BO550" t="s">
        <v>156</v>
      </c>
      <c r="BP550" t="s">
        <v>74</v>
      </c>
      <c r="BQ550" t="s">
        <v>74</v>
      </c>
      <c r="BR550" t="s">
        <v>101</v>
      </c>
      <c r="BS550" t="s">
        <v>10475</v>
      </c>
      <c r="BT550" t="str">
        <f>HYPERLINK("https%3A%2F%2Fwww.webofscience.com%2Fwos%2Fwoscc%2Ffull-record%2FWOS:000302271600002","View Full Record in Web of Science")</f>
        <v>View Full Record in Web of Science</v>
      </c>
    </row>
    <row r="551" spans="1:72" x14ac:dyDescent="0.15">
      <c r="A551" t="s">
        <v>72</v>
      </c>
      <c r="B551" t="s">
        <v>10476</v>
      </c>
      <c r="C551" t="s">
        <v>74</v>
      </c>
      <c r="D551" t="s">
        <v>74</v>
      </c>
      <c r="E551" t="s">
        <v>74</v>
      </c>
      <c r="F551" t="s">
        <v>10477</v>
      </c>
      <c r="G551" t="s">
        <v>74</v>
      </c>
      <c r="H551" t="s">
        <v>74</v>
      </c>
      <c r="I551" t="s">
        <v>10478</v>
      </c>
      <c r="J551" t="s">
        <v>726</v>
      </c>
      <c r="K551" t="s">
        <v>74</v>
      </c>
      <c r="L551" t="s">
        <v>74</v>
      </c>
      <c r="M551" t="s">
        <v>78</v>
      </c>
      <c r="N551" t="s">
        <v>79</v>
      </c>
      <c r="O551" t="s">
        <v>74</v>
      </c>
      <c r="P551" t="s">
        <v>74</v>
      </c>
      <c r="Q551" t="s">
        <v>74</v>
      </c>
      <c r="R551" t="s">
        <v>74</v>
      </c>
      <c r="S551" t="s">
        <v>74</v>
      </c>
      <c r="T551" t="s">
        <v>74</v>
      </c>
      <c r="U551" t="s">
        <v>10479</v>
      </c>
      <c r="V551" t="s">
        <v>10480</v>
      </c>
      <c r="W551" t="s">
        <v>10481</v>
      </c>
      <c r="X551" t="s">
        <v>10482</v>
      </c>
      <c r="Y551" t="s">
        <v>10483</v>
      </c>
      <c r="Z551" t="s">
        <v>10484</v>
      </c>
      <c r="AA551" t="s">
        <v>10485</v>
      </c>
      <c r="AB551" t="s">
        <v>10486</v>
      </c>
      <c r="AC551" t="s">
        <v>10487</v>
      </c>
      <c r="AD551" t="s">
        <v>10488</v>
      </c>
      <c r="AE551" t="s">
        <v>10489</v>
      </c>
      <c r="AF551" t="s">
        <v>74</v>
      </c>
      <c r="AG551">
        <v>37</v>
      </c>
      <c r="AH551">
        <v>15</v>
      </c>
      <c r="AI551">
        <v>16</v>
      </c>
      <c r="AJ551">
        <v>1</v>
      </c>
      <c r="AK551">
        <v>34</v>
      </c>
      <c r="AL551" t="s">
        <v>761</v>
      </c>
      <c r="AM551" t="s">
        <v>762</v>
      </c>
      <c r="AN551" t="s">
        <v>763</v>
      </c>
      <c r="AO551" t="s">
        <v>739</v>
      </c>
      <c r="AP551" t="s">
        <v>764</v>
      </c>
      <c r="AQ551" t="s">
        <v>74</v>
      </c>
      <c r="AR551" t="s">
        <v>740</v>
      </c>
      <c r="AS551" t="s">
        <v>741</v>
      </c>
      <c r="AT551" t="s">
        <v>9372</v>
      </c>
      <c r="AU551">
        <v>2012</v>
      </c>
      <c r="AV551">
        <v>44</v>
      </c>
      <c r="AW551">
        <v>1</v>
      </c>
      <c r="AX551" t="s">
        <v>74</v>
      </c>
      <c r="AY551" t="s">
        <v>74</v>
      </c>
      <c r="AZ551" t="s">
        <v>74</v>
      </c>
      <c r="BA551" t="s">
        <v>74</v>
      </c>
      <c r="BB551">
        <v>16</v>
      </c>
      <c r="BC551">
        <v>25</v>
      </c>
      <c r="BD551" t="s">
        <v>74</v>
      </c>
      <c r="BE551" t="s">
        <v>10490</v>
      </c>
      <c r="BF551" t="str">
        <f>HYPERLINK("http://dx.doi.org/10.1657/1938-4246-44.1.16","http://dx.doi.org/10.1657/1938-4246-44.1.16")</f>
        <v>http://dx.doi.org/10.1657/1938-4246-44.1.16</v>
      </c>
      <c r="BG551" t="s">
        <v>74</v>
      </c>
      <c r="BH551" t="s">
        <v>74</v>
      </c>
      <c r="BI551">
        <v>10</v>
      </c>
      <c r="BJ551" t="s">
        <v>743</v>
      </c>
      <c r="BK551" t="s">
        <v>99</v>
      </c>
      <c r="BL551" t="s">
        <v>744</v>
      </c>
      <c r="BM551" t="s">
        <v>9434</v>
      </c>
      <c r="BN551" t="s">
        <v>74</v>
      </c>
      <c r="BO551" t="s">
        <v>156</v>
      </c>
      <c r="BP551" t="s">
        <v>74</v>
      </c>
      <c r="BQ551" t="s">
        <v>74</v>
      </c>
      <c r="BR551" t="s">
        <v>101</v>
      </c>
      <c r="BS551" t="s">
        <v>10491</v>
      </c>
      <c r="BT551" t="str">
        <f>HYPERLINK("https%3A%2F%2Fwww.webofscience.com%2Fwos%2Fwoscc%2Ffull-record%2FWOS:000302271600003","View Full Record in Web of Science")</f>
        <v>View Full Record in Web of Science</v>
      </c>
    </row>
    <row r="552" spans="1:72" x14ac:dyDescent="0.15">
      <c r="A552" t="s">
        <v>72</v>
      </c>
      <c r="B552" t="s">
        <v>10492</v>
      </c>
      <c r="C552" t="s">
        <v>74</v>
      </c>
      <c r="D552" t="s">
        <v>74</v>
      </c>
      <c r="E552" t="s">
        <v>74</v>
      </c>
      <c r="F552" t="s">
        <v>10493</v>
      </c>
      <c r="G552" t="s">
        <v>74</v>
      </c>
      <c r="H552" t="s">
        <v>74</v>
      </c>
      <c r="I552" t="s">
        <v>10494</v>
      </c>
      <c r="J552" t="s">
        <v>726</v>
      </c>
      <c r="K552" t="s">
        <v>74</v>
      </c>
      <c r="L552" t="s">
        <v>74</v>
      </c>
      <c r="M552" t="s">
        <v>78</v>
      </c>
      <c r="N552" t="s">
        <v>79</v>
      </c>
      <c r="O552" t="s">
        <v>74</v>
      </c>
      <c r="P552" t="s">
        <v>74</v>
      </c>
      <c r="Q552" t="s">
        <v>74</v>
      </c>
      <c r="R552" t="s">
        <v>74</v>
      </c>
      <c r="S552" t="s">
        <v>74</v>
      </c>
      <c r="T552" t="s">
        <v>74</v>
      </c>
      <c r="U552" t="s">
        <v>10495</v>
      </c>
      <c r="V552" t="s">
        <v>10496</v>
      </c>
      <c r="W552" t="s">
        <v>10497</v>
      </c>
      <c r="X552" t="s">
        <v>10498</v>
      </c>
      <c r="Y552" t="s">
        <v>10499</v>
      </c>
      <c r="Z552" t="s">
        <v>10500</v>
      </c>
      <c r="AA552" t="s">
        <v>10501</v>
      </c>
      <c r="AB552" t="s">
        <v>10502</v>
      </c>
      <c r="AC552" t="s">
        <v>10503</v>
      </c>
      <c r="AD552" t="s">
        <v>10504</v>
      </c>
      <c r="AE552" t="s">
        <v>10505</v>
      </c>
      <c r="AF552" t="s">
        <v>74</v>
      </c>
      <c r="AG552">
        <v>54</v>
      </c>
      <c r="AH552">
        <v>6</v>
      </c>
      <c r="AI552">
        <v>7</v>
      </c>
      <c r="AJ552">
        <v>1</v>
      </c>
      <c r="AK552">
        <v>16</v>
      </c>
      <c r="AL552" t="s">
        <v>761</v>
      </c>
      <c r="AM552" t="s">
        <v>762</v>
      </c>
      <c r="AN552" t="s">
        <v>763</v>
      </c>
      <c r="AO552" t="s">
        <v>739</v>
      </c>
      <c r="AP552" t="s">
        <v>764</v>
      </c>
      <c r="AQ552" t="s">
        <v>74</v>
      </c>
      <c r="AR552" t="s">
        <v>740</v>
      </c>
      <c r="AS552" t="s">
        <v>741</v>
      </c>
      <c r="AT552" t="s">
        <v>9372</v>
      </c>
      <c r="AU552">
        <v>2012</v>
      </c>
      <c r="AV552">
        <v>44</v>
      </c>
      <c r="AW552">
        <v>1</v>
      </c>
      <c r="AX552" t="s">
        <v>74</v>
      </c>
      <c r="AY552" t="s">
        <v>74</v>
      </c>
      <c r="AZ552" t="s">
        <v>74</v>
      </c>
      <c r="BA552" t="s">
        <v>74</v>
      </c>
      <c r="BB552">
        <v>83</v>
      </c>
      <c r="BC552">
        <v>94</v>
      </c>
      <c r="BD552" t="s">
        <v>74</v>
      </c>
      <c r="BE552" t="s">
        <v>10506</v>
      </c>
      <c r="BF552" t="str">
        <f>HYPERLINK("http://dx.doi.org/10.1657/1938-4246-44.1.83","http://dx.doi.org/10.1657/1938-4246-44.1.83")</f>
        <v>http://dx.doi.org/10.1657/1938-4246-44.1.83</v>
      </c>
      <c r="BG552" t="s">
        <v>74</v>
      </c>
      <c r="BH552" t="s">
        <v>74</v>
      </c>
      <c r="BI552">
        <v>12</v>
      </c>
      <c r="BJ552" t="s">
        <v>743</v>
      </c>
      <c r="BK552" t="s">
        <v>99</v>
      </c>
      <c r="BL552" t="s">
        <v>744</v>
      </c>
      <c r="BM552" t="s">
        <v>9434</v>
      </c>
      <c r="BN552" t="s">
        <v>74</v>
      </c>
      <c r="BO552" t="s">
        <v>156</v>
      </c>
      <c r="BP552" t="s">
        <v>74</v>
      </c>
      <c r="BQ552" t="s">
        <v>74</v>
      </c>
      <c r="BR552" t="s">
        <v>101</v>
      </c>
      <c r="BS552" t="s">
        <v>10507</v>
      </c>
      <c r="BT552" t="str">
        <f>HYPERLINK("https%3A%2F%2Fwww.webofscience.com%2Fwos%2Fwoscc%2Ffull-record%2FWOS:000302271600009","View Full Record in Web of Science")</f>
        <v>View Full Record in Web of Science</v>
      </c>
    </row>
    <row r="553" spans="1:72" x14ac:dyDescent="0.15">
      <c r="A553" t="s">
        <v>72</v>
      </c>
      <c r="B553" t="s">
        <v>10508</v>
      </c>
      <c r="C553" t="s">
        <v>74</v>
      </c>
      <c r="D553" t="s">
        <v>74</v>
      </c>
      <c r="E553" t="s">
        <v>74</v>
      </c>
      <c r="F553" t="s">
        <v>10509</v>
      </c>
      <c r="G553" t="s">
        <v>74</v>
      </c>
      <c r="H553" t="s">
        <v>74</v>
      </c>
      <c r="I553" t="s">
        <v>10510</v>
      </c>
      <c r="J553" t="s">
        <v>726</v>
      </c>
      <c r="K553" t="s">
        <v>74</v>
      </c>
      <c r="L553" t="s">
        <v>74</v>
      </c>
      <c r="M553" t="s">
        <v>78</v>
      </c>
      <c r="N553" t="s">
        <v>79</v>
      </c>
      <c r="O553" t="s">
        <v>74</v>
      </c>
      <c r="P553" t="s">
        <v>74</v>
      </c>
      <c r="Q553" t="s">
        <v>74</v>
      </c>
      <c r="R553" t="s">
        <v>74</v>
      </c>
      <c r="S553" t="s">
        <v>74</v>
      </c>
      <c r="T553" t="s">
        <v>74</v>
      </c>
      <c r="U553" t="s">
        <v>10511</v>
      </c>
      <c r="V553" t="s">
        <v>10512</v>
      </c>
      <c r="W553" t="s">
        <v>10513</v>
      </c>
      <c r="X553" t="s">
        <v>74</v>
      </c>
      <c r="Y553" t="s">
        <v>10514</v>
      </c>
      <c r="Z553" t="s">
        <v>10515</v>
      </c>
      <c r="AA553" t="s">
        <v>74</v>
      </c>
      <c r="AB553" t="s">
        <v>74</v>
      </c>
      <c r="AC553" t="s">
        <v>10516</v>
      </c>
      <c r="AD553" t="s">
        <v>10516</v>
      </c>
      <c r="AE553" t="s">
        <v>10517</v>
      </c>
      <c r="AF553" t="s">
        <v>74</v>
      </c>
      <c r="AG553">
        <v>55</v>
      </c>
      <c r="AH553">
        <v>11</v>
      </c>
      <c r="AI553">
        <v>15</v>
      </c>
      <c r="AJ553">
        <v>1</v>
      </c>
      <c r="AK553">
        <v>27</v>
      </c>
      <c r="AL553" t="s">
        <v>736</v>
      </c>
      <c r="AM553" t="s">
        <v>737</v>
      </c>
      <c r="AN553" t="s">
        <v>738</v>
      </c>
      <c r="AO553" t="s">
        <v>739</v>
      </c>
      <c r="AP553" t="s">
        <v>74</v>
      </c>
      <c r="AQ553" t="s">
        <v>74</v>
      </c>
      <c r="AR553" t="s">
        <v>740</v>
      </c>
      <c r="AS553" t="s">
        <v>741</v>
      </c>
      <c r="AT553" t="s">
        <v>9372</v>
      </c>
      <c r="AU553">
        <v>2012</v>
      </c>
      <c r="AV553">
        <v>44</v>
      </c>
      <c r="AW553">
        <v>1</v>
      </c>
      <c r="AX553" t="s">
        <v>74</v>
      </c>
      <c r="AY553" t="s">
        <v>74</v>
      </c>
      <c r="AZ553" t="s">
        <v>74</v>
      </c>
      <c r="BA553" t="s">
        <v>74</v>
      </c>
      <c r="BB553">
        <v>95</v>
      </c>
      <c r="BC553">
        <v>106</v>
      </c>
      <c r="BD553" t="s">
        <v>74</v>
      </c>
      <c r="BE553" t="s">
        <v>10518</v>
      </c>
      <c r="BF553" t="str">
        <f>HYPERLINK("http://dx.doi.org/10.1657/1938-4246-44.1.95","http://dx.doi.org/10.1657/1938-4246-44.1.95")</f>
        <v>http://dx.doi.org/10.1657/1938-4246-44.1.95</v>
      </c>
      <c r="BG553" t="s">
        <v>74</v>
      </c>
      <c r="BH553" t="s">
        <v>74</v>
      </c>
      <c r="BI553">
        <v>12</v>
      </c>
      <c r="BJ553" t="s">
        <v>743</v>
      </c>
      <c r="BK553" t="s">
        <v>99</v>
      </c>
      <c r="BL553" t="s">
        <v>744</v>
      </c>
      <c r="BM553" t="s">
        <v>9434</v>
      </c>
      <c r="BN553" t="s">
        <v>74</v>
      </c>
      <c r="BO553" t="s">
        <v>197</v>
      </c>
      <c r="BP553" t="s">
        <v>74</v>
      </c>
      <c r="BQ553" t="s">
        <v>74</v>
      </c>
      <c r="BR553" t="s">
        <v>101</v>
      </c>
      <c r="BS553" t="s">
        <v>10519</v>
      </c>
      <c r="BT553" t="str">
        <f>HYPERLINK("https%3A%2F%2Fwww.webofscience.com%2Fwos%2Fwoscc%2Ffull-record%2FWOS:000302271600010","View Full Record in Web of Science")</f>
        <v>View Full Record in Web of Science</v>
      </c>
    </row>
    <row r="554" spans="1:72" x14ac:dyDescent="0.15">
      <c r="A554" t="s">
        <v>72</v>
      </c>
      <c r="B554" t="s">
        <v>10520</v>
      </c>
      <c r="C554" t="s">
        <v>74</v>
      </c>
      <c r="D554" t="s">
        <v>74</v>
      </c>
      <c r="E554" t="s">
        <v>74</v>
      </c>
      <c r="F554" t="s">
        <v>10521</v>
      </c>
      <c r="G554" t="s">
        <v>74</v>
      </c>
      <c r="H554" t="s">
        <v>74</v>
      </c>
      <c r="I554" t="s">
        <v>10522</v>
      </c>
      <c r="J554" t="s">
        <v>726</v>
      </c>
      <c r="K554" t="s">
        <v>74</v>
      </c>
      <c r="L554" t="s">
        <v>74</v>
      </c>
      <c r="M554" t="s">
        <v>78</v>
      </c>
      <c r="N554" t="s">
        <v>79</v>
      </c>
      <c r="O554" t="s">
        <v>74</v>
      </c>
      <c r="P554" t="s">
        <v>74</v>
      </c>
      <c r="Q554" t="s">
        <v>74</v>
      </c>
      <c r="R554" t="s">
        <v>74</v>
      </c>
      <c r="S554" t="s">
        <v>74</v>
      </c>
      <c r="T554" t="s">
        <v>74</v>
      </c>
      <c r="U554" t="s">
        <v>10523</v>
      </c>
      <c r="V554" t="s">
        <v>10524</v>
      </c>
      <c r="W554" t="s">
        <v>10525</v>
      </c>
      <c r="X554" t="s">
        <v>10526</v>
      </c>
      <c r="Y554" t="s">
        <v>10527</v>
      </c>
      <c r="Z554" t="s">
        <v>10528</v>
      </c>
      <c r="AA554" t="s">
        <v>10529</v>
      </c>
      <c r="AB554" t="s">
        <v>10530</v>
      </c>
      <c r="AC554" t="s">
        <v>10531</v>
      </c>
      <c r="AD554" t="s">
        <v>10531</v>
      </c>
      <c r="AE554" t="s">
        <v>10532</v>
      </c>
      <c r="AF554" t="s">
        <v>74</v>
      </c>
      <c r="AG554">
        <v>72</v>
      </c>
      <c r="AH554">
        <v>83</v>
      </c>
      <c r="AI554">
        <v>89</v>
      </c>
      <c r="AJ554">
        <v>0</v>
      </c>
      <c r="AK554">
        <v>28</v>
      </c>
      <c r="AL554" t="s">
        <v>761</v>
      </c>
      <c r="AM554" t="s">
        <v>762</v>
      </c>
      <c r="AN554" t="s">
        <v>763</v>
      </c>
      <c r="AO554" t="s">
        <v>739</v>
      </c>
      <c r="AP554" t="s">
        <v>764</v>
      </c>
      <c r="AQ554" t="s">
        <v>74</v>
      </c>
      <c r="AR554" t="s">
        <v>740</v>
      </c>
      <c r="AS554" t="s">
        <v>741</v>
      </c>
      <c r="AT554" t="s">
        <v>9372</v>
      </c>
      <c r="AU554">
        <v>2012</v>
      </c>
      <c r="AV554">
        <v>44</v>
      </c>
      <c r="AW554">
        <v>1</v>
      </c>
      <c r="AX554" t="s">
        <v>74</v>
      </c>
      <c r="AY554" t="s">
        <v>74</v>
      </c>
      <c r="AZ554" t="s">
        <v>74</v>
      </c>
      <c r="BA554" t="s">
        <v>74</v>
      </c>
      <c r="BB554">
        <v>107</v>
      </c>
      <c r="BC554">
        <v>121</v>
      </c>
      <c r="BD554" t="s">
        <v>74</v>
      </c>
      <c r="BE554" t="s">
        <v>10533</v>
      </c>
      <c r="BF554" t="str">
        <f>HYPERLINK("http://dx.doi.org/10.1657/1938-4246-44.1.107","http://dx.doi.org/10.1657/1938-4246-44.1.107")</f>
        <v>http://dx.doi.org/10.1657/1938-4246-44.1.107</v>
      </c>
      <c r="BG554" t="s">
        <v>74</v>
      </c>
      <c r="BH554" t="s">
        <v>74</v>
      </c>
      <c r="BI554">
        <v>15</v>
      </c>
      <c r="BJ554" t="s">
        <v>743</v>
      </c>
      <c r="BK554" t="s">
        <v>99</v>
      </c>
      <c r="BL554" t="s">
        <v>744</v>
      </c>
      <c r="BM554" t="s">
        <v>9434</v>
      </c>
      <c r="BN554" t="s">
        <v>74</v>
      </c>
      <c r="BO554" t="s">
        <v>197</v>
      </c>
      <c r="BP554" t="s">
        <v>74</v>
      </c>
      <c r="BQ554" t="s">
        <v>74</v>
      </c>
      <c r="BR554" t="s">
        <v>101</v>
      </c>
      <c r="BS554" t="s">
        <v>10534</v>
      </c>
      <c r="BT554" t="str">
        <f>HYPERLINK("https%3A%2F%2Fwww.webofscience.com%2Fwos%2Fwoscc%2Ffull-record%2FWOS:000302271600011","View Full Record in Web of Science")</f>
        <v>View Full Record in Web of Science</v>
      </c>
    </row>
    <row r="555" spans="1:72" x14ac:dyDescent="0.15">
      <c r="A555" t="s">
        <v>72</v>
      </c>
      <c r="B555" t="s">
        <v>870</v>
      </c>
      <c r="C555" t="s">
        <v>74</v>
      </c>
      <c r="D555" t="s">
        <v>74</v>
      </c>
      <c r="E555" t="s">
        <v>74</v>
      </c>
      <c r="F555" t="s">
        <v>871</v>
      </c>
      <c r="G555" t="s">
        <v>74</v>
      </c>
      <c r="H555" t="s">
        <v>74</v>
      </c>
      <c r="I555" t="s">
        <v>10535</v>
      </c>
      <c r="J555" t="s">
        <v>726</v>
      </c>
      <c r="K555" t="s">
        <v>74</v>
      </c>
      <c r="L555" t="s">
        <v>74</v>
      </c>
      <c r="M555" t="s">
        <v>78</v>
      </c>
      <c r="N555" t="s">
        <v>79</v>
      </c>
      <c r="O555" t="s">
        <v>74</v>
      </c>
      <c r="P555" t="s">
        <v>74</v>
      </c>
      <c r="Q555" t="s">
        <v>74</v>
      </c>
      <c r="R555" t="s">
        <v>74</v>
      </c>
      <c r="S555" t="s">
        <v>74</v>
      </c>
      <c r="T555" t="s">
        <v>74</v>
      </c>
      <c r="U555" t="s">
        <v>10536</v>
      </c>
      <c r="V555" t="s">
        <v>10537</v>
      </c>
      <c r="W555" t="s">
        <v>10538</v>
      </c>
      <c r="X555" t="s">
        <v>875</v>
      </c>
      <c r="Y555" t="s">
        <v>876</v>
      </c>
      <c r="Z555" t="s">
        <v>877</v>
      </c>
      <c r="AA555" t="s">
        <v>878</v>
      </c>
      <c r="AB555" t="s">
        <v>879</v>
      </c>
      <c r="AC555" t="s">
        <v>10539</v>
      </c>
      <c r="AD555" t="s">
        <v>10540</v>
      </c>
      <c r="AE555" t="s">
        <v>10541</v>
      </c>
      <c r="AF555" t="s">
        <v>74</v>
      </c>
      <c r="AG555">
        <v>41</v>
      </c>
      <c r="AH555">
        <v>16</v>
      </c>
      <c r="AI555">
        <v>19</v>
      </c>
      <c r="AJ555">
        <v>0</v>
      </c>
      <c r="AK555">
        <v>34</v>
      </c>
      <c r="AL555" t="s">
        <v>761</v>
      </c>
      <c r="AM555" t="s">
        <v>762</v>
      </c>
      <c r="AN555" t="s">
        <v>763</v>
      </c>
      <c r="AO555" t="s">
        <v>739</v>
      </c>
      <c r="AP555" t="s">
        <v>764</v>
      </c>
      <c r="AQ555" t="s">
        <v>74</v>
      </c>
      <c r="AR555" t="s">
        <v>740</v>
      </c>
      <c r="AS555" t="s">
        <v>741</v>
      </c>
      <c r="AT555" t="s">
        <v>9372</v>
      </c>
      <c r="AU555">
        <v>2012</v>
      </c>
      <c r="AV555">
        <v>44</v>
      </c>
      <c r="AW555">
        <v>1</v>
      </c>
      <c r="AX555" t="s">
        <v>74</v>
      </c>
      <c r="AY555" t="s">
        <v>74</v>
      </c>
      <c r="AZ555" t="s">
        <v>74</v>
      </c>
      <c r="BA555" t="s">
        <v>74</v>
      </c>
      <c r="BB555">
        <v>143</v>
      </c>
      <c r="BC555">
        <v>150</v>
      </c>
      <c r="BD555" t="s">
        <v>74</v>
      </c>
      <c r="BE555" t="s">
        <v>10542</v>
      </c>
      <c r="BF555" t="str">
        <f>HYPERLINK("http://dx.doi.org/10.1657/1938-4246-44.1.143","http://dx.doi.org/10.1657/1938-4246-44.1.143")</f>
        <v>http://dx.doi.org/10.1657/1938-4246-44.1.143</v>
      </c>
      <c r="BG555" t="s">
        <v>74</v>
      </c>
      <c r="BH555" t="s">
        <v>74</v>
      </c>
      <c r="BI555">
        <v>8</v>
      </c>
      <c r="BJ555" t="s">
        <v>743</v>
      </c>
      <c r="BK555" t="s">
        <v>99</v>
      </c>
      <c r="BL555" t="s">
        <v>744</v>
      </c>
      <c r="BM555" t="s">
        <v>9434</v>
      </c>
      <c r="BN555" t="s">
        <v>74</v>
      </c>
      <c r="BO555" t="s">
        <v>6147</v>
      </c>
      <c r="BP555" t="s">
        <v>74</v>
      </c>
      <c r="BQ555" t="s">
        <v>74</v>
      </c>
      <c r="BR555" t="s">
        <v>101</v>
      </c>
      <c r="BS555" t="s">
        <v>10543</v>
      </c>
      <c r="BT555" t="str">
        <f>HYPERLINK("https%3A%2F%2Fwww.webofscience.com%2Fwos%2Fwoscc%2Ffull-record%2FWOS:000302271600014","View Full Record in Web of Science")</f>
        <v>View Full Record in Web of Science</v>
      </c>
    </row>
    <row r="556" spans="1:72" x14ac:dyDescent="0.15">
      <c r="A556" t="s">
        <v>72</v>
      </c>
      <c r="B556" t="s">
        <v>10544</v>
      </c>
      <c r="C556" t="s">
        <v>74</v>
      </c>
      <c r="D556" t="s">
        <v>74</v>
      </c>
      <c r="E556" t="s">
        <v>74</v>
      </c>
      <c r="F556" t="s">
        <v>10545</v>
      </c>
      <c r="G556" t="s">
        <v>74</v>
      </c>
      <c r="H556" t="s">
        <v>74</v>
      </c>
      <c r="I556" t="s">
        <v>10546</v>
      </c>
      <c r="J556" t="s">
        <v>1743</v>
      </c>
      <c r="K556" t="s">
        <v>74</v>
      </c>
      <c r="L556" t="s">
        <v>74</v>
      </c>
      <c r="M556" t="s">
        <v>78</v>
      </c>
      <c r="N556" t="s">
        <v>79</v>
      </c>
      <c r="O556" t="s">
        <v>74</v>
      </c>
      <c r="P556" t="s">
        <v>74</v>
      </c>
      <c r="Q556" t="s">
        <v>74</v>
      </c>
      <c r="R556" t="s">
        <v>74</v>
      </c>
      <c r="S556" t="s">
        <v>74</v>
      </c>
      <c r="T556" t="s">
        <v>10547</v>
      </c>
      <c r="U556" t="s">
        <v>10548</v>
      </c>
      <c r="V556" t="s">
        <v>10549</v>
      </c>
      <c r="W556" t="s">
        <v>10550</v>
      </c>
      <c r="X556" t="s">
        <v>10551</v>
      </c>
      <c r="Y556" t="s">
        <v>10552</v>
      </c>
      <c r="Z556" t="s">
        <v>10553</v>
      </c>
      <c r="AA556" t="s">
        <v>10554</v>
      </c>
      <c r="AB556" t="s">
        <v>10555</v>
      </c>
      <c r="AC556" t="s">
        <v>10556</v>
      </c>
      <c r="AD556" t="s">
        <v>10557</v>
      </c>
      <c r="AE556" t="s">
        <v>10558</v>
      </c>
      <c r="AF556" t="s">
        <v>74</v>
      </c>
      <c r="AG556">
        <v>36</v>
      </c>
      <c r="AH556">
        <v>8</v>
      </c>
      <c r="AI556">
        <v>9</v>
      </c>
      <c r="AJ556">
        <v>1</v>
      </c>
      <c r="AK556">
        <v>28</v>
      </c>
      <c r="AL556" t="s">
        <v>277</v>
      </c>
      <c r="AM556" t="s">
        <v>278</v>
      </c>
      <c r="AN556" t="s">
        <v>279</v>
      </c>
      <c r="AO556" t="s">
        <v>1753</v>
      </c>
      <c r="AP556" t="s">
        <v>1754</v>
      </c>
      <c r="AQ556" t="s">
        <v>74</v>
      </c>
      <c r="AR556" t="s">
        <v>1755</v>
      </c>
      <c r="AS556" t="s">
        <v>1756</v>
      </c>
      <c r="AT556" t="s">
        <v>9372</v>
      </c>
      <c r="AU556">
        <v>2012</v>
      </c>
      <c r="AV556">
        <v>47</v>
      </c>
      <c r="AW556" t="s">
        <v>74</v>
      </c>
      <c r="AX556" t="s">
        <v>74</v>
      </c>
      <c r="AY556" t="s">
        <v>74</v>
      </c>
      <c r="AZ556" t="s">
        <v>74</v>
      </c>
      <c r="BA556" t="s">
        <v>74</v>
      </c>
      <c r="BB556">
        <v>218</v>
      </c>
      <c r="BC556">
        <v>225</v>
      </c>
      <c r="BD556" t="s">
        <v>74</v>
      </c>
      <c r="BE556" t="s">
        <v>10559</v>
      </c>
      <c r="BF556" t="str">
        <f>HYPERLINK("http://dx.doi.org/10.1016/j.atmosenv.2011.11.013","http://dx.doi.org/10.1016/j.atmosenv.2011.11.013")</f>
        <v>http://dx.doi.org/10.1016/j.atmosenv.2011.11.013</v>
      </c>
      <c r="BG556" t="s">
        <v>74</v>
      </c>
      <c r="BH556" t="s">
        <v>74</v>
      </c>
      <c r="BI556">
        <v>8</v>
      </c>
      <c r="BJ556" t="s">
        <v>1758</v>
      </c>
      <c r="BK556" t="s">
        <v>99</v>
      </c>
      <c r="BL556" t="s">
        <v>1759</v>
      </c>
      <c r="BM556" t="s">
        <v>10560</v>
      </c>
      <c r="BN556" t="s">
        <v>74</v>
      </c>
      <c r="BO556" t="s">
        <v>74</v>
      </c>
      <c r="BP556" t="s">
        <v>74</v>
      </c>
      <c r="BQ556" t="s">
        <v>74</v>
      </c>
      <c r="BR556" t="s">
        <v>101</v>
      </c>
      <c r="BS556" t="s">
        <v>10561</v>
      </c>
      <c r="BT556" t="str">
        <f>HYPERLINK("https%3A%2F%2Fwww.webofscience.com%2Fwos%2Fwoscc%2Ffull-record%2FWOS:000301157700024","View Full Record in Web of Science")</f>
        <v>View Full Record in Web of Science</v>
      </c>
    </row>
    <row r="557" spans="1:72" x14ac:dyDescent="0.15">
      <c r="A557" t="s">
        <v>72</v>
      </c>
      <c r="B557" t="s">
        <v>10562</v>
      </c>
      <c r="C557" t="s">
        <v>74</v>
      </c>
      <c r="D557" t="s">
        <v>74</v>
      </c>
      <c r="E557" t="s">
        <v>74</v>
      </c>
      <c r="F557" t="s">
        <v>10563</v>
      </c>
      <c r="G557" t="s">
        <v>74</v>
      </c>
      <c r="H557" t="s">
        <v>74</v>
      </c>
      <c r="I557" t="s">
        <v>10564</v>
      </c>
      <c r="J557" t="s">
        <v>1743</v>
      </c>
      <c r="K557" t="s">
        <v>74</v>
      </c>
      <c r="L557" t="s">
        <v>74</v>
      </c>
      <c r="M557" t="s">
        <v>78</v>
      </c>
      <c r="N557" t="s">
        <v>79</v>
      </c>
      <c r="O557" t="s">
        <v>74</v>
      </c>
      <c r="P557" t="s">
        <v>74</v>
      </c>
      <c r="Q557" t="s">
        <v>74</v>
      </c>
      <c r="R557" t="s">
        <v>74</v>
      </c>
      <c r="S557" t="s">
        <v>74</v>
      </c>
      <c r="T557" t="s">
        <v>10565</v>
      </c>
      <c r="U557" t="s">
        <v>10566</v>
      </c>
      <c r="V557" t="s">
        <v>10567</v>
      </c>
      <c r="W557" t="s">
        <v>10568</v>
      </c>
      <c r="X557" t="s">
        <v>10569</v>
      </c>
      <c r="Y557" t="s">
        <v>10570</v>
      </c>
      <c r="Z557" t="s">
        <v>10571</v>
      </c>
      <c r="AA557" t="s">
        <v>10572</v>
      </c>
      <c r="AB557" t="s">
        <v>10573</v>
      </c>
      <c r="AC557" t="s">
        <v>74</v>
      </c>
      <c r="AD557" t="s">
        <v>74</v>
      </c>
      <c r="AE557" t="s">
        <v>74</v>
      </c>
      <c r="AF557" t="s">
        <v>74</v>
      </c>
      <c r="AG557">
        <v>38</v>
      </c>
      <c r="AH557">
        <v>27</v>
      </c>
      <c r="AI557">
        <v>27</v>
      </c>
      <c r="AJ557">
        <v>1</v>
      </c>
      <c r="AK557">
        <v>21</v>
      </c>
      <c r="AL557" t="s">
        <v>277</v>
      </c>
      <c r="AM557" t="s">
        <v>278</v>
      </c>
      <c r="AN557" t="s">
        <v>279</v>
      </c>
      <c r="AO557" t="s">
        <v>1753</v>
      </c>
      <c r="AP557" t="s">
        <v>74</v>
      </c>
      <c r="AQ557" t="s">
        <v>74</v>
      </c>
      <c r="AR557" t="s">
        <v>1755</v>
      </c>
      <c r="AS557" t="s">
        <v>1756</v>
      </c>
      <c r="AT557" t="s">
        <v>9372</v>
      </c>
      <c r="AU557">
        <v>2012</v>
      </c>
      <c r="AV557">
        <v>47</v>
      </c>
      <c r="AW557" t="s">
        <v>74</v>
      </c>
      <c r="AX557" t="s">
        <v>74</v>
      </c>
      <c r="AY557" t="s">
        <v>74</v>
      </c>
      <c r="AZ557" t="s">
        <v>74</v>
      </c>
      <c r="BA557" t="s">
        <v>74</v>
      </c>
      <c r="BB557">
        <v>428</v>
      </c>
      <c r="BC557">
        <v>434</v>
      </c>
      <c r="BD557" t="s">
        <v>74</v>
      </c>
      <c r="BE557" t="s">
        <v>10574</v>
      </c>
      <c r="BF557" t="str">
        <f>HYPERLINK("http://dx.doi.org/10.1016/j.atmosenv.2011.10.038","http://dx.doi.org/10.1016/j.atmosenv.2011.10.038")</f>
        <v>http://dx.doi.org/10.1016/j.atmosenv.2011.10.038</v>
      </c>
      <c r="BG557" t="s">
        <v>74</v>
      </c>
      <c r="BH557" t="s">
        <v>74</v>
      </c>
      <c r="BI557">
        <v>7</v>
      </c>
      <c r="BJ557" t="s">
        <v>1758</v>
      </c>
      <c r="BK557" t="s">
        <v>99</v>
      </c>
      <c r="BL557" t="s">
        <v>1759</v>
      </c>
      <c r="BM557" t="s">
        <v>10560</v>
      </c>
      <c r="BN557" t="s">
        <v>74</v>
      </c>
      <c r="BO557" t="s">
        <v>74</v>
      </c>
      <c r="BP557" t="s">
        <v>74</v>
      </c>
      <c r="BQ557" t="s">
        <v>74</v>
      </c>
      <c r="BR557" t="s">
        <v>101</v>
      </c>
      <c r="BS557" t="s">
        <v>10575</v>
      </c>
      <c r="BT557" t="str">
        <f>HYPERLINK("https%3A%2F%2Fwww.webofscience.com%2Fwos%2Fwoscc%2Ffull-record%2FWOS:000301157700049","View Full Record in Web of Science")</f>
        <v>View Full Record in Web of Science</v>
      </c>
    </row>
    <row r="558" spans="1:72" x14ac:dyDescent="0.15">
      <c r="A558" t="s">
        <v>72</v>
      </c>
      <c r="B558" t="s">
        <v>10576</v>
      </c>
      <c r="C558" t="s">
        <v>74</v>
      </c>
      <c r="D558" t="s">
        <v>74</v>
      </c>
      <c r="E558" t="s">
        <v>74</v>
      </c>
      <c r="F558" t="s">
        <v>10577</v>
      </c>
      <c r="G558" t="s">
        <v>74</v>
      </c>
      <c r="H558" t="s">
        <v>74</v>
      </c>
      <c r="I558" t="s">
        <v>10578</v>
      </c>
      <c r="J558" t="s">
        <v>7454</v>
      </c>
      <c r="K558" t="s">
        <v>74</v>
      </c>
      <c r="L558" t="s">
        <v>74</v>
      </c>
      <c r="M558" t="s">
        <v>78</v>
      </c>
      <c r="N558" t="s">
        <v>79</v>
      </c>
      <c r="O558" t="s">
        <v>74</v>
      </c>
      <c r="P558" t="s">
        <v>74</v>
      </c>
      <c r="Q558" t="s">
        <v>74</v>
      </c>
      <c r="R558" t="s">
        <v>74</v>
      </c>
      <c r="S558" t="s">
        <v>74</v>
      </c>
      <c r="T558" t="s">
        <v>10579</v>
      </c>
      <c r="U558" t="s">
        <v>10580</v>
      </c>
      <c r="V558" t="s">
        <v>10581</v>
      </c>
      <c r="W558" t="s">
        <v>10582</v>
      </c>
      <c r="X558" t="s">
        <v>10583</v>
      </c>
      <c r="Y558" t="s">
        <v>10584</v>
      </c>
      <c r="Z558" t="s">
        <v>10585</v>
      </c>
      <c r="AA558" t="s">
        <v>10586</v>
      </c>
      <c r="AB558" t="s">
        <v>10587</v>
      </c>
      <c r="AC558" t="s">
        <v>10588</v>
      </c>
      <c r="AD558" t="s">
        <v>10589</v>
      </c>
      <c r="AE558" t="s">
        <v>10590</v>
      </c>
      <c r="AF558" t="s">
        <v>74</v>
      </c>
      <c r="AG558">
        <v>56</v>
      </c>
      <c r="AH558">
        <v>51</v>
      </c>
      <c r="AI558">
        <v>56</v>
      </c>
      <c r="AJ558">
        <v>0</v>
      </c>
      <c r="AK558">
        <v>33</v>
      </c>
      <c r="AL558" t="s">
        <v>655</v>
      </c>
      <c r="AM558" t="s">
        <v>1442</v>
      </c>
      <c r="AN558" t="s">
        <v>1443</v>
      </c>
      <c r="AO558" t="s">
        <v>7466</v>
      </c>
      <c r="AP558" t="s">
        <v>74</v>
      </c>
      <c r="AQ558" t="s">
        <v>74</v>
      </c>
      <c r="AR558" t="s">
        <v>7468</v>
      </c>
      <c r="AS558" t="s">
        <v>7469</v>
      </c>
      <c r="AT558" t="s">
        <v>9372</v>
      </c>
      <c r="AU558">
        <v>2012</v>
      </c>
      <c r="AV558">
        <v>14</v>
      </c>
      <c r="AW558">
        <v>2</v>
      </c>
      <c r="AX558" t="s">
        <v>74</v>
      </c>
      <c r="AY558" t="s">
        <v>74</v>
      </c>
      <c r="AZ558" t="s">
        <v>74</v>
      </c>
      <c r="BA558" t="s">
        <v>74</v>
      </c>
      <c r="BB558">
        <v>405</v>
      </c>
      <c r="BC558">
        <v>417</v>
      </c>
      <c r="BD558" t="s">
        <v>74</v>
      </c>
      <c r="BE558" t="s">
        <v>10591</v>
      </c>
      <c r="BF558" t="str">
        <f>HYPERLINK("http://dx.doi.org/10.1007/s10530-011-0086-8","http://dx.doi.org/10.1007/s10530-011-0086-8")</f>
        <v>http://dx.doi.org/10.1007/s10530-011-0086-8</v>
      </c>
      <c r="BG558" t="s">
        <v>74</v>
      </c>
      <c r="BH558" t="s">
        <v>74</v>
      </c>
      <c r="BI558">
        <v>13</v>
      </c>
      <c r="BJ558" t="s">
        <v>2320</v>
      </c>
      <c r="BK558" t="s">
        <v>99</v>
      </c>
      <c r="BL558" t="s">
        <v>1784</v>
      </c>
      <c r="BM558" t="s">
        <v>10592</v>
      </c>
      <c r="BN558" t="s">
        <v>74</v>
      </c>
      <c r="BO558" t="s">
        <v>74</v>
      </c>
      <c r="BP558" t="s">
        <v>74</v>
      </c>
      <c r="BQ558" t="s">
        <v>74</v>
      </c>
      <c r="BR558" t="s">
        <v>101</v>
      </c>
      <c r="BS558" t="s">
        <v>10593</v>
      </c>
      <c r="BT558" t="str">
        <f>HYPERLINK("https%3A%2F%2Fwww.webofscience.com%2Fwos%2Fwoscc%2Ffull-record%2FWOS:000299516200012","View Full Record in Web of Science")</f>
        <v>View Full Record in Web of Science</v>
      </c>
    </row>
    <row r="559" spans="1:72" x14ac:dyDescent="0.15">
      <c r="A559" t="s">
        <v>72</v>
      </c>
      <c r="B559" t="s">
        <v>10594</v>
      </c>
      <c r="C559" t="s">
        <v>74</v>
      </c>
      <c r="D559" t="s">
        <v>74</v>
      </c>
      <c r="E559" t="s">
        <v>74</v>
      </c>
      <c r="F559" t="s">
        <v>10595</v>
      </c>
      <c r="G559" t="s">
        <v>74</v>
      </c>
      <c r="H559" t="s">
        <v>74</v>
      </c>
      <c r="I559" t="s">
        <v>10596</v>
      </c>
      <c r="J559" t="s">
        <v>10597</v>
      </c>
      <c r="K559" t="s">
        <v>74</v>
      </c>
      <c r="L559" t="s">
        <v>74</v>
      </c>
      <c r="M559" t="s">
        <v>78</v>
      </c>
      <c r="N559" t="s">
        <v>79</v>
      </c>
      <c r="O559" t="s">
        <v>74</v>
      </c>
      <c r="P559" t="s">
        <v>74</v>
      </c>
      <c r="Q559" t="s">
        <v>74</v>
      </c>
      <c r="R559" t="s">
        <v>74</v>
      </c>
      <c r="S559" t="s">
        <v>74</v>
      </c>
      <c r="T559" t="s">
        <v>74</v>
      </c>
      <c r="U559" t="s">
        <v>10598</v>
      </c>
      <c r="V559" t="s">
        <v>10599</v>
      </c>
      <c r="W559" t="s">
        <v>10600</v>
      </c>
      <c r="X559" t="s">
        <v>10601</v>
      </c>
      <c r="Y559" t="s">
        <v>10602</v>
      </c>
      <c r="Z559" t="s">
        <v>10603</v>
      </c>
      <c r="AA559" t="s">
        <v>10604</v>
      </c>
      <c r="AB559" t="s">
        <v>10605</v>
      </c>
      <c r="AC559" t="s">
        <v>10606</v>
      </c>
      <c r="AD559" t="s">
        <v>10607</v>
      </c>
      <c r="AE559" t="s">
        <v>10608</v>
      </c>
      <c r="AF559" t="s">
        <v>74</v>
      </c>
      <c r="AG559">
        <v>34</v>
      </c>
      <c r="AH559">
        <v>39</v>
      </c>
      <c r="AI559">
        <v>43</v>
      </c>
      <c r="AJ559">
        <v>1</v>
      </c>
      <c r="AK559">
        <v>60</v>
      </c>
      <c r="AL559" t="s">
        <v>761</v>
      </c>
      <c r="AM559" t="s">
        <v>762</v>
      </c>
      <c r="AN559" t="s">
        <v>10609</v>
      </c>
      <c r="AO559" t="s">
        <v>10610</v>
      </c>
      <c r="AP559" t="s">
        <v>10611</v>
      </c>
      <c r="AQ559" t="s">
        <v>74</v>
      </c>
      <c r="AR559" t="s">
        <v>10597</v>
      </c>
      <c r="AS559" t="s">
        <v>10612</v>
      </c>
      <c r="AT559" t="s">
        <v>9372</v>
      </c>
      <c r="AU559">
        <v>2012</v>
      </c>
      <c r="AV559">
        <v>59</v>
      </c>
      <c r="AW559">
        <v>1</v>
      </c>
      <c r="AX559" t="s">
        <v>74</v>
      </c>
      <c r="AY559" t="s">
        <v>74</v>
      </c>
      <c r="AZ559" t="s">
        <v>74</v>
      </c>
      <c r="BA559" t="s">
        <v>74</v>
      </c>
      <c r="BB559">
        <v>1</v>
      </c>
      <c r="BC559">
        <v>9</v>
      </c>
      <c r="BD559" t="s">
        <v>74</v>
      </c>
      <c r="BE559" t="s">
        <v>74</v>
      </c>
      <c r="BF559" t="s">
        <v>74</v>
      </c>
      <c r="BG559" t="s">
        <v>74</v>
      </c>
      <c r="BH559" t="s">
        <v>74</v>
      </c>
      <c r="BI559">
        <v>9</v>
      </c>
      <c r="BJ559" t="s">
        <v>917</v>
      </c>
      <c r="BK559" t="s">
        <v>99</v>
      </c>
      <c r="BL559" t="s">
        <v>98</v>
      </c>
      <c r="BM559" t="s">
        <v>10613</v>
      </c>
      <c r="BN559" t="s">
        <v>74</v>
      </c>
      <c r="BO559" t="s">
        <v>74</v>
      </c>
      <c r="BP559" t="s">
        <v>74</v>
      </c>
      <c r="BQ559" t="s">
        <v>74</v>
      </c>
      <c r="BR559" t="s">
        <v>101</v>
      </c>
      <c r="BS559" t="s">
        <v>10614</v>
      </c>
      <c r="BT559" t="str">
        <f>HYPERLINK("https%3A%2F%2Fwww.webofscience.com%2Fwos%2Fwoscc%2Ffull-record%2FWOS:000301318800001","View Full Record in Web of Science")</f>
        <v>View Full Record in Web of Science</v>
      </c>
    </row>
    <row r="560" spans="1:72" x14ac:dyDescent="0.15">
      <c r="A560" t="s">
        <v>72</v>
      </c>
      <c r="B560" t="s">
        <v>10615</v>
      </c>
      <c r="C560" t="s">
        <v>74</v>
      </c>
      <c r="D560" t="s">
        <v>74</v>
      </c>
      <c r="E560" t="s">
        <v>74</v>
      </c>
      <c r="F560" t="s">
        <v>10616</v>
      </c>
      <c r="G560" t="s">
        <v>74</v>
      </c>
      <c r="H560" t="s">
        <v>74</v>
      </c>
      <c r="I560" t="s">
        <v>10617</v>
      </c>
      <c r="J560" t="s">
        <v>4738</v>
      </c>
      <c r="K560" t="s">
        <v>74</v>
      </c>
      <c r="L560" t="s">
        <v>74</v>
      </c>
      <c r="M560" t="s">
        <v>78</v>
      </c>
      <c r="N560" t="s">
        <v>79</v>
      </c>
      <c r="O560" t="s">
        <v>74</v>
      </c>
      <c r="P560" t="s">
        <v>74</v>
      </c>
      <c r="Q560" t="s">
        <v>74</v>
      </c>
      <c r="R560" t="s">
        <v>74</v>
      </c>
      <c r="S560" t="s">
        <v>74</v>
      </c>
      <c r="T560" t="s">
        <v>10618</v>
      </c>
      <c r="U560" t="s">
        <v>10619</v>
      </c>
      <c r="V560" t="s">
        <v>10620</v>
      </c>
      <c r="W560" t="s">
        <v>10621</v>
      </c>
      <c r="X560" t="s">
        <v>10622</v>
      </c>
      <c r="Y560" t="s">
        <v>10623</v>
      </c>
      <c r="Z560" t="s">
        <v>10624</v>
      </c>
      <c r="AA560" t="s">
        <v>10625</v>
      </c>
      <c r="AB560" t="s">
        <v>10626</v>
      </c>
      <c r="AC560" t="s">
        <v>10627</v>
      </c>
      <c r="AD560" t="s">
        <v>10628</v>
      </c>
      <c r="AE560" t="s">
        <v>10629</v>
      </c>
      <c r="AF560" t="s">
        <v>74</v>
      </c>
      <c r="AG560">
        <v>44</v>
      </c>
      <c r="AH560">
        <v>26</v>
      </c>
      <c r="AI560">
        <v>28</v>
      </c>
      <c r="AJ560">
        <v>2</v>
      </c>
      <c r="AK560">
        <v>22</v>
      </c>
      <c r="AL560" t="s">
        <v>655</v>
      </c>
      <c r="AM560" t="s">
        <v>656</v>
      </c>
      <c r="AN560" t="s">
        <v>1908</v>
      </c>
      <c r="AO560" t="s">
        <v>4750</v>
      </c>
      <c r="AP560" t="s">
        <v>4751</v>
      </c>
      <c r="AQ560" t="s">
        <v>74</v>
      </c>
      <c r="AR560" t="s">
        <v>4752</v>
      </c>
      <c r="AS560" t="s">
        <v>4753</v>
      </c>
      <c r="AT560" t="s">
        <v>9372</v>
      </c>
      <c r="AU560">
        <v>2012</v>
      </c>
      <c r="AV560">
        <v>38</v>
      </c>
      <c r="AW560" t="s">
        <v>374</v>
      </c>
      <c r="AX560" t="s">
        <v>74</v>
      </c>
      <c r="AY560" t="s">
        <v>74</v>
      </c>
      <c r="AZ560" t="s">
        <v>74</v>
      </c>
      <c r="BA560" t="s">
        <v>74</v>
      </c>
      <c r="BB560">
        <v>563</v>
      </c>
      <c r="BC560">
        <v>572</v>
      </c>
      <c r="BD560" t="s">
        <v>74</v>
      </c>
      <c r="BE560" t="s">
        <v>10630</v>
      </c>
      <c r="BF560" t="str">
        <f>HYPERLINK("http://dx.doi.org/10.1007/s00382-011-1121-2","http://dx.doi.org/10.1007/s00382-011-1121-2")</f>
        <v>http://dx.doi.org/10.1007/s00382-011-1121-2</v>
      </c>
      <c r="BG560" t="s">
        <v>74</v>
      </c>
      <c r="BH560" t="s">
        <v>74</v>
      </c>
      <c r="BI560">
        <v>10</v>
      </c>
      <c r="BJ560" t="s">
        <v>128</v>
      </c>
      <c r="BK560" t="s">
        <v>99</v>
      </c>
      <c r="BL560" t="s">
        <v>128</v>
      </c>
      <c r="BM560" t="s">
        <v>9940</v>
      </c>
      <c r="BN560" t="s">
        <v>74</v>
      </c>
      <c r="BO560" t="s">
        <v>74</v>
      </c>
      <c r="BP560" t="s">
        <v>74</v>
      </c>
      <c r="BQ560" t="s">
        <v>74</v>
      </c>
      <c r="BR560" t="s">
        <v>101</v>
      </c>
      <c r="BS560" t="s">
        <v>10631</v>
      </c>
      <c r="BT560" t="str">
        <f>HYPERLINK("https%3A%2F%2Fwww.webofscience.com%2Fwos%2Fwoscc%2Ffull-record%2FWOS:000299899300008","View Full Record in Web of Science")</f>
        <v>View Full Record in Web of Science</v>
      </c>
    </row>
    <row r="561" spans="1:72" x14ac:dyDescent="0.15">
      <c r="A561" t="s">
        <v>72</v>
      </c>
      <c r="B561" t="s">
        <v>10632</v>
      </c>
      <c r="C561" t="s">
        <v>74</v>
      </c>
      <c r="D561" t="s">
        <v>74</v>
      </c>
      <c r="E561" t="s">
        <v>74</v>
      </c>
      <c r="F561" t="s">
        <v>10633</v>
      </c>
      <c r="G561" t="s">
        <v>74</v>
      </c>
      <c r="H561" t="s">
        <v>74</v>
      </c>
      <c r="I561" t="s">
        <v>10634</v>
      </c>
      <c r="J561" t="s">
        <v>10635</v>
      </c>
      <c r="K561" t="s">
        <v>74</v>
      </c>
      <c r="L561" t="s">
        <v>74</v>
      </c>
      <c r="M561" t="s">
        <v>78</v>
      </c>
      <c r="N561" t="s">
        <v>79</v>
      </c>
      <c r="O561" t="s">
        <v>74</v>
      </c>
      <c r="P561" t="s">
        <v>74</v>
      </c>
      <c r="Q561" t="s">
        <v>74</v>
      </c>
      <c r="R561" t="s">
        <v>74</v>
      </c>
      <c r="S561" t="s">
        <v>74</v>
      </c>
      <c r="T561" t="s">
        <v>10636</v>
      </c>
      <c r="U561" t="s">
        <v>10637</v>
      </c>
      <c r="V561" t="s">
        <v>10638</v>
      </c>
      <c r="W561" t="s">
        <v>10639</v>
      </c>
      <c r="X561" t="s">
        <v>10640</v>
      </c>
      <c r="Y561" t="s">
        <v>10641</v>
      </c>
      <c r="Z561" t="s">
        <v>10642</v>
      </c>
      <c r="AA561" t="s">
        <v>10643</v>
      </c>
      <c r="AB561" t="s">
        <v>10644</v>
      </c>
      <c r="AC561" t="s">
        <v>10645</v>
      </c>
      <c r="AD561" t="s">
        <v>10646</v>
      </c>
      <c r="AE561" t="s">
        <v>10647</v>
      </c>
      <c r="AF561" t="s">
        <v>74</v>
      </c>
      <c r="AG561">
        <v>75</v>
      </c>
      <c r="AH561">
        <v>36</v>
      </c>
      <c r="AI561">
        <v>37</v>
      </c>
      <c r="AJ561">
        <v>0</v>
      </c>
      <c r="AK561">
        <v>21</v>
      </c>
      <c r="AL561" t="s">
        <v>277</v>
      </c>
      <c r="AM561" t="s">
        <v>278</v>
      </c>
      <c r="AN561" t="s">
        <v>279</v>
      </c>
      <c r="AO561" t="s">
        <v>10648</v>
      </c>
      <c r="AP561" t="s">
        <v>10649</v>
      </c>
      <c r="AQ561" t="s">
        <v>74</v>
      </c>
      <c r="AR561" t="s">
        <v>10650</v>
      </c>
      <c r="AS561" t="s">
        <v>10651</v>
      </c>
      <c r="AT561" t="s">
        <v>10405</v>
      </c>
      <c r="AU561">
        <v>2012</v>
      </c>
      <c r="AV561" t="s">
        <v>10652</v>
      </c>
      <c r="AW561" t="s">
        <v>74</v>
      </c>
      <c r="AX561" t="s">
        <v>74</v>
      </c>
      <c r="AY561" t="s">
        <v>74</v>
      </c>
      <c r="AZ561" t="s">
        <v>74</v>
      </c>
      <c r="BA561" t="s">
        <v>74</v>
      </c>
      <c r="BB561">
        <v>73</v>
      </c>
      <c r="BC561">
        <v>84</v>
      </c>
      <c r="BD561" t="s">
        <v>74</v>
      </c>
      <c r="BE561" t="s">
        <v>10653</v>
      </c>
      <c r="BF561" t="str">
        <f>HYPERLINK("http://dx.doi.org/10.1016/j.dsr2.2011.05.016","http://dx.doi.org/10.1016/j.dsr2.2011.05.016")</f>
        <v>http://dx.doi.org/10.1016/j.dsr2.2011.05.016</v>
      </c>
      <c r="BG561" t="s">
        <v>74</v>
      </c>
      <c r="BH561" t="s">
        <v>74</v>
      </c>
      <c r="BI561">
        <v>12</v>
      </c>
      <c r="BJ561" t="s">
        <v>350</v>
      </c>
      <c r="BK561" t="s">
        <v>99</v>
      </c>
      <c r="BL561" t="s">
        <v>350</v>
      </c>
      <c r="BM561" t="s">
        <v>10654</v>
      </c>
      <c r="BN561" t="s">
        <v>74</v>
      </c>
      <c r="BO561" t="s">
        <v>74</v>
      </c>
      <c r="BP561" t="s">
        <v>74</v>
      </c>
      <c r="BQ561" t="s">
        <v>74</v>
      </c>
      <c r="BR561" t="s">
        <v>101</v>
      </c>
      <c r="BS561" t="s">
        <v>10655</v>
      </c>
      <c r="BT561" t="str">
        <f>HYPERLINK("https%3A%2F%2Fwww.webofscience.com%2Fwos%2Fwoscc%2Ffull-record%2FWOS:000301818900006","View Full Record in Web of Science")</f>
        <v>View Full Record in Web of Science</v>
      </c>
    </row>
    <row r="562" spans="1:72" x14ac:dyDescent="0.15">
      <c r="A562" t="s">
        <v>72</v>
      </c>
      <c r="B562" t="s">
        <v>10656</v>
      </c>
      <c r="C562" t="s">
        <v>74</v>
      </c>
      <c r="D562" t="s">
        <v>74</v>
      </c>
      <c r="E562" t="s">
        <v>74</v>
      </c>
      <c r="F562" t="s">
        <v>10657</v>
      </c>
      <c r="G562" t="s">
        <v>74</v>
      </c>
      <c r="H562" t="s">
        <v>74</v>
      </c>
      <c r="I562" t="s">
        <v>10658</v>
      </c>
      <c r="J562" t="s">
        <v>4781</v>
      </c>
      <c r="K562" t="s">
        <v>74</v>
      </c>
      <c r="L562" t="s">
        <v>74</v>
      </c>
      <c r="M562" t="s">
        <v>78</v>
      </c>
      <c r="N562" t="s">
        <v>79</v>
      </c>
      <c r="O562" t="s">
        <v>74</v>
      </c>
      <c r="P562" t="s">
        <v>74</v>
      </c>
      <c r="Q562" t="s">
        <v>74</v>
      </c>
      <c r="R562" t="s">
        <v>74</v>
      </c>
      <c r="S562" t="s">
        <v>74</v>
      </c>
      <c r="T562" t="s">
        <v>10659</v>
      </c>
      <c r="U562" t="s">
        <v>10660</v>
      </c>
      <c r="V562" t="s">
        <v>10661</v>
      </c>
      <c r="W562" t="s">
        <v>10662</v>
      </c>
      <c r="X562" t="s">
        <v>205</v>
      </c>
      <c r="Y562" t="s">
        <v>10663</v>
      </c>
      <c r="Z562" t="s">
        <v>10664</v>
      </c>
      <c r="AA562" t="s">
        <v>10665</v>
      </c>
      <c r="AB562" t="s">
        <v>10666</v>
      </c>
      <c r="AC562" t="s">
        <v>74</v>
      </c>
      <c r="AD562" t="s">
        <v>74</v>
      </c>
      <c r="AE562" t="s">
        <v>74</v>
      </c>
      <c r="AF562" t="s">
        <v>74</v>
      </c>
      <c r="AG562">
        <v>53</v>
      </c>
      <c r="AH562">
        <v>28</v>
      </c>
      <c r="AI562">
        <v>28</v>
      </c>
      <c r="AJ562">
        <v>1</v>
      </c>
      <c r="AK562">
        <v>29</v>
      </c>
      <c r="AL562" t="s">
        <v>935</v>
      </c>
      <c r="AM562" t="s">
        <v>369</v>
      </c>
      <c r="AN562" t="s">
        <v>936</v>
      </c>
      <c r="AO562" t="s">
        <v>4794</v>
      </c>
      <c r="AP562" t="s">
        <v>4795</v>
      </c>
      <c r="AQ562" t="s">
        <v>74</v>
      </c>
      <c r="AR562" t="s">
        <v>4796</v>
      </c>
      <c r="AS562" t="s">
        <v>4797</v>
      </c>
      <c r="AT562" t="s">
        <v>9594</v>
      </c>
      <c r="AU562">
        <v>2012</v>
      </c>
      <c r="AV562">
        <v>317</v>
      </c>
      <c r="AW562" t="s">
        <v>74</v>
      </c>
      <c r="AX562" t="s">
        <v>74</v>
      </c>
      <c r="AY562" t="s">
        <v>74</v>
      </c>
      <c r="AZ562" t="s">
        <v>74</v>
      </c>
      <c r="BA562" t="s">
        <v>74</v>
      </c>
      <c r="BB562">
        <v>20</v>
      </c>
      <c r="BC562">
        <v>26</v>
      </c>
      <c r="BD562" t="s">
        <v>74</v>
      </c>
      <c r="BE562" t="s">
        <v>10667</v>
      </c>
      <c r="BF562" t="str">
        <f>HYPERLINK("http://dx.doi.org/10.1016/j.epsl.2011.11.030","http://dx.doi.org/10.1016/j.epsl.2011.11.030")</f>
        <v>http://dx.doi.org/10.1016/j.epsl.2011.11.030</v>
      </c>
      <c r="BG562" t="s">
        <v>74</v>
      </c>
      <c r="BH562" t="s">
        <v>74</v>
      </c>
      <c r="BI562">
        <v>7</v>
      </c>
      <c r="BJ562" t="s">
        <v>1134</v>
      </c>
      <c r="BK562" t="s">
        <v>99</v>
      </c>
      <c r="BL562" t="s">
        <v>1134</v>
      </c>
      <c r="BM562" t="s">
        <v>9596</v>
      </c>
      <c r="BN562" t="s">
        <v>74</v>
      </c>
      <c r="BO562" t="s">
        <v>74</v>
      </c>
      <c r="BP562" t="s">
        <v>74</v>
      </c>
      <c r="BQ562" t="s">
        <v>74</v>
      </c>
      <c r="BR562" t="s">
        <v>101</v>
      </c>
      <c r="BS562" t="s">
        <v>10668</v>
      </c>
      <c r="BT562" t="str">
        <f>HYPERLINK("https%3A%2F%2Fwww.webofscience.com%2Fwos%2Fwoscc%2Ffull-record%2FWOS:000301616700003","View Full Record in Web of Science")</f>
        <v>View Full Record in Web of Science</v>
      </c>
    </row>
    <row r="563" spans="1:72" x14ac:dyDescent="0.15">
      <c r="A563" t="s">
        <v>72</v>
      </c>
      <c r="B563" t="s">
        <v>10669</v>
      </c>
      <c r="C563" t="s">
        <v>74</v>
      </c>
      <c r="D563" t="s">
        <v>74</v>
      </c>
      <c r="E563" t="s">
        <v>74</v>
      </c>
      <c r="F563" t="s">
        <v>10670</v>
      </c>
      <c r="G563" t="s">
        <v>74</v>
      </c>
      <c r="H563" t="s">
        <v>74</v>
      </c>
      <c r="I563" t="s">
        <v>10671</v>
      </c>
      <c r="J563" t="s">
        <v>4781</v>
      </c>
      <c r="K563" t="s">
        <v>74</v>
      </c>
      <c r="L563" t="s">
        <v>74</v>
      </c>
      <c r="M563" t="s">
        <v>78</v>
      </c>
      <c r="N563" t="s">
        <v>79</v>
      </c>
      <c r="O563" t="s">
        <v>74</v>
      </c>
      <c r="P563" t="s">
        <v>74</v>
      </c>
      <c r="Q563" t="s">
        <v>74</v>
      </c>
      <c r="R563" t="s">
        <v>74</v>
      </c>
      <c r="S563" t="s">
        <v>74</v>
      </c>
      <c r="T563" t="s">
        <v>10672</v>
      </c>
      <c r="U563" t="s">
        <v>10673</v>
      </c>
      <c r="V563" t="s">
        <v>10674</v>
      </c>
      <c r="W563" t="s">
        <v>10675</v>
      </c>
      <c r="X563" t="s">
        <v>10676</v>
      </c>
      <c r="Y563" t="s">
        <v>10677</v>
      </c>
      <c r="Z563" t="s">
        <v>10678</v>
      </c>
      <c r="AA563" t="s">
        <v>74</v>
      </c>
      <c r="AB563" t="s">
        <v>10679</v>
      </c>
      <c r="AC563" t="s">
        <v>10680</v>
      </c>
      <c r="AD563" t="s">
        <v>10681</v>
      </c>
      <c r="AE563" t="s">
        <v>10682</v>
      </c>
      <c r="AF563" t="s">
        <v>74</v>
      </c>
      <c r="AG563">
        <v>77</v>
      </c>
      <c r="AH563">
        <v>151</v>
      </c>
      <c r="AI563">
        <v>160</v>
      </c>
      <c r="AJ563">
        <v>2</v>
      </c>
      <c r="AK563">
        <v>51</v>
      </c>
      <c r="AL563" t="s">
        <v>935</v>
      </c>
      <c r="AM563" t="s">
        <v>369</v>
      </c>
      <c r="AN563" t="s">
        <v>936</v>
      </c>
      <c r="AO563" t="s">
        <v>4794</v>
      </c>
      <c r="AP563" t="s">
        <v>4795</v>
      </c>
      <c r="AQ563" t="s">
        <v>74</v>
      </c>
      <c r="AR563" t="s">
        <v>4796</v>
      </c>
      <c r="AS563" t="s">
        <v>4797</v>
      </c>
      <c r="AT563" t="s">
        <v>9594</v>
      </c>
      <c r="AU563">
        <v>2012</v>
      </c>
      <c r="AV563">
        <v>317</v>
      </c>
      <c r="AW563" t="s">
        <v>74</v>
      </c>
      <c r="AX563" t="s">
        <v>74</v>
      </c>
      <c r="AY563" t="s">
        <v>74</v>
      </c>
      <c r="AZ563" t="s">
        <v>74</v>
      </c>
      <c r="BA563" t="s">
        <v>74</v>
      </c>
      <c r="BB563">
        <v>282</v>
      </c>
      <c r="BC563">
        <v>294</v>
      </c>
      <c r="BD563" t="s">
        <v>74</v>
      </c>
      <c r="BE563" t="s">
        <v>10683</v>
      </c>
      <c r="BF563" t="str">
        <f>HYPERLINK("http://dx.doi.org/10.1016/j.epsl.2011.11.025","http://dx.doi.org/10.1016/j.epsl.2011.11.025")</f>
        <v>http://dx.doi.org/10.1016/j.epsl.2011.11.025</v>
      </c>
      <c r="BG563" t="s">
        <v>74</v>
      </c>
      <c r="BH563" t="s">
        <v>74</v>
      </c>
      <c r="BI563">
        <v>13</v>
      </c>
      <c r="BJ563" t="s">
        <v>1134</v>
      </c>
      <c r="BK563" t="s">
        <v>99</v>
      </c>
      <c r="BL563" t="s">
        <v>1134</v>
      </c>
      <c r="BM563" t="s">
        <v>9596</v>
      </c>
      <c r="BN563" t="s">
        <v>74</v>
      </c>
      <c r="BO563" t="s">
        <v>74</v>
      </c>
      <c r="BP563" t="s">
        <v>74</v>
      </c>
      <c r="BQ563" t="s">
        <v>74</v>
      </c>
      <c r="BR563" t="s">
        <v>101</v>
      </c>
      <c r="BS563" t="s">
        <v>10684</v>
      </c>
      <c r="BT563" t="str">
        <f>HYPERLINK("https%3A%2F%2Fwww.webofscience.com%2Fwos%2Fwoscc%2Ffull-record%2FWOS:000301616700028","View Full Record in Web of Science")</f>
        <v>View Full Record in Web of Science</v>
      </c>
    </row>
    <row r="564" spans="1:72" x14ac:dyDescent="0.15">
      <c r="A564" t="s">
        <v>72</v>
      </c>
      <c r="B564" t="s">
        <v>10685</v>
      </c>
      <c r="C564" t="s">
        <v>74</v>
      </c>
      <c r="D564" t="s">
        <v>74</v>
      </c>
      <c r="E564" t="s">
        <v>74</v>
      </c>
      <c r="F564" t="s">
        <v>10686</v>
      </c>
      <c r="G564" t="s">
        <v>74</v>
      </c>
      <c r="H564" t="s">
        <v>74</v>
      </c>
      <c r="I564" t="s">
        <v>10687</v>
      </c>
      <c r="J564" t="s">
        <v>4781</v>
      </c>
      <c r="K564" t="s">
        <v>74</v>
      </c>
      <c r="L564" t="s">
        <v>74</v>
      </c>
      <c r="M564" t="s">
        <v>78</v>
      </c>
      <c r="N564" t="s">
        <v>79</v>
      </c>
      <c r="O564" t="s">
        <v>74</v>
      </c>
      <c r="P564" t="s">
        <v>74</v>
      </c>
      <c r="Q564" t="s">
        <v>74</v>
      </c>
      <c r="R564" t="s">
        <v>74</v>
      </c>
      <c r="S564" t="s">
        <v>74</v>
      </c>
      <c r="T564" t="s">
        <v>10688</v>
      </c>
      <c r="U564" t="s">
        <v>10689</v>
      </c>
      <c r="V564" t="s">
        <v>10690</v>
      </c>
      <c r="W564" t="s">
        <v>10691</v>
      </c>
      <c r="X564" t="s">
        <v>10692</v>
      </c>
      <c r="Y564" t="s">
        <v>10693</v>
      </c>
      <c r="Z564" t="s">
        <v>10694</v>
      </c>
      <c r="AA564" t="s">
        <v>74</v>
      </c>
      <c r="AB564" t="s">
        <v>10695</v>
      </c>
      <c r="AC564" t="s">
        <v>10696</v>
      </c>
      <c r="AD564" t="s">
        <v>10697</v>
      </c>
      <c r="AE564" t="s">
        <v>10698</v>
      </c>
      <c r="AF564" t="s">
        <v>74</v>
      </c>
      <c r="AG564">
        <v>107</v>
      </c>
      <c r="AH564">
        <v>32</v>
      </c>
      <c r="AI564">
        <v>36</v>
      </c>
      <c r="AJ564">
        <v>0</v>
      </c>
      <c r="AK564">
        <v>36</v>
      </c>
      <c r="AL564" t="s">
        <v>935</v>
      </c>
      <c r="AM564" t="s">
        <v>369</v>
      </c>
      <c r="AN564" t="s">
        <v>936</v>
      </c>
      <c r="AO564" t="s">
        <v>4794</v>
      </c>
      <c r="AP564" t="s">
        <v>4795</v>
      </c>
      <c r="AQ564" t="s">
        <v>74</v>
      </c>
      <c r="AR564" t="s">
        <v>4796</v>
      </c>
      <c r="AS564" t="s">
        <v>4797</v>
      </c>
      <c r="AT564" t="s">
        <v>9594</v>
      </c>
      <c r="AU564">
        <v>2012</v>
      </c>
      <c r="AV564">
        <v>317</v>
      </c>
      <c r="AW564" t="s">
        <v>74</v>
      </c>
      <c r="AX564" t="s">
        <v>74</v>
      </c>
      <c r="AY564" t="s">
        <v>74</v>
      </c>
      <c r="AZ564" t="s">
        <v>74</v>
      </c>
      <c r="BA564" t="s">
        <v>74</v>
      </c>
      <c r="BB564">
        <v>374</v>
      </c>
      <c r="BC564">
        <v>385</v>
      </c>
      <c r="BD564" t="s">
        <v>74</v>
      </c>
      <c r="BE564" t="s">
        <v>10699</v>
      </c>
      <c r="BF564" t="str">
        <f>HYPERLINK("http://dx.doi.org/10.1016/j.epsl.2011.10.007","http://dx.doi.org/10.1016/j.epsl.2011.10.007")</f>
        <v>http://dx.doi.org/10.1016/j.epsl.2011.10.007</v>
      </c>
      <c r="BG564" t="s">
        <v>74</v>
      </c>
      <c r="BH564" t="s">
        <v>74</v>
      </c>
      <c r="BI564">
        <v>12</v>
      </c>
      <c r="BJ564" t="s">
        <v>1134</v>
      </c>
      <c r="BK564" t="s">
        <v>99</v>
      </c>
      <c r="BL564" t="s">
        <v>1134</v>
      </c>
      <c r="BM564" t="s">
        <v>9596</v>
      </c>
      <c r="BN564" t="s">
        <v>74</v>
      </c>
      <c r="BO564" t="s">
        <v>328</v>
      </c>
      <c r="BP564" t="s">
        <v>74</v>
      </c>
      <c r="BQ564" t="s">
        <v>74</v>
      </c>
      <c r="BR564" t="s">
        <v>101</v>
      </c>
      <c r="BS564" t="s">
        <v>10700</v>
      </c>
      <c r="BT564" t="str">
        <f>HYPERLINK("https%3A%2F%2Fwww.webofscience.com%2Fwos%2Fwoscc%2Ffull-record%2FWOS:000301616700036","View Full Record in Web of Science")</f>
        <v>View Full Record in Web of Science</v>
      </c>
    </row>
    <row r="565" spans="1:72" x14ac:dyDescent="0.15">
      <c r="A565" t="s">
        <v>72</v>
      </c>
      <c r="B565" t="s">
        <v>10701</v>
      </c>
      <c r="C565" t="s">
        <v>74</v>
      </c>
      <c r="D565" t="s">
        <v>74</v>
      </c>
      <c r="E565" t="s">
        <v>74</v>
      </c>
      <c r="F565" t="s">
        <v>10702</v>
      </c>
      <c r="G565" t="s">
        <v>74</v>
      </c>
      <c r="H565" t="s">
        <v>74</v>
      </c>
      <c r="I565" t="s">
        <v>10703</v>
      </c>
      <c r="J565" t="s">
        <v>7082</v>
      </c>
      <c r="K565" t="s">
        <v>74</v>
      </c>
      <c r="L565" t="s">
        <v>74</v>
      </c>
      <c r="M565" t="s">
        <v>78</v>
      </c>
      <c r="N565" t="s">
        <v>79</v>
      </c>
      <c r="O565" t="s">
        <v>74</v>
      </c>
      <c r="P565" t="s">
        <v>74</v>
      </c>
      <c r="Q565" t="s">
        <v>74</v>
      </c>
      <c r="R565" t="s">
        <v>74</v>
      </c>
      <c r="S565" t="s">
        <v>74</v>
      </c>
      <c r="T565" t="s">
        <v>10704</v>
      </c>
      <c r="U565" t="s">
        <v>10705</v>
      </c>
      <c r="V565" t="s">
        <v>10706</v>
      </c>
      <c r="W565" t="s">
        <v>10707</v>
      </c>
      <c r="X565" t="s">
        <v>10708</v>
      </c>
      <c r="Y565" t="s">
        <v>10709</v>
      </c>
      <c r="Z565" t="s">
        <v>10710</v>
      </c>
      <c r="AA565" t="s">
        <v>10711</v>
      </c>
      <c r="AB565" t="s">
        <v>10712</v>
      </c>
      <c r="AC565" t="s">
        <v>10713</v>
      </c>
      <c r="AD565" t="s">
        <v>10714</v>
      </c>
      <c r="AE565" t="s">
        <v>10715</v>
      </c>
      <c r="AF565" t="s">
        <v>74</v>
      </c>
      <c r="AG565">
        <v>355</v>
      </c>
      <c r="AH565">
        <v>154</v>
      </c>
      <c r="AI565">
        <v>166</v>
      </c>
      <c r="AJ565">
        <v>0</v>
      </c>
      <c r="AK565">
        <v>57</v>
      </c>
      <c r="AL565" t="s">
        <v>935</v>
      </c>
      <c r="AM565" t="s">
        <v>369</v>
      </c>
      <c r="AN565" t="s">
        <v>936</v>
      </c>
      <c r="AO565" t="s">
        <v>7091</v>
      </c>
      <c r="AP565" t="s">
        <v>7092</v>
      </c>
      <c r="AQ565" t="s">
        <v>74</v>
      </c>
      <c r="AR565" t="s">
        <v>7093</v>
      </c>
      <c r="AS565" t="s">
        <v>7094</v>
      </c>
      <c r="AT565" t="s">
        <v>9372</v>
      </c>
      <c r="AU565">
        <v>2012</v>
      </c>
      <c r="AV565">
        <v>111</v>
      </c>
      <c r="AW565" t="s">
        <v>2941</v>
      </c>
      <c r="AX565" t="s">
        <v>74</v>
      </c>
      <c r="AY565" t="s">
        <v>74</v>
      </c>
      <c r="AZ565" t="s">
        <v>74</v>
      </c>
      <c r="BA565" t="s">
        <v>74</v>
      </c>
      <c r="BB565">
        <v>90</v>
      </c>
      <c r="BC565">
        <v>128</v>
      </c>
      <c r="BD565" t="s">
        <v>74</v>
      </c>
      <c r="BE565" t="s">
        <v>10716</v>
      </c>
      <c r="BF565" t="str">
        <f>HYPERLINK("http://dx.doi.org/10.1016/j.earscirev.2011.10.003","http://dx.doi.org/10.1016/j.earscirev.2011.10.003")</f>
        <v>http://dx.doi.org/10.1016/j.earscirev.2011.10.003</v>
      </c>
      <c r="BG565" t="s">
        <v>74</v>
      </c>
      <c r="BH565" t="s">
        <v>74</v>
      </c>
      <c r="BI565">
        <v>39</v>
      </c>
      <c r="BJ565" t="s">
        <v>194</v>
      </c>
      <c r="BK565" t="s">
        <v>99</v>
      </c>
      <c r="BL565" t="s">
        <v>195</v>
      </c>
      <c r="BM565" t="s">
        <v>10717</v>
      </c>
      <c r="BN565" t="s">
        <v>74</v>
      </c>
      <c r="BO565" t="s">
        <v>10718</v>
      </c>
      <c r="BP565" t="s">
        <v>74</v>
      </c>
      <c r="BQ565" t="s">
        <v>74</v>
      </c>
      <c r="BR565" t="s">
        <v>101</v>
      </c>
      <c r="BS565" t="s">
        <v>10719</v>
      </c>
      <c r="BT565" t="str">
        <f>HYPERLINK("https%3A%2F%2Fwww.webofscience.com%2Fwos%2Fwoscc%2Ffull-record%2FWOS:000301758200006","View Full Record in Web of Science")</f>
        <v>View Full Record in Web of Science</v>
      </c>
    </row>
    <row r="566" spans="1:72" x14ac:dyDescent="0.15">
      <c r="A566" t="s">
        <v>72</v>
      </c>
      <c r="B566" t="s">
        <v>10720</v>
      </c>
      <c r="C566" t="s">
        <v>74</v>
      </c>
      <c r="D566" t="s">
        <v>74</v>
      </c>
      <c r="E566" t="s">
        <v>74</v>
      </c>
      <c r="F566" t="s">
        <v>10721</v>
      </c>
      <c r="G566" t="s">
        <v>74</v>
      </c>
      <c r="H566" t="s">
        <v>74</v>
      </c>
      <c r="I566" t="s">
        <v>10722</v>
      </c>
      <c r="J566" t="s">
        <v>10723</v>
      </c>
      <c r="K566" t="s">
        <v>74</v>
      </c>
      <c r="L566" t="s">
        <v>74</v>
      </c>
      <c r="M566" t="s">
        <v>78</v>
      </c>
      <c r="N566" t="s">
        <v>79</v>
      </c>
      <c r="O566" t="s">
        <v>74</v>
      </c>
      <c r="P566" t="s">
        <v>74</v>
      </c>
      <c r="Q566" t="s">
        <v>74</v>
      </c>
      <c r="R566" t="s">
        <v>74</v>
      </c>
      <c r="S566" t="s">
        <v>74</v>
      </c>
      <c r="T566" t="s">
        <v>10724</v>
      </c>
      <c r="U566" t="s">
        <v>74</v>
      </c>
      <c r="V566" t="s">
        <v>10725</v>
      </c>
      <c r="W566" t="s">
        <v>10726</v>
      </c>
      <c r="X566" t="s">
        <v>10727</v>
      </c>
      <c r="Y566" t="s">
        <v>10728</v>
      </c>
      <c r="Z566" t="s">
        <v>10729</v>
      </c>
      <c r="AA566" t="s">
        <v>10730</v>
      </c>
      <c r="AB566" t="s">
        <v>10731</v>
      </c>
      <c r="AC566" t="s">
        <v>10732</v>
      </c>
      <c r="AD566" t="s">
        <v>10321</v>
      </c>
      <c r="AE566" t="s">
        <v>10733</v>
      </c>
      <c r="AF566" t="s">
        <v>74</v>
      </c>
      <c r="AG566">
        <v>17</v>
      </c>
      <c r="AH566">
        <v>1</v>
      </c>
      <c r="AI566">
        <v>1</v>
      </c>
      <c r="AJ566">
        <v>1</v>
      </c>
      <c r="AK566">
        <v>1</v>
      </c>
      <c r="AL566" t="s">
        <v>655</v>
      </c>
      <c r="AM566" t="s">
        <v>656</v>
      </c>
      <c r="AN566" t="s">
        <v>657</v>
      </c>
      <c r="AO566" t="s">
        <v>10734</v>
      </c>
      <c r="AP566" t="s">
        <v>10735</v>
      </c>
      <c r="AQ566" t="s">
        <v>74</v>
      </c>
      <c r="AR566" t="s">
        <v>10736</v>
      </c>
      <c r="AS566" t="s">
        <v>10737</v>
      </c>
      <c r="AT566" t="s">
        <v>9372</v>
      </c>
      <c r="AU566">
        <v>2012</v>
      </c>
      <c r="AV566">
        <v>25</v>
      </c>
      <c r="AW566">
        <v>1</v>
      </c>
      <c r="AX566" t="s">
        <v>74</v>
      </c>
      <c r="AY566" t="s">
        <v>74</v>
      </c>
      <c r="AZ566" t="s">
        <v>74</v>
      </c>
      <c r="BA566" t="s">
        <v>74</v>
      </c>
      <c r="BB566">
        <v>17</v>
      </c>
      <c r="BC566">
        <v>24</v>
      </c>
      <c r="BD566" t="s">
        <v>74</v>
      </c>
      <c r="BE566" t="s">
        <v>10738</v>
      </c>
      <c r="BF566" t="str">
        <f>HYPERLINK("http://dx.doi.org/10.1007/s11589-012-0827-5","http://dx.doi.org/10.1007/s11589-012-0827-5")</f>
        <v>http://dx.doi.org/10.1007/s11589-012-0827-5</v>
      </c>
      <c r="BG566" t="s">
        <v>74</v>
      </c>
      <c r="BH566" t="s">
        <v>74</v>
      </c>
      <c r="BI566">
        <v>8</v>
      </c>
      <c r="BJ566" t="s">
        <v>1134</v>
      </c>
      <c r="BK566" t="s">
        <v>5350</v>
      </c>
      <c r="BL566" t="s">
        <v>1134</v>
      </c>
      <c r="BM566" t="s">
        <v>10739</v>
      </c>
      <c r="BN566" t="s">
        <v>74</v>
      </c>
      <c r="BO566" t="s">
        <v>217</v>
      </c>
      <c r="BP566" t="s">
        <v>74</v>
      </c>
      <c r="BQ566" t="s">
        <v>74</v>
      </c>
      <c r="BR566" t="s">
        <v>101</v>
      </c>
      <c r="BS566" t="s">
        <v>10740</v>
      </c>
      <c r="BT566" t="str">
        <f>HYPERLINK("https%3A%2F%2Fwww.webofscience.com%2Fwos%2Fwoscc%2Ffull-record%2FWOS:000210054600003","View Full Record in Web of Science")</f>
        <v>View Full Record in Web of Science</v>
      </c>
    </row>
    <row r="567" spans="1:72" x14ac:dyDescent="0.15">
      <c r="A567" t="s">
        <v>72</v>
      </c>
      <c r="B567" t="s">
        <v>10741</v>
      </c>
      <c r="C567" t="s">
        <v>74</v>
      </c>
      <c r="D567" t="s">
        <v>74</v>
      </c>
      <c r="E567" t="s">
        <v>74</v>
      </c>
      <c r="F567" t="s">
        <v>10742</v>
      </c>
      <c r="G567" t="s">
        <v>74</v>
      </c>
      <c r="H567" t="s">
        <v>74</v>
      </c>
      <c r="I567" t="s">
        <v>10743</v>
      </c>
      <c r="J567" t="s">
        <v>7046</v>
      </c>
      <c r="K567" t="s">
        <v>74</v>
      </c>
      <c r="L567" t="s">
        <v>74</v>
      </c>
      <c r="M567" t="s">
        <v>78</v>
      </c>
      <c r="N567" t="s">
        <v>79</v>
      </c>
      <c r="O567" t="s">
        <v>74</v>
      </c>
      <c r="P567" t="s">
        <v>74</v>
      </c>
      <c r="Q567" t="s">
        <v>74</v>
      </c>
      <c r="R567" t="s">
        <v>74</v>
      </c>
      <c r="S567" t="s">
        <v>74</v>
      </c>
      <c r="T567" t="s">
        <v>10744</v>
      </c>
      <c r="U567" t="s">
        <v>10745</v>
      </c>
      <c r="V567" t="s">
        <v>10746</v>
      </c>
      <c r="W567" t="s">
        <v>10747</v>
      </c>
      <c r="X567" t="s">
        <v>10748</v>
      </c>
      <c r="Y567" t="s">
        <v>10749</v>
      </c>
      <c r="Z567" t="s">
        <v>10750</v>
      </c>
      <c r="AA567" t="s">
        <v>10751</v>
      </c>
      <c r="AB567" t="s">
        <v>10752</v>
      </c>
      <c r="AC567" t="s">
        <v>10753</v>
      </c>
      <c r="AD567" t="s">
        <v>10754</v>
      </c>
      <c r="AE567" t="s">
        <v>10755</v>
      </c>
      <c r="AF567" t="s">
        <v>74</v>
      </c>
      <c r="AG567">
        <v>38</v>
      </c>
      <c r="AH567">
        <v>35</v>
      </c>
      <c r="AI567">
        <v>38</v>
      </c>
      <c r="AJ567">
        <v>1</v>
      </c>
      <c r="AK567">
        <v>58</v>
      </c>
      <c r="AL567" t="s">
        <v>10756</v>
      </c>
      <c r="AM567" t="s">
        <v>119</v>
      </c>
      <c r="AN567" t="s">
        <v>10757</v>
      </c>
      <c r="AO567" t="s">
        <v>7059</v>
      </c>
      <c r="AP567" t="s">
        <v>74</v>
      </c>
      <c r="AQ567" t="s">
        <v>74</v>
      </c>
      <c r="AR567" t="s">
        <v>7046</v>
      </c>
      <c r="AS567" t="s">
        <v>2422</v>
      </c>
      <c r="AT567" t="s">
        <v>9372</v>
      </c>
      <c r="AU567">
        <v>2012</v>
      </c>
      <c r="AV567">
        <v>93</v>
      </c>
      <c r="AW567">
        <v>2</v>
      </c>
      <c r="AX567" t="s">
        <v>74</v>
      </c>
      <c r="AY567" t="s">
        <v>74</v>
      </c>
      <c r="AZ567" t="s">
        <v>74</v>
      </c>
      <c r="BA567" t="s">
        <v>74</v>
      </c>
      <c r="BB567">
        <v>314</v>
      </c>
      <c r="BC567">
        <v>323</v>
      </c>
      <c r="BD567" t="s">
        <v>74</v>
      </c>
      <c r="BE567" t="s">
        <v>10758</v>
      </c>
      <c r="BF567" t="str">
        <f>HYPERLINK("http://dx.doi.org/10.1890/11-0996.1","http://dx.doi.org/10.1890/11-0996.1")</f>
        <v>http://dx.doi.org/10.1890/11-0996.1</v>
      </c>
      <c r="BG567" t="s">
        <v>74</v>
      </c>
      <c r="BH567" t="s">
        <v>74</v>
      </c>
      <c r="BI567">
        <v>10</v>
      </c>
      <c r="BJ567" t="s">
        <v>2422</v>
      </c>
      <c r="BK567" t="s">
        <v>99</v>
      </c>
      <c r="BL567" t="s">
        <v>1259</v>
      </c>
      <c r="BM567" t="s">
        <v>10759</v>
      </c>
      <c r="BN567">
        <v>22624313</v>
      </c>
      <c r="BO567" t="s">
        <v>74</v>
      </c>
      <c r="BP567" t="s">
        <v>74</v>
      </c>
      <c r="BQ567" t="s">
        <v>74</v>
      </c>
      <c r="BR567" t="s">
        <v>101</v>
      </c>
      <c r="BS567" t="s">
        <v>10760</v>
      </c>
      <c r="BT567" t="str">
        <f>HYPERLINK("https%3A%2F%2Fwww.webofscience.com%2Fwos%2Fwoscc%2Ffull-record%2FWOS:000302794100012","View Full Record in Web of Science")</f>
        <v>View Full Record in Web of Science</v>
      </c>
    </row>
    <row r="568" spans="1:72" x14ac:dyDescent="0.15">
      <c r="A568" t="s">
        <v>72</v>
      </c>
      <c r="B568" t="s">
        <v>10761</v>
      </c>
      <c r="C568" t="s">
        <v>74</v>
      </c>
      <c r="D568" t="s">
        <v>74</v>
      </c>
      <c r="E568" t="s">
        <v>74</v>
      </c>
      <c r="F568" t="s">
        <v>10762</v>
      </c>
      <c r="G568" t="s">
        <v>74</v>
      </c>
      <c r="H568" t="s">
        <v>74</v>
      </c>
      <c r="I568" t="s">
        <v>10763</v>
      </c>
      <c r="J568" t="s">
        <v>10764</v>
      </c>
      <c r="K568" t="s">
        <v>74</v>
      </c>
      <c r="L568" t="s">
        <v>74</v>
      </c>
      <c r="M568" t="s">
        <v>78</v>
      </c>
      <c r="N568" t="s">
        <v>1073</v>
      </c>
      <c r="O568" t="s">
        <v>74</v>
      </c>
      <c r="P568" t="s">
        <v>74</v>
      </c>
      <c r="Q568" t="s">
        <v>74</v>
      </c>
      <c r="R568" t="s">
        <v>74</v>
      </c>
      <c r="S568" t="s">
        <v>74</v>
      </c>
      <c r="T568" t="s">
        <v>10765</v>
      </c>
      <c r="U568" t="s">
        <v>10766</v>
      </c>
      <c r="V568" t="s">
        <v>10767</v>
      </c>
      <c r="W568" t="s">
        <v>10768</v>
      </c>
      <c r="X568" t="s">
        <v>10769</v>
      </c>
      <c r="Y568" t="s">
        <v>10770</v>
      </c>
      <c r="Z568" t="s">
        <v>10771</v>
      </c>
      <c r="AA568" t="s">
        <v>10772</v>
      </c>
      <c r="AB568" t="s">
        <v>10773</v>
      </c>
      <c r="AC568" t="s">
        <v>10774</v>
      </c>
      <c r="AD568" t="s">
        <v>10775</v>
      </c>
      <c r="AE568" t="s">
        <v>10776</v>
      </c>
      <c r="AF568" t="s">
        <v>74</v>
      </c>
      <c r="AG568">
        <v>389</v>
      </c>
      <c r="AH568">
        <v>74</v>
      </c>
      <c r="AI568">
        <v>78</v>
      </c>
      <c r="AJ568">
        <v>4</v>
      </c>
      <c r="AK568">
        <v>100</v>
      </c>
      <c r="AL568" t="s">
        <v>627</v>
      </c>
      <c r="AM568" t="s">
        <v>628</v>
      </c>
      <c r="AN568" t="s">
        <v>629</v>
      </c>
      <c r="AO568" t="s">
        <v>10777</v>
      </c>
      <c r="AP568" t="s">
        <v>74</v>
      </c>
      <c r="AQ568" t="s">
        <v>74</v>
      </c>
      <c r="AR568" t="s">
        <v>10778</v>
      </c>
      <c r="AS568" t="s">
        <v>10779</v>
      </c>
      <c r="AT568" t="s">
        <v>9372</v>
      </c>
      <c r="AU568">
        <v>2012</v>
      </c>
      <c r="AV568">
        <v>2</v>
      </c>
      <c r="AW568">
        <v>2</v>
      </c>
      <c r="AX568" t="s">
        <v>74</v>
      </c>
      <c r="AY568" t="s">
        <v>74</v>
      </c>
      <c r="AZ568" t="s">
        <v>74</v>
      </c>
      <c r="BA568" t="s">
        <v>74</v>
      </c>
      <c r="BB568">
        <v>453</v>
      </c>
      <c r="BC568">
        <v>485</v>
      </c>
      <c r="BD568" t="s">
        <v>74</v>
      </c>
      <c r="BE568" t="s">
        <v>10780</v>
      </c>
      <c r="BF568" t="str">
        <f>HYPERLINK("http://dx.doi.org/10.1002/ece3.96","http://dx.doi.org/10.1002/ece3.96")</f>
        <v>http://dx.doi.org/10.1002/ece3.96</v>
      </c>
      <c r="BG568" t="s">
        <v>74</v>
      </c>
      <c r="BH568" t="s">
        <v>74</v>
      </c>
      <c r="BI568">
        <v>33</v>
      </c>
      <c r="BJ568" t="s">
        <v>10781</v>
      </c>
      <c r="BK568" t="s">
        <v>99</v>
      </c>
      <c r="BL568" t="s">
        <v>10782</v>
      </c>
      <c r="BM568" t="s">
        <v>10783</v>
      </c>
      <c r="BN568">
        <v>22423336</v>
      </c>
      <c r="BO568" t="s">
        <v>328</v>
      </c>
      <c r="BP568" t="s">
        <v>74</v>
      </c>
      <c r="BQ568" t="s">
        <v>74</v>
      </c>
      <c r="BR568" t="s">
        <v>101</v>
      </c>
      <c r="BS568" t="s">
        <v>10784</v>
      </c>
      <c r="BT568" t="str">
        <f>HYPERLINK("https%3A%2F%2Fwww.webofscience.com%2Fwos%2Fwoscc%2Ffull-record%2FWOS:000312442500014","View Full Record in Web of Science")</f>
        <v>View Full Record in Web of Science</v>
      </c>
    </row>
    <row r="569" spans="1:72" x14ac:dyDescent="0.15">
      <c r="A569" t="s">
        <v>72</v>
      </c>
      <c r="B569" t="s">
        <v>10785</v>
      </c>
      <c r="C569" t="s">
        <v>74</v>
      </c>
      <c r="D569" t="s">
        <v>74</v>
      </c>
      <c r="E569" t="s">
        <v>74</v>
      </c>
      <c r="F569" t="s">
        <v>10786</v>
      </c>
      <c r="G569" t="s">
        <v>74</v>
      </c>
      <c r="H569" t="s">
        <v>74</v>
      </c>
      <c r="I569" t="s">
        <v>10787</v>
      </c>
      <c r="J569" t="s">
        <v>10788</v>
      </c>
      <c r="K569" t="s">
        <v>74</v>
      </c>
      <c r="L569" t="s">
        <v>74</v>
      </c>
      <c r="M569" t="s">
        <v>78</v>
      </c>
      <c r="N569" t="s">
        <v>79</v>
      </c>
      <c r="O569" t="s">
        <v>74</v>
      </c>
      <c r="P569" t="s">
        <v>74</v>
      </c>
      <c r="Q569" t="s">
        <v>74</v>
      </c>
      <c r="R569" t="s">
        <v>74</v>
      </c>
      <c r="S569" t="s">
        <v>74</v>
      </c>
      <c r="T569" t="s">
        <v>10789</v>
      </c>
      <c r="U569" t="s">
        <v>10790</v>
      </c>
      <c r="V569" t="s">
        <v>10791</v>
      </c>
      <c r="W569" t="s">
        <v>10792</v>
      </c>
      <c r="X569" t="s">
        <v>10793</v>
      </c>
      <c r="Y569" t="s">
        <v>10794</v>
      </c>
      <c r="Z569" t="s">
        <v>10795</v>
      </c>
      <c r="AA569" t="s">
        <v>10796</v>
      </c>
      <c r="AB569" t="s">
        <v>10797</v>
      </c>
      <c r="AC569" t="s">
        <v>10798</v>
      </c>
      <c r="AD569" t="s">
        <v>9592</v>
      </c>
      <c r="AE569" t="s">
        <v>10799</v>
      </c>
      <c r="AF569" t="s">
        <v>74</v>
      </c>
      <c r="AG569">
        <v>61</v>
      </c>
      <c r="AH569">
        <v>47</v>
      </c>
      <c r="AI569">
        <v>59</v>
      </c>
      <c r="AJ569">
        <v>7</v>
      </c>
      <c r="AK569">
        <v>86</v>
      </c>
      <c r="AL569" t="s">
        <v>627</v>
      </c>
      <c r="AM569" t="s">
        <v>628</v>
      </c>
      <c r="AN569" t="s">
        <v>629</v>
      </c>
      <c r="AO569" t="s">
        <v>10800</v>
      </c>
      <c r="AP569" t="s">
        <v>74</v>
      </c>
      <c r="AQ569" t="s">
        <v>74</v>
      </c>
      <c r="AR569" t="s">
        <v>10788</v>
      </c>
      <c r="AS569" t="s">
        <v>10801</v>
      </c>
      <c r="AT569" t="s">
        <v>9372</v>
      </c>
      <c r="AU569">
        <v>2012</v>
      </c>
      <c r="AV569">
        <v>3</v>
      </c>
      <c r="AW569">
        <v>2</v>
      </c>
      <c r="AX569" t="s">
        <v>74</v>
      </c>
      <c r="AY569" t="s">
        <v>74</v>
      </c>
      <c r="AZ569" t="s">
        <v>74</v>
      </c>
      <c r="BA569" t="s">
        <v>74</v>
      </c>
      <c r="BB569" t="s">
        <v>74</v>
      </c>
      <c r="BC569" t="s">
        <v>74</v>
      </c>
      <c r="BD569">
        <v>17</v>
      </c>
      <c r="BE569" t="s">
        <v>10802</v>
      </c>
      <c r="BF569" t="str">
        <f>HYPERLINK("http://dx.doi.org/10.1890/ES11-00325.1","http://dx.doi.org/10.1890/ES11-00325.1")</f>
        <v>http://dx.doi.org/10.1890/ES11-00325.1</v>
      </c>
      <c r="BG569" t="s">
        <v>74</v>
      </c>
      <c r="BH569" t="s">
        <v>74</v>
      </c>
      <c r="BI569">
        <v>15</v>
      </c>
      <c r="BJ569" t="s">
        <v>2422</v>
      </c>
      <c r="BK569" t="s">
        <v>99</v>
      </c>
      <c r="BL569" t="s">
        <v>1259</v>
      </c>
      <c r="BM569" t="s">
        <v>10803</v>
      </c>
      <c r="BN569" t="s">
        <v>74</v>
      </c>
      <c r="BO569" t="s">
        <v>3496</v>
      </c>
      <c r="BP569" t="s">
        <v>74</v>
      </c>
      <c r="BQ569" t="s">
        <v>74</v>
      </c>
      <c r="BR569" t="s">
        <v>101</v>
      </c>
      <c r="BS569" t="s">
        <v>10804</v>
      </c>
      <c r="BT569" t="str">
        <f>HYPERLINK("https%3A%2F%2Fwww.webofscience.com%2Fwos%2Fwoscc%2Ffull-record%2FWOS:000327299100005","View Full Record in Web of Science")</f>
        <v>View Full Record in Web of Science</v>
      </c>
    </row>
    <row r="570" spans="1:72" x14ac:dyDescent="0.15">
      <c r="A570" t="s">
        <v>72</v>
      </c>
      <c r="B570" t="s">
        <v>10805</v>
      </c>
      <c r="C570" t="s">
        <v>74</v>
      </c>
      <c r="D570" t="s">
        <v>74</v>
      </c>
      <c r="E570" t="s">
        <v>74</v>
      </c>
      <c r="F570" t="s">
        <v>10806</v>
      </c>
      <c r="G570" t="s">
        <v>74</v>
      </c>
      <c r="H570" t="s">
        <v>74</v>
      </c>
      <c r="I570" t="s">
        <v>10807</v>
      </c>
      <c r="J570" t="s">
        <v>9808</v>
      </c>
      <c r="K570" t="s">
        <v>74</v>
      </c>
      <c r="L570" t="s">
        <v>74</v>
      </c>
      <c r="M570" t="s">
        <v>78</v>
      </c>
      <c r="N570" t="s">
        <v>79</v>
      </c>
      <c r="O570" t="s">
        <v>74</v>
      </c>
      <c r="P570" t="s">
        <v>74</v>
      </c>
      <c r="Q570" t="s">
        <v>74</v>
      </c>
      <c r="R570" t="s">
        <v>74</v>
      </c>
      <c r="S570" t="s">
        <v>74</v>
      </c>
      <c r="T570" t="s">
        <v>10808</v>
      </c>
      <c r="U570" t="s">
        <v>10809</v>
      </c>
      <c r="V570" t="s">
        <v>10810</v>
      </c>
      <c r="W570" t="s">
        <v>10811</v>
      </c>
      <c r="X570" t="s">
        <v>10812</v>
      </c>
      <c r="Y570" t="s">
        <v>10813</v>
      </c>
      <c r="Z570" t="s">
        <v>1797</v>
      </c>
      <c r="AA570" t="s">
        <v>10814</v>
      </c>
      <c r="AB570" t="s">
        <v>10815</v>
      </c>
      <c r="AC570" t="s">
        <v>10816</v>
      </c>
      <c r="AD570" t="s">
        <v>10817</v>
      </c>
      <c r="AE570" t="s">
        <v>10818</v>
      </c>
      <c r="AF570" t="s">
        <v>74</v>
      </c>
      <c r="AG570">
        <v>73</v>
      </c>
      <c r="AH570">
        <v>77</v>
      </c>
      <c r="AI570">
        <v>95</v>
      </c>
      <c r="AJ570">
        <v>10</v>
      </c>
      <c r="AK570">
        <v>242</v>
      </c>
      <c r="AL570" t="s">
        <v>1595</v>
      </c>
      <c r="AM570" t="s">
        <v>278</v>
      </c>
      <c r="AN570" t="s">
        <v>1596</v>
      </c>
      <c r="AO570" t="s">
        <v>9821</v>
      </c>
      <c r="AP570" t="s">
        <v>10819</v>
      </c>
      <c r="AQ570" t="s">
        <v>74</v>
      </c>
      <c r="AR570" t="s">
        <v>9822</v>
      </c>
      <c r="AS570" t="s">
        <v>9823</v>
      </c>
      <c r="AT570" t="s">
        <v>9372</v>
      </c>
      <c r="AU570">
        <v>2012</v>
      </c>
      <c r="AV570">
        <v>161</v>
      </c>
      <c r="AW570" t="s">
        <v>74</v>
      </c>
      <c r="AX570" t="s">
        <v>74</v>
      </c>
      <c r="AY570" t="s">
        <v>74</v>
      </c>
      <c r="AZ570" t="s">
        <v>74</v>
      </c>
      <c r="BA570" t="s">
        <v>74</v>
      </c>
      <c r="BB570">
        <v>162</v>
      </c>
      <c r="BC570">
        <v>169</v>
      </c>
      <c r="BD570" t="s">
        <v>74</v>
      </c>
      <c r="BE570" t="s">
        <v>10820</v>
      </c>
      <c r="BF570" t="str">
        <f>HYPERLINK("http://dx.doi.org/10.1016/j.envpol.2011.09.045","http://dx.doi.org/10.1016/j.envpol.2011.09.045")</f>
        <v>http://dx.doi.org/10.1016/j.envpol.2011.09.045</v>
      </c>
      <c r="BG570" t="s">
        <v>74</v>
      </c>
      <c r="BH570" t="s">
        <v>74</v>
      </c>
      <c r="BI570">
        <v>8</v>
      </c>
      <c r="BJ570" t="s">
        <v>1258</v>
      </c>
      <c r="BK570" t="s">
        <v>99</v>
      </c>
      <c r="BL570" t="s">
        <v>1259</v>
      </c>
      <c r="BM570" t="s">
        <v>9825</v>
      </c>
      <c r="BN570">
        <v>22230081</v>
      </c>
      <c r="BO570" t="s">
        <v>74</v>
      </c>
      <c r="BP570" t="s">
        <v>74</v>
      </c>
      <c r="BQ570" t="s">
        <v>74</v>
      </c>
      <c r="BR570" t="s">
        <v>101</v>
      </c>
      <c r="BS570" t="s">
        <v>10821</v>
      </c>
      <c r="BT570" t="str">
        <f>HYPERLINK("https%3A%2F%2Fwww.webofscience.com%2Fwos%2Fwoscc%2Ffull-record%2FWOS:000300539300022","View Full Record in Web of Science")</f>
        <v>View Full Record in Web of Science</v>
      </c>
    </row>
    <row r="571" spans="1:72" x14ac:dyDescent="0.15">
      <c r="A571" t="s">
        <v>72</v>
      </c>
      <c r="B571" t="s">
        <v>10822</v>
      </c>
      <c r="C571" t="s">
        <v>74</v>
      </c>
      <c r="D571" t="s">
        <v>74</v>
      </c>
      <c r="E571" t="s">
        <v>74</v>
      </c>
      <c r="F571" t="s">
        <v>10823</v>
      </c>
      <c r="G571" t="s">
        <v>74</v>
      </c>
      <c r="H571" t="s">
        <v>74</v>
      </c>
      <c r="I571" t="s">
        <v>10824</v>
      </c>
      <c r="J571" t="s">
        <v>1408</v>
      </c>
      <c r="K571" t="s">
        <v>74</v>
      </c>
      <c r="L571" t="s">
        <v>74</v>
      </c>
      <c r="M571" t="s">
        <v>78</v>
      </c>
      <c r="N571" t="s">
        <v>79</v>
      </c>
      <c r="O571" t="s">
        <v>74</v>
      </c>
      <c r="P571" t="s">
        <v>74</v>
      </c>
      <c r="Q571" t="s">
        <v>74</v>
      </c>
      <c r="R571" t="s">
        <v>74</v>
      </c>
      <c r="S571" t="s">
        <v>74</v>
      </c>
      <c r="T571" t="s">
        <v>74</v>
      </c>
      <c r="U571" t="s">
        <v>10825</v>
      </c>
      <c r="V571" t="s">
        <v>10826</v>
      </c>
      <c r="W571" t="s">
        <v>10827</v>
      </c>
      <c r="X571" t="s">
        <v>10828</v>
      </c>
      <c r="Y571" t="s">
        <v>6362</v>
      </c>
      <c r="Z571" t="s">
        <v>74</v>
      </c>
      <c r="AA571" t="s">
        <v>10829</v>
      </c>
      <c r="AB571" t="s">
        <v>10830</v>
      </c>
      <c r="AC571" t="s">
        <v>10831</v>
      </c>
      <c r="AD571" t="s">
        <v>10832</v>
      </c>
      <c r="AE571" t="s">
        <v>10833</v>
      </c>
      <c r="AF571" t="s">
        <v>74</v>
      </c>
      <c r="AG571">
        <v>32</v>
      </c>
      <c r="AH571">
        <v>29</v>
      </c>
      <c r="AI571">
        <v>32</v>
      </c>
      <c r="AJ571">
        <v>2</v>
      </c>
      <c r="AK571">
        <v>40</v>
      </c>
      <c r="AL571" t="s">
        <v>1419</v>
      </c>
      <c r="AM571" t="s">
        <v>737</v>
      </c>
      <c r="AN571" t="s">
        <v>1420</v>
      </c>
      <c r="AO571" t="s">
        <v>1421</v>
      </c>
      <c r="AP571" t="s">
        <v>1422</v>
      </c>
      <c r="AQ571" t="s">
        <v>74</v>
      </c>
      <c r="AR571" t="s">
        <v>1408</v>
      </c>
      <c r="AS571" t="s">
        <v>195</v>
      </c>
      <c r="AT571" t="s">
        <v>9372</v>
      </c>
      <c r="AU571">
        <v>2012</v>
      </c>
      <c r="AV571">
        <v>40</v>
      </c>
      <c r="AW571">
        <v>2</v>
      </c>
      <c r="AX571" t="s">
        <v>74</v>
      </c>
      <c r="AY571" t="s">
        <v>74</v>
      </c>
      <c r="AZ571" t="s">
        <v>74</v>
      </c>
      <c r="BA571" t="s">
        <v>74</v>
      </c>
      <c r="BB571">
        <v>123</v>
      </c>
      <c r="BC571">
        <v>126</v>
      </c>
      <c r="BD571" t="s">
        <v>74</v>
      </c>
      <c r="BE571" t="s">
        <v>10834</v>
      </c>
      <c r="BF571" t="str">
        <f>HYPERLINK("http://dx.doi.org/10.1130/G32779.1","http://dx.doi.org/10.1130/G32779.1")</f>
        <v>http://dx.doi.org/10.1130/G32779.1</v>
      </c>
      <c r="BG571" t="s">
        <v>74</v>
      </c>
      <c r="BH571" t="s">
        <v>74</v>
      </c>
      <c r="BI571">
        <v>4</v>
      </c>
      <c r="BJ571" t="s">
        <v>195</v>
      </c>
      <c r="BK571" t="s">
        <v>99</v>
      </c>
      <c r="BL571" t="s">
        <v>195</v>
      </c>
      <c r="BM571" t="s">
        <v>10835</v>
      </c>
      <c r="BN571" t="s">
        <v>74</v>
      </c>
      <c r="BO571" t="s">
        <v>74</v>
      </c>
      <c r="BP571" t="s">
        <v>74</v>
      </c>
      <c r="BQ571" t="s">
        <v>74</v>
      </c>
      <c r="BR571" t="s">
        <v>101</v>
      </c>
      <c r="BS571" t="s">
        <v>10836</v>
      </c>
      <c r="BT571" t="str">
        <f>HYPERLINK("https%3A%2F%2Fwww.webofscience.com%2Fwos%2Fwoscc%2Ffull-record%2FWOS:000299668100007","View Full Record in Web of Science")</f>
        <v>View Full Record in Web of Science</v>
      </c>
    </row>
    <row r="572" spans="1:72" x14ac:dyDescent="0.15">
      <c r="A572" t="s">
        <v>72</v>
      </c>
      <c r="B572" t="s">
        <v>10837</v>
      </c>
      <c r="C572" t="s">
        <v>74</v>
      </c>
      <c r="D572" t="s">
        <v>74</v>
      </c>
      <c r="E572" t="s">
        <v>74</v>
      </c>
      <c r="F572" t="s">
        <v>10838</v>
      </c>
      <c r="G572" t="s">
        <v>74</v>
      </c>
      <c r="H572" t="s">
        <v>74</v>
      </c>
      <c r="I572" t="s">
        <v>10839</v>
      </c>
      <c r="J572" t="s">
        <v>1408</v>
      </c>
      <c r="K572" t="s">
        <v>74</v>
      </c>
      <c r="L572" t="s">
        <v>74</v>
      </c>
      <c r="M572" t="s">
        <v>78</v>
      </c>
      <c r="N572" t="s">
        <v>79</v>
      </c>
      <c r="O572" t="s">
        <v>74</v>
      </c>
      <c r="P572" t="s">
        <v>74</v>
      </c>
      <c r="Q572" t="s">
        <v>74</v>
      </c>
      <c r="R572" t="s">
        <v>74</v>
      </c>
      <c r="S572" t="s">
        <v>74</v>
      </c>
      <c r="T572" t="s">
        <v>74</v>
      </c>
      <c r="U572" t="s">
        <v>10840</v>
      </c>
      <c r="V572" t="s">
        <v>10841</v>
      </c>
      <c r="W572" t="s">
        <v>10842</v>
      </c>
      <c r="X572" t="s">
        <v>10843</v>
      </c>
      <c r="Y572" t="s">
        <v>10844</v>
      </c>
      <c r="Z572" t="s">
        <v>10845</v>
      </c>
      <c r="AA572" t="s">
        <v>10846</v>
      </c>
      <c r="AB572" t="s">
        <v>10847</v>
      </c>
      <c r="AC572" t="s">
        <v>10848</v>
      </c>
      <c r="AD572" t="s">
        <v>10849</v>
      </c>
      <c r="AE572" t="s">
        <v>10850</v>
      </c>
      <c r="AF572" t="s">
        <v>74</v>
      </c>
      <c r="AG572">
        <v>37</v>
      </c>
      <c r="AH572">
        <v>73</v>
      </c>
      <c r="AI572">
        <v>88</v>
      </c>
      <c r="AJ572">
        <v>1</v>
      </c>
      <c r="AK572">
        <v>51</v>
      </c>
      <c r="AL572" t="s">
        <v>1419</v>
      </c>
      <c r="AM572" t="s">
        <v>737</v>
      </c>
      <c r="AN572" t="s">
        <v>1420</v>
      </c>
      <c r="AO572" t="s">
        <v>1421</v>
      </c>
      <c r="AP572" t="s">
        <v>1422</v>
      </c>
      <c r="AQ572" t="s">
        <v>74</v>
      </c>
      <c r="AR572" t="s">
        <v>1408</v>
      </c>
      <c r="AS572" t="s">
        <v>195</v>
      </c>
      <c r="AT572" t="s">
        <v>9372</v>
      </c>
      <c r="AU572">
        <v>2012</v>
      </c>
      <c r="AV572">
        <v>40</v>
      </c>
      <c r="AW572">
        <v>2</v>
      </c>
      <c r="AX572" t="s">
        <v>74</v>
      </c>
      <c r="AY572" t="s">
        <v>74</v>
      </c>
      <c r="AZ572" t="s">
        <v>74</v>
      </c>
      <c r="BA572" t="s">
        <v>74</v>
      </c>
      <c r="BB572">
        <v>159</v>
      </c>
      <c r="BC572">
        <v>162</v>
      </c>
      <c r="BD572" t="s">
        <v>74</v>
      </c>
      <c r="BE572" t="s">
        <v>10851</v>
      </c>
      <c r="BF572" t="str">
        <f>HYPERLINK("http://dx.doi.org/10.1130/G32577.1","http://dx.doi.org/10.1130/G32577.1")</f>
        <v>http://dx.doi.org/10.1130/G32577.1</v>
      </c>
      <c r="BG572" t="s">
        <v>74</v>
      </c>
      <c r="BH572" t="s">
        <v>74</v>
      </c>
      <c r="BI572">
        <v>4</v>
      </c>
      <c r="BJ572" t="s">
        <v>195</v>
      </c>
      <c r="BK572" t="s">
        <v>99</v>
      </c>
      <c r="BL572" t="s">
        <v>195</v>
      </c>
      <c r="BM572" t="s">
        <v>10835</v>
      </c>
      <c r="BN572" t="s">
        <v>74</v>
      </c>
      <c r="BO572" t="s">
        <v>328</v>
      </c>
      <c r="BP572" t="s">
        <v>74</v>
      </c>
      <c r="BQ572" t="s">
        <v>74</v>
      </c>
      <c r="BR572" t="s">
        <v>101</v>
      </c>
      <c r="BS572" t="s">
        <v>10852</v>
      </c>
      <c r="BT572" t="str">
        <f>HYPERLINK("https%3A%2F%2Fwww.webofscience.com%2Fwos%2Fwoscc%2Ffull-record%2FWOS:000299668100016","View Full Record in Web of Science")</f>
        <v>View Full Record in Web of Science</v>
      </c>
    </row>
    <row r="573" spans="1:72" x14ac:dyDescent="0.15">
      <c r="A573" t="s">
        <v>72</v>
      </c>
      <c r="B573" t="s">
        <v>10853</v>
      </c>
      <c r="C573" t="s">
        <v>74</v>
      </c>
      <c r="D573" t="s">
        <v>74</v>
      </c>
      <c r="E573" t="s">
        <v>74</v>
      </c>
      <c r="F573" t="s">
        <v>10854</v>
      </c>
      <c r="G573" t="s">
        <v>74</v>
      </c>
      <c r="H573" t="s">
        <v>74</v>
      </c>
      <c r="I573" t="s">
        <v>10855</v>
      </c>
      <c r="J573" t="s">
        <v>10856</v>
      </c>
      <c r="K573" t="s">
        <v>74</v>
      </c>
      <c r="L573" t="s">
        <v>74</v>
      </c>
      <c r="M573" t="s">
        <v>78</v>
      </c>
      <c r="N573" t="s">
        <v>79</v>
      </c>
      <c r="O573" t="s">
        <v>74</v>
      </c>
      <c r="P573" t="s">
        <v>74</v>
      </c>
      <c r="Q573" t="s">
        <v>74</v>
      </c>
      <c r="R573" t="s">
        <v>74</v>
      </c>
      <c r="S573" t="s">
        <v>74</v>
      </c>
      <c r="T573" t="s">
        <v>10857</v>
      </c>
      <c r="U573" t="s">
        <v>10858</v>
      </c>
      <c r="V573" t="s">
        <v>10859</v>
      </c>
      <c r="W573" t="s">
        <v>10860</v>
      </c>
      <c r="X573" t="s">
        <v>10861</v>
      </c>
      <c r="Y573" t="s">
        <v>10862</v>
      </c>
      <c r="Z573" t="s">
        <v>10863</v>
      </c>
      <c r="AA573" t="s">
        <v>10864</v>
      </c>
      <c r="AB573" t="s">
        <v>10865</v>
      </c>
      <c r="AC573" t="s">
        <v>10866</v>
      </c>
      <c r="AD573" t="s">
        <v>10867</v>
      </c>
      <c r="AE573" t="s">
        <v>10868</v>
      </c>
      <c r="AF573" t="s">
        <v>74</v>
      </c>
      <c r="AG573">
        <v>51</v>
      </c>
      <c r="AH573">
        <v>81</v>
      </c>
      <c r="AI573">
        <v>87</v>
      </c>
      <c r="AJ573">
        <v>1</v>
      </c>
      <c r="AK573">
        <v>85</v>
      </c>
      <c r="AL573" t="s">
        <v>1595</v>
      </c>
      <c r="AM573" t="s">
        <v>278</v>
      </c>
      <c r="AN573" t="s">
        <v>1596</v>
      </c>
      <c r="AO573" t="s">
        <v>10869</v>
      </c>
      <c r="AP573" t="s">
        <v>74</v>
      </c>
      <c r="AQ573" t="s">
        <v>74</v>
      </c>
      <c r="AR573" t="s">
        <v>10870</v>
      </c>
      <c r="AS573" t="s">
        <v>10871</v>
      </c>
      <c r="AT573" t="s">
        <v>9372</v>
      </c>
      <c r="AU573">
        <v>2012</v>
      </c>
      <c r="AV573">
        <v>22</v>
      </c>
      <c r="AW573">
        <v>1</v>
      </c>
      <c r="AX573" t="s">
        <v>74</v>
      </c>
      <c r="AY573" t="s">
        <v>74</v>
      </c>
      <c r="AZ573" t="s">
        <v>74</v>
      </c>
      <c r="BA573" t="s">
        <v>74</v>
      </c>
      <c r="BB573">
        <v>137</v>
      </c>
      <c r="BC573">
        <v>146</v>
      </c>
      <c r="BD573" t="s">
        <v>74</v>
      </c>
      <c r="BE573" t="s">
        <v>10872</v>
      </c>
      <c r="BF573" t="str">
        <f>HYPERLINK("http://dx.doi.org/10.1016/j.gloenvcha.2011.10.008","http://dx.doi.org/10.1016/j.gloenvcha.2011.10.008")</f>
        <v>http://dx.doi.org/10.1016/j.gloenvcha.2011.10.008</v>
      </c>
      <c r="BG573" t="s">
        <v>74</v>
      </c>
      <c r="BH573" t="s">
        <v>74</v>
      </c>
      <c r="BI573">
        <v>10</v>
      </c>
      <c r="BJ573" t="s">
        <v>10873</v>
      </c>
      <c r="BK573" t="s">
        <v>2236</v>
      </c>
      <c r="BL573" t="s">
        <v>10874</v>
      </c>
      <c r="BM573" t="s">
        <v>10875</v>
      </c>
      <c r="BN573" t="s">
        <v>74</v>
      </c>
      <c r="BO573" t="s">
        <v>74</v>
      </c>
      <c r="BP573" t="s">
        <v>74</v>
      </c>
      <c r="BQ573" t="s">
        <v>74</v>
      </c>
      <c r="BR573" t="s">
        <v>101</v>
      </c>
      <c r="BS573" t="s">
        <v>10876</v>
      </c>
      <c r="BT573" t="str">
        <f>HYPERLINK("https%3A%2F%2Fwww.webofscience.com%2Fwos%2Fwoscc%2Ffull-record%2FWOS:000300817500014","View Full Record in Web of Science")</f>
        <v>View Full Record in Web of Science</v>
      </c>
    </row>
    <row r="574" spans="1:72" x14ac:dyDescent="0.15">
      <c r="A574" t="s">
        <v>72</v>
      </c>
      <c r="B574" t="s">
        <v>10877</v>
      </c>
      <c r="C574" t="s">
        <v>74</v>
      </c>
      <c r="D574" t="s">
        <v>74</v>
      </c>
      <c r="E574" t="s">
        <v>74</v>
      </c>
      <c r="F574" t="s">
        <v>10878</v>
      </c>
      <c r="G574" t="s">
        <v>74</v>
      </c>
      <c r="H574" t="s">
        <v>74</v>
      </c>
      <c r="I574" t="s">
        <v>10879</v>
      </c>
      <c r="J574" t="s">
        <v>10880</v>
      </c>
      <c r="K574" t="s">
        <v>74</v>
      </c>
      <c r="L574" t="s">
        <v>74</v>
      </c>
      <c r="M574" t="s">
        <v>78</v>
      </c>
      <c r="N574" t="s">
        <v>79</v>
      </c>
      <c r="O574" t="s">
        <v>74</v>
      </c>
      <c r="P574" t="s">
        <v>74</v>
      </c>
      <c r="Q574" t="s">
        <v>74</v>
      </c>
      <c r="R574" t="s">
        <v>74</v>
      </c>
      <c r="S574" t="s">
        <v>74</v>
      </c>
      <c r="T574" t="s">
        <v>74</v>
      </c>
      <c r="U574" t="s">
        <v>74</v>
      </c>
      <c r="V574" t="s">
        <v>10881</v>
      </c>
      <c r="W574" t="s">
        <v>10882</v>
      </c>
      <c r="X574" t="s">
        <v>10883</v>
      </c>
      <c r="Y574" t="s">
        <v>10884</v>
      </c>
      <c r="Z574" t="s">
        <v>74</v>
      </c>
      <c r="AA574" t="s">
        <v>74</v>
      </c>
      <c r="AB574" t="s">
        <v>74</v>
      </c>
      <c r="AC574" t="s">
        <v>74</v>
      </c>
      <c r="AD574" t="s">
        <v>74</v>
      </c>
      <c r="AE574" t="s">
        <v>74</v>
      </c>
      <c r="AF574" t="s">
        <v>74</v>
      </c>
      <c r="AG574">
        <v>40</v>
      </c>
      <c r="AH574">
        <v>42</v>
      </c>
      <c r="AI574">
        <v>49</v>
      </c>
      <c r="AJ574">
        <v>1</v>
      </c>
      <c r="AK574">
        <v>40</v>
      </c>
      <c r="AL574" t="s">
        <v>627</v>
      </c>
      <c r="AM574" t="s">
        <v>628</v>
      </c>
      <c r="AN574" t="s">
        <v>629</v>
      </c>
      <c r="AO574" t="s">
        <v>10885</v>
      </c>
      <c r="AP574" t="s">
        <v>10886</v>
      </c>
      <c r="AQ574" t="s">
        <v>74</v>
      </c>
      <c r="AR574" t="s">
        <v>10887</v>
      </c>
      <c r="AS574" t="s">
        <v>10888</v>
      </c>
      <c r="AT574" t="s">
        <v>9372</v>
      </c>
      <c r="AU574">
        <v>2012</v>
      </c>
      <c r="AV574">
        <v>3</v>
      </c>
      <c r="AW574">
        <v>1</v>
      </c>
      <c r="AX574" t="s">
        <v>74</v>
      </c>
      <c r="AY574" t="s">
        <v>74</v>
      </c>
      <c r="AZ574" t="s">
        <v>74</v>
      </c>
      <c r="BA574" t="s">
        <v>74</v>
      </c>
      <c r="BB574">
        <v>61</v>
      </c>
      <c r="BC574">
        <v>71</v>
      </c>
      <c r="BD574" t="s">
        <v>74</v>
      </c>
      <c r="BE574" t="s">
        <v>10889</v>
      </c>
      <c r="BF574" t="str">
        <f>HYPERLINK("http://dx.doi.org/10.1111/j.1758-5899.2011.00156.x","http://dx.doi.org/10.1111/j.1758-5899.2011.00156.x")</f>
        <v>http://dx.doi.org/10.1111/j.1758-5899.2011.00156.x</v>
      </c>
      <c r="BG574" t="s">
        <v>74</v>
      </c>
      <c r="BH574" t="s">
        <v>74</v>
      </c>
      <c r="BI574">
        <v>11</v>
      </c>
      <c r="BJ574" t="s">
        <v>10890</v>
      </c>
      <c r="BK574" t="s">
        <v>2192</v>
      </c>
      <c r="BL574" t="s">
        <v>10891</v>
      </c>
      <c r="BM574" t="s">
        <v>10892</v>
      </c>
      <c r="BN574" t="s">
        <v>74</v>
      </c>
      <c r="BO574" t="s">
        <v>74</v>
      </c>
      <c r="BP574" t="s">
        <v>74</v>
      </c>
      <c r="BQ574" t="s">
        <v>74</v>
      </c>
      <c r="BR574" t="s">
        <v>101</v>
      </c>
      <c r="BS574" t="s">
        <v>10893</v>
      </c>
      <c r="BT574" t="str">
        <f>HYPERLINK("https%3A%2F%2Fwww.webofscience.com%2Fwos%2Fwoscc%2Ffull-record%2FWOS:000312885700007","View Full Record in Web of Science")</f>
        <v>View Full Record in Web of Science</v>
      </c>
    </row>
    <row r="575" spans="1:72" x14ac:dyDescent="0.15">
      <c r="A575" t="s">
        <v>72</v>
      </c>
      <c r="B575" t="s">
        <v>10894</v>
      </c>
      <c r="C575" t="s">
        <v>74</v>
      </c>
      <c r="D575" t="s">
        <v>74</v>
      </c>
      <c r="E575" t="s">
        <v>74</v>
      </c>
      <c r="F575" t="s">
        <v>10895</v>
      </c>
      <c r="G575" t="s">
        <v>74</v>
      </c>
      <c r="H575" t="s">
        <v>74</v>
      </c>
      <c r="I575" t="s">
        <v>10896</v>
      </c>
      <c r="J575" t="s">
        <v>7364</v>
      </c>
      <c r="K575" t="s">
        <v>74</v>
      </c>
      <c r="L575" t="s">
        <v>74</v>
      </c>
      <c r="M575" t="s">
        <v>78</v>
      </c>
      <c r="N575" t="s">
        <v>1073</v>
      </c>
      <c r="O575" t="s">
        <v>74</v>
      </c>
      <c r="P575" t="s">
        <v>74</v>
      </c>
      <c r="Q575" t="s">
        <v>74</v>
      </c>
      <c r="R575" t="s">
        <v>74</v>
      </c>
      <c r="S575" t="s">
        <v>74</v>
      </c>
      <c r="T575" t="s">
        <v>10897</v>
      </c>
      <c r="U575" t="s">
        <v>10898</v>
      </c>
      <c r="V575" t="s">
        <v>10899</v>
      </c>
      <c r="W575" t="s">
        <v>10900</v>
      </c>
      <c r="X575" t="s">
        <v>10901</v>
      </c>
      <c r="Y575" t="s">
        <v>10902</v>
      </c>
      <c r="Z575" t="s">
        <v>10903</v>
      </c>
      <c r="AA575" t="s">
        <v>10904</v>
      </c>
      <c r="AB575" t="s">
        <v>10905</v>
      </c>
      <c r="AC575" t="s">
        <v>74</v>
      </c>
      <c r="AD575" t="s">
        <v>74</v>
      </c>
      <c r="AE575" t="s">
        <v>74</v>
      </c>
      <c r="AF575" t="s">
        <v>74</v>
      </c>
      <c r="AG575">
        <v>117</v>
      </c>
      <c r="AH575">
        <v>84</v>
      </c>
      <c r="AI575">
        <v>92</v>
      </c>
      <c r="AJ575">
        <v>5</v>
      </c>
      <c r="AK575">
        <v>89</v>
      </c>
      <c r="AL575" t="s">
        <v>935</v>
      </c>
      <c r="AM575" t="s">
        <v>369</v>
      </c>
      <c r="AN575" t="s">
        <v>936</v>
      </c>
      <c r="AO575" t="s">
        <v>7377</v>
      </c>
      <c r="AP575" t="s">
        <v>7378</v>
      </c>
      <c r="AQ575" t="s">
        <v>74</v>
      </c>
      <c r="AR575" t="s">
        <v>7364</v>
      </c>
      <c r="AS575" t="s">
        <v>7379</v>
      </c>
      <c r="AT575" t="s">
        <v>9372</v>
      </c>
      <c r="AU575">
        <v>2012</v>
      </c>
      <c r="AV575">
        <v>14</v>
      </c>
      <c r="AW575" t="s">
        <v>74</v>
      </c>
      <c r="AX575" t="s">
        <v>74</v>
      </c>
      <c r="AY575" t="s">
        <v>74</v>
      </c>
      <c r="AZ575" t="s">
        <v>1913</v>
      </c>
      <c r="BA575" t="s">
        <v>74</v>
      </c>
      <c r="BB575">
        <v>130</v>
      </c>
      <c r="BC575">
        <v>143</v>
      </c>
      <c r="BD575" t="s">
        <v>74</v>
      </c>
      <c r="BE575" t="s">
        <v>10906</v>
      </c>
      <c r="BF575" t="str">
        <f>HYPERLINK("http://dx.doi.org/10.1016/j.hal.2011.10.018","http://dx.doi.org/10.1016/j.hal.2011.10.018")</f>
        <v>http://dx.doi.org/10.1016/j.hal.2011.10.018</v>
      </c>
      <c r="BG575" t="s">
        <v>74</v>
      </c>
      <c r="BH575" t="s">
        <v>74</v>
      </c>
      <c r="BI575">
        <v>14</v>
      </c>
      <c r="BJ575" t="s">
        <v>588</v>
      </c>
      <c r="BK575" t="s">
        <v>99</v>
      </c>
      <c r="BL575" t="s">
        <v>588</v>
      </c>
      <c r="BM575" t="s">
        <v>10907</v>
      </c>
      <c r="BN575" t="s">
        <v>74</v>
      </c>
      <c r="BO575" t="s">
        <v>74</v>
      </c>
      <c r="BP575" t="s">
        <v>74</v>
      </c>
      <c r="BQ575" t="s">
        <v>74</v>
      </c>
      <c r="BR575" t="s">
        <v>101</v>
      </c>
      <c r="BS575" t="s">
        <v>10908</v>
      </c>
      <c r="BT575" t="str">
        <f>HYPERLINK("https%3A%2F%2Fwww.webofscience.com%2Fwos%2Fwoscc%2Ffull-record%2FWOS:000300818000009","View Full Record in Web of Science")</f>
        <v>View Full Record in Web of Science</v>
      </c>
    </row>
    <row r="576" spans="1:72" x14ac:dyDescent="0.15">
      <c r="A576" t="s">
        <v>72</v>
      </c>
      <c r="B576" t="s">
        <v>10909</v>
      </c>
      <c r="C576" t="s">
        <v>74</v>
      </c>
      <c r="D576" t="s">
        <v>74</v>
      </c>
      <c r="E576" t="s">
        <v>74</v>
      </c>
      <c r="F576" t="s">
        <v>10910</v>
      </c>
      <c r="G576" t="s">
        <v>74</v>
      </c>
      <c r="H576" t="s">
        <v>74</v>
      </c>
      <c r="I576" t="s">
        <v>10911</v>
      </c>
      <c r="J576" t="s">
        <v>10912</v>
      </c>
      <c r="K576" t="s">
        <v>74</v>
      </c>
      <c r="L576" t="s">
        <v>74</v>
      </c>
      <c r="M576" t="s">
        <v>78</v>
      </c>
      <c r="N576" t="s">
        <v>79</v>
      </c>
      <c r="O576" t="s">
        <v>74</v>
      </c>
      <c r="P576" t="s">
        <v>74</v>
      </c>
      <c r="Q576" t="s">
        <v>74</v>
      </c>
      <c r="R576" t="s">
        <v>74</v>
      </c>
      <c r="S576" t="s">
        <v>74</v>
      </c>
      <c r="T576" t="s">
        <v>10913</v>
      </c>
      <c r="U576" t="s">
        <v>10914</v>
      </c>
      <c r="V576" t="s">
        <v>10915</v>
      </c>
      <c r="W576" t="s">
        <v>10916</v>
      </c>
      <c r="X576" t="s">
        <v>10917</v>
      </c>
      <c r="Y576" t="s">
        <v>10918</v>
      </c>
      <c r="Z576" t="s">
        <v>10919</v>
      </c>
      <c r="AA576" t="s">
        <v>74</v>
      </c>
      <c r="AB576" t="s">
        <v>10920</v>
      </c>
      <c r="AC576" t="s">
        <v>10921</v>
      </c>
      <c r="AD576" t="s">
        <v>10922</v>
      </c>
      <c r="AE576" t="s">
        <v>10923</v>
      </c>
      <c r="AF576" t="s">
        <v>74</v>
      </c>
      <c r="AG576">
        <v>28</v>
      </c>
      <c r="AH576">
        <v>17</v>
      </c>
      <c r="AI576">
        <v>17</v>
      </c>
      <c r="AJ576">
        <v>0</v>
      </c>
      <c r="AK576">
        <v>13</v>
      </c>
      <c r="AL576" t="s">
        <v>3895</v>
      </c>
      <c r="AM576" t="s">
        <v>3896</v>
      </c>
      <c r="AN576" t="s">
        <v>3897</v>
      </c>
      <c r="AO576" t="s">
        <v>10924</v>
      </c>
      <c r="AP576" t="s">
        <v>74</v>
      </c>
      <c r="AQ576" t="s">
        <v>74</v>
      </c>
      <c r="AR576" t="s">
        <v>10925</v>
      </c>
      <c r="AS576" t="s">
        <v>10926</v>
      </c>
      <c r="AT576" t="s">
        <v>9372</v>
      </c>
      <c r="AU576">
        <v>2012</v>
      </c>
      <c r="AV576">
        <v>32</v>
      </c>
      <c r="AW576">
        <v>2</v>
      </c>
      <c r="AX576" t="s">
        <v>74</v>
      </c>
      <c r="AY576" t="s">
        <v>74</v>
      </c>
      <c r="AZ576" t="s">
        <v>74</v>
      </c>
      <c r="BA576" t="s">
        <v>74</v>
      </c>
      <c r="BB576">
        <v>240</v>
      </c>
      <c r="BC576">
        <v>246</v>
      </c>
      <c r="BD576" t="s">
        <v>74</v>
      </c>
      <c r="BE576" t="s">
        <v>10927</v>
      </c>
      <c r="BF576" t="str">
        <f>HYPERLINK("http://dx.doi.org/10.1002/joc.2264","http://dx.doi.org/10.1002/joc.2264")</f>
        <v>http://dx.doi.org/10.1002/joc.2264</v>
      </c>
      <c r="BG576" t="s">
        <v>74</v>
      </c>
      <c r="BH576" t="s">
        <v>74</v>
      </c>
      <c r="BI576">
        <v>7</v>
      </c>
      <c r="BJ576" t="s">
        <v>128</v>
      </c>
      <c r="BK576" t="s">
        <v>99</v>
      </c>
      <c r="BL576" t="s">
        <v>128</v>
      </c>
      <c r="BM576" t="s">
        <v>10928</v>
      </c>
      <c r="BN576" t="s">
        <v>74</v>
      </c>
      <c r="BO576" t="s">
        <v>74</v>
      </c>
      <c r="BP576" t="s">
        <v>74</v>
      </c>
      <c r="BQ576" t="s">
        <v>74</v>
      </c>
      <c r="BR576" t="s">
        <v>101</v>
      </c>
      <c r="BS576" t="s">
        <v>10929</v>
      </c>
      <c r="BT576" t="str">
        <f>HYPERLINK("https%3A%2F%2Fwww.webofscience.com%2Fwos%2Fwoscc%2Ffull-record%2FWOS:000299103000007","View Full Record in Web of Science")</f>
        <v>View Full Record in Web of Science</v>
      </c>
    </row>
    <row r="577" spans="1:72" x14ac:dyDescent="0.15">
      <c r="A577" t="s">
        <v>72</v>
      </c>
      <c r="B577" t="s">
        <v>10930</v>
      </c>
      <c r="C577" t="s">
        <v>74</v>
      </c>
      <c r="D577" t="s">
        <v>74</v>
      </c>
      <c r="E577" t="s">
        <v>74</v>
      </c>
      <c r="F577" t="s">
        <v>10931</v>
      </c>
      <c r="G577" t="s">
        <v>74</v>
      </c>
      <c r="H577" t="s">
        <v>74</v>
      </c>
      <c r="I577" t="s">
        <v>10932</v>
      </c>
      <c r="J577" t="s">
        <v>4967</v>
      </c>
      <c r="K577" t="s">
        <v>74</v>
      </c>
      <c r="L577" t="s">
        <v>74</v>
      </c>
      <c r="M577" t="s">
        <v>78</v>
      </c>
      <c r="N577" t="s">
        <v>79</v>
      </c>
      <c r="O577" t="s">
        <v>74</v>
      </c>
      <c r="P577" t="s">
        <v>74</v>
      </c>
      <c r="Q577" t="s">
        <v>74</v>
      </c>
      <c r="R577" t="s">
        <v>74</v>
      </c>
      <c r="S577" t="s">
        <v>74</v>
      </c>
      <c r="T577" t="s">
        <v>10933</v>
      </c>
      <c r="U577" t="s">
        <v>10934</v>
      </c>
      <c r="V577" t="s">
        <v>10935</v>
      </c>
      <c r="W577" t="s">
        <v>10936</v>
      </c>
      <c r="X577" t="s">
        <v>10937</v>
      </c>
      <c r="Y577" t="s">
        <v>10938</v>
      </c>
      <c r="Z577" t="s">
        <v>10939</v>
      </c>
      <c r="AA577" t="s">
        <v>10940</v>
      </c>
      <c r="AB577" t="s">
        <v>10941</v>
      </c>
      <c r="AC577" t="s">
        <v>10942</v>
      </c>
      <c r="AD577" t="s">
        <v>10943</v>
      </c>
      <c r="AE577" t="s">
        <v>10944</v>
      </c>
      <c r="AF577" t="s">
        <v>74</v>
      </c>
      <c r="AG577">
        <v>83</v>
      </c>
      <c r="AH577">
        <v>33</v>
      </c>
      <c r="AI577">
        <v>35</v>
      </c>
      <c r="AJ577">
        <v>1</v>
      </c>
      <c r="AK577">
        <v>26</v>
      </c>
      <c r="AL577" t="s">
        <v>368</v>
      </c>
      <c r="AM577" t="s">
        <v>369</v>
      </c>
      <c r="AN577" t="s">
        <v>370</v>
      </c>
      <c r="AO577" t="s">
        <v>4980</v>
      </c>
      <c r="AP577" t="s">
        <v>4981</v>
      </c>
      <c r="AQ577" t="s">
        <v>74</v>
      </c>
      <c r="AR577" t="s">
        <v>4982</v>
      </c>
      <c r="AS577" t="s">
        <v>4983</v>
      </c>
      <c r="AT577" t="s">
        <v>9372</v>
      </c>
      <c r="AU577">
        <v>2012</v>
      </c>
      <c r="AV577">
        <v>90</v>
      </c>
      <c r="AW577">
        <v>1</v>
      </c>
      <c r="AX577" t="s">
        <v>74</v>
      </c>
      <c r="AY577" t="s">
        <v>74</v>
      </c>
      <c r="AZ577" t="s">
        <v>74</v>
      </c>
      <c r="BA577" t="s">
        <v>74</v>
      </c>
      <c r="BB577">
        <v>77</v>
      </c>
      <c r="BC577">
        <v>87</v>
      </c>
      <c r="BD577" t="s">
        <v>74</v>
      </c>
      <c r="BE577" t="s">
        <v>10945</v>
      </c>
      <c r="BF577" t="str">
        <f>HYPERLINK("http://dx.doi.org/10.1016/j.jmarsys.2011.09.005","http://dx.doi.org/10.1016/j.jmarsys.2011.09.005")</f>
        <v>http://dx.doi.org/10.1016/j.jmarsys.2011.09.005</v>
      </c>
      <c r="BG577" t="s">
        <v>74</v>
      </c>
      <c r="BH577" t="s">
        <v>74</v>
      </c>
      <c r="BI577">
        <v>11</v>
      </c>
      <c r="BJ577" t="s">
        <v>4985</v>
      </c>
      <c r="BK577" t="s">
        <v>99</v>
      </c>
      <c r="BL577" t="s">
        <v>4986</v>
      </c>
      <c r="BM577" t="s">
        <v>10388</v>
      </c>
      <c r="BN577" t="s">
        <v>74</v>
      </c>
      <c r="BO577" t="s">
        <v>10946</v>
      </c>
      <c r="BP577" t="s">
        <v>74</v>
      </c>
      <c r="BQ577" t="s">
        <v>74</v>
      </c>
      <c r="BR577" t="s">
        <v>101</v>
      </c>
      <c r="BS577" t="s">
        <v>10947</v>
      </c>
      <c r="BT577" t="str">
        <f>HYPERLINK("https%3A%2F%2Fwww.webofscience.com%2Fwos%2Fwoscc%2Ffull-record%2FWOS:000296997300008","View Full Record in Web of Science")</f>
        <v>View Full Record in Web of Science</v>
      </c>
    </row>
    <row r="578" spans="1:72" x14ac:dyDescent="0.15">
      <c r="A578" t="s">
        <v>72</v>
      </c>
      <c r="B578" t="s">
        <v>10948</v>
      </c>
      <c r="C578" t="s">
        <v>74</v>
      </c>
      <c r="D578" t="s">
        <v>74</v>
      </c>
      <c r="E578" t="s">
        <v>74</v>
      </c>
      <c r="F578" t="s">
        <v>10949</v>
      </c>
      <c r="G578" t="s">
        <v>74</v>
      </c>
      <c r="H578" t="s">
        <v>74</v>
      </c>
      <c r="I578" t="s">
        <v>10950</v>
      </c>
      <c r="J578" t="s">
        <v>10196</v>
      </c>
      <c r="K578" t="s">
        <v>74</v>
      </c>
      <c r="L578" t="s">
        <v>74</v>
      </c>
      <c r="M578" t="s">
        <v>78</v>
      </c>
      <c r="N578" t="s">
        <v>79</v>
      </c>
      <c r="O578" t="s">
        <v>74</v>
      </c>
      <c r="P578" t="s">
        <v>74</v>
      </c>
      <c r="Q578" t="s">
        <v>74</v>
      </c>
      <c r="R578" t="s">
        <v>74</v>
      </c>
      <c r="S578" t="s">
        <v>74</v>
      </c>
      <c r="T578" t="s">
        <v>10951</v>
      </c>
      <c r="U578" t="s">
        <v>10952</v>
      </c>
      <c r="V578" t="s">
        <v>10953</v>
      </c>
      <c r="W578" t="s">
        <v>10954</v>
      </c>
      <c r="X578" t="s">
        <v>10955</v>
      </c>
      <c r="Y578" t="s">
        <v>10956</v>
      </c>
      <c r="Z578" t="s">
        <v>10957</v>
      </c>
      <c r="AA578" t="s">
        <v>10958</v>
      </c>
      <c r="AB578" t="s">
        <v>10959</v>
      </c>
      <c r="AC578" t="s">
        <v>10960</v>
      </c>
      <c r="AD578" t="s">
        <v>10961</v>
      </c>
      <c r="AE578" t="s">
        <v>10962</v>
      </c>
      <c r="AF578" t="s">
        <v>74</v>
      </c>
      <c r="AG578">
        <v>96</v>
      </c>
      <c r="AH578">
        <v>88</v>
      </c>
      <c r="AI578">
        <v>95</v>
      </c>
      <c r="AJ578">
        <v>1</v>
      </c>
      <c r="AK578">
        <v>61</v>
      </c>
      <c r="AL578" t="s">
        <v>627</v>
      </c>
      <c r="AM578" t="s">
        <v>628</v>
      </c>
      <c r="AN578" t="s">
        <v>629</v>
      </c>
      <c r="AO578" t="s">
        <v>10209</v>
      </c>
      <c r="AP578" t="s">
        <v>10231</v>
      </c>
      <c r="AQ578" t="s">
        <v>74</v>
      </c>
      <c r="AR578" t="s">
        <v>10210</v>
      </c>
      <c r="AS578" t="s">
        <v>10211</v>
      </c>
      <c r="AT578" t="s">
        <v>9372</v>
      </c>
      <c r="AU578">
        <v>2012</v>
      </c>
      <c r="AV578">
        <v>48</v>
      </c>
      <c r="AW578">
        <v>1</v>
      </c>
      <c r="AX578" t="s">
        <v>74</v>
      </c>
      <c r="AY578" t="s">
        <v>74</v>
      </c>
      <c r="AZ578" t="s">
        <v>74</v>
      </c>
      <c r="BA578" t="s">
        <v>74</v>
      </c>
      <c r="BB578">
        <v>45</v>
      </c>
      <c r="BC578">
        <v>59</v>
      </c>
      <c r="BD578" t="s">
        <v>74</v>
      </c>
      <c r="BE578" t="s">
        <v>10963</v>
      </c>
      <c r="BF578" t="str">
        <f>HYPERLINK("http://dx.doi.org/10.1111/j.1529-8817.2011.01098.x","http://dx.doi.org/10.1111/j.1529-8817.2011.01098.x")</f>
        <v>http://dx.doi.org/10.1111/j.1529-8817.2011.01098.x</v>
      </c>
      <c r="BG578" t="s">
        <v>74</v>
      </c>
      <c r="BH578" t="s">
        <v>74</v>
      </c>
      <c r="BI578">
        <v>15</v>
      </c>
      <c r="BJ578" t="s">
        <v>10213</v>
      </c>
      <c r="BK578" t="s">
        <v>99</v>
      </c>
      <c r="BL578" t="s">
        <v>10213</v>
      </c>
      <c r="BM578" t="s">
        <v>10214</v>
      </c>
      <c r="BN578">
        <v>27009649</v>
      </c>
      <c r="BO578" t="s">
        <v>74</v>
      </c>
      <c r="BP578" t="s">
        <v>74</v>
      </c>
      <c r="BQ578" t="s">
        <v>74</v>
      </c>
      <c r="BR578" t="s">
        <v>101</v>
      </c>
      <c r="BS578" t="s">
        <v>10964</v>
      </c>
      <c r="BT578" t="str">
        <f>HYPERLINK("https%3A%2F%2Fwww.webofscience.com%2Fwos%2Fwoscc%2Ffull-record%2FWOS:000299730600004","View Full Record in Web of Science")</f>
        <v>View Full Record in Web of Science</v>
      </c>
    </row>
    <row r="579" spans="1:72" x14ac:dyDescent="0.15">
      <c r="A579" t="s">
        <v>72</v>
      </c>
      <c r="B579" t="s">
        <v>10965</v>
      </c>
      <c r="C579" t="s">
        <v>74</v>
      </c>
      <c r="D579" t="s">
        <v>74</v>
      </c>
      <c r="E579" t="s">
        <v>74</v>
      </c>
      <c r="F579" t="s">
        <v>10966</v>
      </c>
      <c r="G579" t="s">
        <v>74</v>
      </c>
      <c r="H579" t="s">
        <v>74</v>
      </c>
      <c r="I579" t="s">
        <v>10967</v>
      </c>
      <c r="J579" t="s">
        <v>10968</v>
      </c>
      <c r="K579" t="s">
        <v>74</v>
      </c>
      <c r="L579" t="s">
        <v>74</v>
      </c>
      <c r="M579" t="s">
        <v>78</v>
      </c>
      <c r="N579" t="s">
        <v>79</v>
      </c>
      <c r="O579" t="s">
        <v>74</v>
      </c>
      <c r="P579" t="s">
        <v>74</v>
      </c>
      <c r="Q579" t="s">
        <v>74</v>
      </c>
      <c r="R579" t="s">
        <v>74</v>
      </c>
      <c r="S579" t="s">
        <v>74</v>
      </c>
      <c r="T579" t="s">
        <v>10969</v>
      </c>
      <c r="U579" t="s">
        <v>10970</v>
      </c>
      <c r="V579" t="s">
        <v>10971</v>
      </c>
      <c r="W579" t="s">
        <v>10972</v>
      </c>
      <c r="X579" t="s">
        <v>10973</v>
      </c>
      <c r="Y579" t="s">
        <v>10974</v>
      </c>
      <c r="Z579" t="s">
        <v>10975</v>
      </c>
      <c r="AA579" t="s">
        <v>10976</v>
      </c>
      <c r="AB579" t="s">
        <v>10977</v>
      </c>
      <c r="AC579" t="s">
        <v>10978</v>
      </c>
      <c r="AD579" t="s">
        <v>10979</v>
      </c>
      <c r="AE579" t="s">
        <v>10980</v>
      </c>
      <c r="AF579" t="s">
        <v>74</v>
      </c>
      <c r="AG579">
        <v>57</v>
      </c>
      <c r="AH579">
        <v>4</v>
      </c>
      <c r="AI579">
        <v>4</v>
      </c>
      <c r="AJ579">
        <v>0</v>
      </c>
      <c r="AK579">
        <v>37</v>
      </c>
      <c r="AL579" t="s">
        <v>277</v>
      </c>
      <c r="AM579" t="s">
        <v>278</v>
      </c>
      <c r="AN579" t="s">
        <v>279</v>
      </c>
      <c r="AO579" t="s">
        <v>10981</v>
      </c>
      <c r="AP579" t="s">
        <v>74</v>
      </c>
      <c r="AQ579" t="s">
        <v>74</v>
      </c>
      <c r="AR579" t="s">
        <v>10982</v>
      </c>
      <c r="AS579" t="s">
        <v>10983</v>
      </c>
      <c r="AT579" t="s">
        <v>9372</v>
      </c>
      <c r="AU579">
        <v>2012</v>
      </c>
      <c r="AV579">
        <v>33</v>
      </c>
      <c r="AW579">
        <v>1</v>
      </c>
      <c r="AX579" t="s">
        <v>74</v>
      </c>
      <c r="AY579" t="s">
        <v>74</v>
      </c>
      <c r="AZ579" t="s">
        <v>74</v>
      </c>
      <c r="BA579" t="s">
        <v>74</v>
      </c>
      <c r="BB579">
        <v>1</v>
      </c>
      <c r="BC579">
        <v>7</v>
      </c>
      <c r="BD579" t="s">
        <v>74</v>
      </c>
      <c r="BE579" t="s">
        <v>10984</v>
      </c>
      <c r="BF579" t="str">
        <f>HYPERLINK("http://dx.doi.org/10.1016/j.jsames.2011.07.007","http://dx.doi.org/10.1016/j.jsames.2011.07.007")</f>
        <v>http://dx.doi.org/10.1016/j.jsames.2011.07.007</v>
      </c>
      <c r="BG579" t="s">
        <v>74</v>
      </c>
      <c r="BH579" t="s">
        <v>74</v>
      </c>
      <c r="BI579">
        <v>7</v>
      </c>
      <c r="BJ579" t="s">
        <v>194</v>
      </c>
      <c r="BK579" t="s">
        <v>99</v>
      </c>
      <c r="BL579" t="s">
        <v>195</v>
      </c>
      <c r="BM579" t="s">
        <v>10985</v>
      </c>
      <c r="BN579" t="s">
        <v>74</v>
      </c>
      <c r="BO579" t="s">
        <v>74</v>
      </c>
      <c r="BP579" t="s">
        <v>74</v>
      </c>
      <c r="BQ579" t="s">
        <v>74</v>
      </c>
      <c r="BR579" t="s">
        <v>101</v>
      </c>
      <c r="BS579" t="s">
        <v>10986</v>
      </c>
      <c r="BT579" t="str">
        <f>HYPERLINK("https%3A%2F%2Fwww.webofscience.com%2Fwos%2Fwoscc%2Ffull-record%2FWOS:000300815300001","View Full Record in Web of Science")</f>
        <v>View Full Record in Web of Science</v>
      </c>
    </row>
    <row r="580" spans="1:72" x14ac:dyDescent="0.15">
      <c r="A580" t="s">
        <v>72</v>
      </c>
      <c r="B580" t="s">
        <v>10987</v>
      </c>
      <c r="C580" t="s">
        <v>74</v>
      </c>
      <c r="D580" t="s">
        <v>74</v>
      </c>
      <c r="E580" t="s">
        <v>74</v>
      </c>
      <c r="F580" t="s">
        <v>10988</v>
      </c>
      <c r="G580" t="s">
        <v>74</v>
      </c>
      <c r="H580" t="s">
        <v>74</v>
      </c>
      <c r="I580" t="s">
        <v>10989</v>
      </c>
      <c r="J580" t="s">
        <v>10990</v>
      </c>
      <c r="K580" t="s">
        <v>74</v>
      </c>
      <c r="L580" t="s">
        <v>74</v>
      </c>
      <c r="M580" t="s">
        <v>78</v>
      </c>
      <c r="N580" t="s">
        <v>79</v>
      </c>
      <c r="O580" t="s">
        <v>74</v>
      </c>
      <c r="P580" t="s">
        <v>74</v>
      </c>
      <c r="Q580" t="s">
        <v>74</v>
      </c>
      <c r="R580" t="s">
        <v>74</v>
      </c>
      <c r="S580" t="s">
        <v>74</v>
      </c>
      <c r="T580" t="s">
        <v>74</v>
      </c>
      <c r="U580" t="s">
        <v>10991</v>
      </c>
      <c r="V580" t="s">
        <v>10992</v>
      </c>
      <c r="W580" t="s">
        <v>10993</v>
      </c>
      <c r="X580" t="s">
        <v>10994</v>
      </c>
      <c r="Y580" t="s">
        <v>10995</v>
      </c>
      <c r="Z580" t="s">
        <v>10996</v>
      </c>
      <c r="AA580" t="s">
        <v>10997</v>
      </c>
      <c r="AB580" t="s">
        <v>10998</v>
      </c>
      <c r="AC580" t="s">
        <v>10999</v>
      </c>
      <c r="AD580" t="s">
        <v>11000</v>
      </c>
      <c r="AE580" t="s">
        <v>11001</v>
      </c>
      <c r="AF580" t="s">
        <v>74</v>
      </c>
      <c r="AG580">
        <v>156</v>
      </c>
      <c r="AH580">
        <v>633</v>
      </c>
      <c r="AI580">
        <v>704</v>
      </c>
      <c r="AJ580">
        <v>1</v>
      </c>
      <c r="AK580">
        <v>88</v>
      </c>
      <c r="AL580" t="s">
        <v>11002</v>
      </c>
      <c r="AM580" t="s">
        <v>604</v>
      </c>
      <c r="AN580" t="s">
        <v>11003</v>
      </c>
      <c r="AO580" t="s">
        <v>11004</v>
      </c>
      <c r="AP580" t="s">
        <v>11005</v>
      </c>
      <c r="AQ580" t="s">
        <v>74</v>
      </c>
      <c r="AR580" t="s">
        <v>11006</v>
      </c>
      <c r="AS580" t="s">
        <v>11007</v>
      </c>
      <c r="AT580" t="s">
        <v>9372</v>
      </c>
      <c r="AU580">
        <v>2012</v>
      </c>
      <c r="AV580" t="s">
        <v>11008</v>
      </c>
      <c r="AW580" t="s">
        <v>74</v>
      </c>
      <c r="AX580" t="s">
        <v>74</v>
      </c>
      <c r="AY580" t="s">
        <v>74</v>
      </c>
      <c r="AZ580" t="s">
        <v>1913</v>
      </c>
      <c r="BA580" t="s">
        <v>74</v>
      </c>
      <c r="BB580">
        <v>23</v>
      </c>
      <c r="BC580">
        <v>64</v>
      </c>
      <c r="BD580" t="s">
        <v>74</v>
      </c>
      <c r="BE580" t="s">
        <v>11009</v>
      </c>
      <c r="BF580" t="str">
        <f>HYPERLINK("http://dx.doi.org/10.2151/jmsj.2012-A02","http://dx.doi.org/10.2151/jmsj.2012-A02")</f>
        <v>http://dx.doi.org/10.2151/jmsj.2012-A02</v>
      </c>
      <c r="BG580" t="s">
        <v>74</v>
      </c>
      <c r="BH580" t="s">
        <v>74</v>
      </c>
      <c r="BI580">
        <v>42</v>
      </c>
      <c r="BJ580" t="s">
        <v>128</v>
      </c>
      <c r="BK580" t="s">
        <v>99</v>
      </c>
      <c r="BL580" t="s">
        <v>128</v>
      </c>
      <c r="BM580" t="s">
        <v>11010</v>
      </c>
      <c r="BN580" t="s">
        <v>74</v>
      </c>
      <c r="BO580" t="s">
        <v>217</v>
      </c>
      <c r="BP580" t="s">
        <v>74</v>
      </c>
      <c r="BQ580" t="s">
        <v>74</v>
      </c>
      <c r="BR580" t="s">
        <v>101</v>
      </c>
      <c r="BS580" t="s">
        <v>11011</v>
      </c>
      <c r="BT580" t="str">
        <f>HYPERLINK("https%3A%2F%2Fwww.webofscience.com%2Fwos%2Fwoscc%2Ffull-record%2FWOS:000304385900003","View Full Record in Web of Science")</f>
        <v>View Full Record in Web of Science</v>
      </c>
    </row>
    <row r="581" spans="1:72" x14ac:dyDescent="0.15">
      <c r="A581" t="s">
        <v>72</v>
      </c>
      <c r="B581" t="s">
        <v>11012</v>
      </c>
      <c r="C581" t="s">
        <v>74</v>
      </c>
      <c r="D581" t="s">
        <v>74</v>
      </c>
      <c r="E581" t="s">
        <v>74</v>
      </c>
      <c r="F581" t="s">
        <v>11013</v>
      </c>
      <c r="G581" t="s">
        <v>74</v>
      </c>
      <c r="H581" t="s">
        <v>74</v>
      </c>
      <c r="I581" t="s">
        <v>11014</v>
      </c>
      <c r="J581" t="s">
        <v>4369</v>
      </c>
      <c r="K581" t="s">
        <v>74</v>
      </c>
      <c r="L581" t="s">
        <v>74</v>
      </c>
      <c r="M581" t="s">
        <v>78</v>
      </c>
      <c r="N581" t="s">
        <v>79</v>
      </c>
      <c r="O581" t="s">
        <v>74</v>
      </c>
      <c r="P581" t="s">
        <v>74</v>
      </c>
      <c r="Q581" t="s">
        <v>74</v>
      </c>
      <c r="R581" t="s">
        <v>74</v>
      </c>
      <c r="S581" t="s">
        <v>74</v>
      </c>
      <c r="T581" t="s">
        <v>74</v>
      </c>
      <c r="U581" t="s">
        <v>11015</v>
      </c>
      <c r="V581" t="s">
        <v>11016</v>
      </c>
      <c r="W581" t="s">
        <v>11017</v>
      </c>
      <c r="X581" t="s">
        <v>3176</v>
      </c>
      <c r="Y581" t="s">
        <v>11018</v>
      </c>
      <c r="Z581" t="s">
        <v>11019</v>
      </c>
      <c r="AA581" t="s">
        <v>11020</v>
      </c>
      <c r="AB581" t="s">
        <v>11021</v>
      </c>
      <c r="AC581" t="s">
        <v>11022</v>
      </c>
      <c r="AD581" t="s">
        <v>11023</v>
      </c>
      <c r="AE581" t="s">
        <v>11024</v>
      </c>
      <c r="AF581" t="s">
        <v>74</v>
      </c>
      <c r="AG581">
        <v>51</v>
      </c>
      <c r="AH581">
        <v>38</v>
      </c>
      <c r="AI581">
        <v>40</v>
      </c>
      <c r="AJ581">
        <v>3</v>
      </c>
      <c r="AK581">
        <v>50</v>
      </c>
      <c r="AL581" t="s">
        <v>655</v>
      </c>
      <c r="AM581" t="s">
        <v>656</v>
      </c>
      <c r="AN581" t="s">
        <v>657</v>
      </c>
      <c r="AO581" t="s">
        <v>4380</v>
      </c>
      <c r="AP581" t="s">
        <v>74</v>
      </c>
      <c r="AQ581" t="s">
        <v>74</v>
      </c>
      <c r="AR581" t="s">
        <v>4382</v>
      </c>
      <c r="AS581" t="s">
        <v>4383</v>
      </c>
      <c r="AT581" t="s">
        <v>9372</v>
      </c>
      <c r="AU581">
        <v>2012</v>
      </c>
      <c r="AV581">
        <v>159</v>
      </c>
      <c r="AW581">
        <v>2</v>
      </c>
      <c r="AX581" t="s">
        <v>74</v>
      </c>
      <c r="AY581" t="s">
        <v>74</v>
      </c>
      <c r="AZ581" t="s">
        <v>74</v>
      </c>
      <c r="BA581" t="s">
        <v>74</v>
      </c>
      <c r="BB581">
        <v>291</v>
      </c>
      <c r="BC581">
        <v>301</v>
      </c>
      <c r="BD581" t="s">
        <v>74</v>
      </c>
      <c r="BE581" t="s">
        <v>11025</v>
      </c>
      <c r="BF581" t="str">
        <f>HYPERLINK("http://dx.doi.org/10.1007/s00227-011-1807-3","http://dx.doi.org/10.1007/s00227-011-1807-3")</f>
        <v>http://dx.doi.org/10.1007/s00227-011-1807-3</v>
      </c>
      <c r="BG581" t="s">
        <v>74</v>
      </c>
      <c r="BH581" t="s">
        <v>74</v>
      </c>
      <c r="BI581">
        <v>11</v>
      </c>
      <c r="BJ581" t="s">
        <v>588</v>
      </c>
      <c r="BK581" t="s">
        <v>99</v>
      </c>
      <c r="BL581" t="s">
        <v>588</v>
      </c>
      <c r="BM581" t="s">
        <v>11026</v>
      </c>
      <c r="BN581" t="s">
        <v>74</v>
      </c>
      <c r="BO581" t="s">
        <v>74</v>
      </c>
      <c r="BP581" t="s">
        <v>74</v>
      </c>
      <c r="BQ581" t="s">
        <v>74</v>
      </c>
      <c r="BR581" t="s">
        <v>101</v>
      </c>
      <c r="BS581" t="s">
        <v>11027</v>
      </c>
      <c r="BT581" t="str">
        <f>HYPERLINK("https%3A%2F%2Fwww.webofscience.com%2Fwos%2Fwoscc%2Ffull-record%2FWOS:000299199000005","View Full Record in Web of Science")</f>
        <v>View Full Record in Web of Science</v>
      </c>
    </row>
    <row r="582" spans="1:72" x14ac:dyDescent="0.15">
      <c r="A582" t="s">
        <v>72</v>
      </c>
      <c r="B582" t="s">
        <v>11028</v>
      </c>
      <c r="C582" t="s">
        <v>74</v>
      </c>
      <c r="D582" t="s">
        <v>74</v>
      </c>
      <c r="E582" t="s">
        <v>74</v>
      </c>
      <c r="F582" t="s">
        <v>11029</v>
      </c>
      <c r="G582" t="s">
        <v>74</v>
      </c>
      <c r="H582" t="s">
        <v>74</v>
      </c>
      <c r="I582" t="s">
        <v>11030</v>
      </c>
      <c r="J582" t="s">
        <v>11031</v>
      </c>
      <c r="K582" t="s">
        <v>74</v>
      </c>
      <c r="L582" t="s">
        <v>74</v>
      </c>
      <c r="M582" t="s">
        <v>78</v>
      </c>
      <c r="N582" t="s">
        <v>79</v>
      </c>
      <c r="O582" t="s">
        <v>74</v>
      </c>
      <c r="P582" t="s">
        <v>74</v>
      </c>
      <c r="Q582" t="s">
        <v>74</v>
      </c>
      <c r="R582" t="s">
        <v>74</v>
      </c>
      <c r="S582" t="s">
        <v>74</v>
      </c>
      <c r="T582" t="s">
        <v>11032</v>
      </c>
      <c r="U582" t="s">
        <v>11033</v>
      </c>
      <c r="V582" t="s">
        <v>11034</v>
      </c>
      <c r="W582" t="s">
        <v>11035</v>
      </c>
      <c r="X582" t="s">
        <v>11036</v>
      </c>
      <c r="Y582" t="s">
        <v>11037</v>
      </c>
      <c r="Z582" t="s">
        <v>2062</v>
      </c>
      <c r="AA582" t="s">
        <v>74</v>
      </c>
      <c r="AB582" t="s">
        <v>11038</v>
      </c>
      <c r="AC582" t="s">
        <v>11039</v>
      </c>
      <c r="AD582" t="s">
        <v>11040</v>
      </c>
      <c r="AE582" t="s">
        <v>11041</v>
      </c>
      <c r="AF582" t="s">
        <v>74</v>
      </c>
      <c r="AG582">
        <v>8</v>
      </c>
      <c r="AH582">
        <v>14</v>
      </c>
      <c r="AI582">
        <v>15</v>
      </c>
      <c r="AJ582">
        <v>0</v>
      </c>
      <c r="AK582">
        <v>6</v>
      </c>
      <c r="AL582" t="s">
        <v>11042</v>
      </c>
      <c r="AM582" t="s">
        <v>147</v>
      </c>
      <c r="AN582" t="s">
        <v>11043</v>
      </c>
      <c r="AO582" t="s">
        <v>11044</v>
      </c>
      <c r="AP582" t="s">
        <v>74</v>
      </c>
      <c r="AQ582" t="s">
        <v>74</v>
      </c>
      <c r="AR582" t="s">
        <v>11045</v>
      </c>
      <c r="AS582" t="s">
        <v>11046</v>
      </c>
      <c r="AT582" t="s">
        <v>9372</v>
      </c>
      <c r="AU582">
        <v>2012</v>
      </c>
      <c r="AV582">
        <v>23</v>
      </c>
      <c r="AW582">
        <v>1</v>
      </c>
      <c r="AX582" t="s">
        <v>74</v>
      </c>
      <c r="AY582" t="s">
        <v>74</v>
      </c>
      <c r="AZ582" t="s">
        <v>74</v>
      </c>
      <c r="BA582" t="s">
        <v>74</v>
      </c>
      <c r="BB582">
        <v>25</v>
      </c>
      <c r="BC582">
        <v>27</v>
      </c>
      <c r="BD582" t="s">
        <v>74</v>
      </c>
      <c r="BE582" t="s">
        <v>11047</v>
      </c>
      <c r="BF582" t="str">
        <f>HYPERLINK("http://dx.doi.org/10.3109/19401736.2011.643877","http://dx.doi.org/10.3109/19401736.2011.643877")</f>
        <v>http://dx.doi.org/10.3109/19401736.2011.643877</v>
      </c>
      <c r="BG582" t="s">
        <v>74</v>
      </c>
      <c r="BH582" t="s">
        <v>74</v>
      </c>
      <c r="BI582">
        <v>3</v>
      </c>
      <c r="BJ582" t="s">
        <v>7016</v>
      </c>
      <c r="BK582" t="s">
        <v>99</v>
      </c>
      <c r="BL582" t="s">
        <v>7016</v>
      </c>
      <c r="BM582" t="s">
        <v>11048</v>
      </c>
      <c r="BN582">
        <v>22295862</v>
      </c>
      <c r="BO582" t="s">
        <v>74</v>
      </c>
      <c r="BP582" t="s">
        <v>74</v>
      </c>
      <c r="BQ582" t="s">
        <v>74</v>
      </c>
      <c r="BR582" t="s">
        <v>101</v>
      </c>
      <c r="BS582" t="s">
        <v>11049</v>
      </c>
      <c r="BT582" t="str">
        <f>HYPERLINK("https%3A%2F%2Fwww.webofscience.com%2Fwos%2Fwoscc%2Ffull-record%2FWOS:000299747300004","View Full Record in Web of Science")</f>
        <v>View Full Record in Web of Science</v>
      </c>
    </row>
    <row r="583" spans="1:72" x14ac:dyDescent="0.15">
      <c r="A583" t="s">
        <v>72</v>
      </c>
      <c r="B583" t="s">
        <v>11050</v>
      </c>
      <c r="C583" t="s">
        <v>74</v>
      </c>
      <c r="D583" t="s">
        <v>74</v>
      </c>
      <c r="E583" t="s">
        <v>74</v>
      </c>
      <c r="F583" t="s">
        <v>11051</v>
      </c>
      <c r="G583" t="s">
        <v>74</v>
      </c>
      <c r="H583" t="s">
        <v>74</v>
      </c>
      <c r="I583" t="s">
        <v>11052</v>
      </c>
      <c r="J583" t="s">
        <v>2259</v>
      </c>
      <c r="K583" t="s">
        <v>74</v>
      </c>
      <c r="L583" t="s">
        <v>74</v>
      </c>
      <c r="M583" t="s">
        <v>78</v>
      </c>
      <c r="N583" t="s">
        <v>79</v>
      </c>
      <c r="O583" t="s">
        <v>74</v>
      </c>
      <c r="P583" t="s">
        <v>74</v>
      </c>
      <c r="Q583" t="s">
        <v>74</v>
      </c>
      <c r="R583" t="s">
        <v>74</v>
      </c>
      <c r="S583" t="s">
        <v>74</v>
      </c>
      <c r="T583" t="s">
        <v>74</v>
      </c>
      <c r="U583" t="s">
        <v>11053</v>
      </c>
      <c r="V583" t="s">
        <v>11054</v>
      </c>
      <c r="W583" t="s">
        <v>11055</v>
      </c>
      <c r="X583" t="s">
        <v>11056</v>
      </c>
      <c r="Y583" t="s">
        <v>11057</v>
      </c>
      <c r="Z583" t="s">
        <v>1999</v>
      </c>
      <c r="AA583" t="s">
        <v>11058</v>
      </c>
      <c r="AB583" t="s">
        <v>11059</v>
      </c>
      <c r="AC583" t="s">
        <v>11060</v>
      </c>
      <c r="AD583" t="s">
        <v>11061</v>
      </c>
      <c r="AE583" t="s">
        <v>11062</v>
      </c>
      <c r="AF583" t="s">
        <v>74</v>
      </c>
      <c r="AG583">
        <v>43</v>
      </c>
      <c r="AH583">
        <v>51</v>
      </c>
      <c r="AI583">
        <v>54</v>
      </c>
      <c r="AJ583">
        <v>0</v>
      </c>
      <c r="AK583">
        <v>44</v>
      </c>
      <c r="AL583" t="s">
        <v>146</v>
      </c>
      <c r="AM583" t="s">
        <v>147</v>
      </c>
      <c r="AN583" t="s">
        <v>148</v>
      </c>
      <c r="AO583" t="s">
        <v>2271</v>
      </c>
      <c r="AP583" t="s">
        <v>74</v>
      </c>
      <c r="AQ583" t="s">
        <v>74</v>
      </c>
      <c r="AR583" t="s">
        <v>2272</v>
      </c>
      <c r="AS583" t="s">
        <v>2273</v>
      </c>
      <c r="AT583" t="s">
        <v>9372</v>
      </c>
      <c r="AU583">
        <v>2012</v>
      </c>
      <c r="AV583">
        <v>3</v>
      </c>
      <c r="AW583" t="s">
        <v>74</v>
      </c>
      <c r="AX583" t="s">
        <v>74</v>
      </c>
      <c r="AY583" t="s">
        <v>74</v>
      </c>
      <c r="AZ583" t="s">
        <v>74</v>
      </c>
      <c r="BA583" t="s">
        <v>74</v>
      </c>
      <c r="BB583" t="s">
        <v>74</v>
      </c>
      <c r="BC583" t="s">
        <v>74</v>
      </c>
      <c r="BD583">
        <v>660</v>
      </c>
      <c r="BE583" t="s">
        <v>11063</v>
      </c>
      <c r="BF583" t="str">
        <f>HYPERLINK("http://dx.doi.org/10.1038/ncomms1645","http://dx.doi.org/10.1038/ncomms1645")</f>
        <v>http://dx.doi.org/10.1038/ncomms1645</v>
      </c>
      <c r="BG583" t="s">
        <v>74</v>
      </c>
      <c r="BH583" t="s">
        <v>74</v>
      </c>
      <c r="BI583">
        <v>8</v>
      </c>
      <c r="BJ583" t="s">
        <v>153</v>
      </c>
      <c r="BK583" t="s">
        <v>99</v>
      </c>
      <c r="BL583" t="s">
        <v>154</v>
      </c>
      <c r="BM583" t="s">
        <v>11064</v>
      </c>
      <c r="BN583">
        <v>22314356</v>
      </c>
      <c r="BO583" t="s">
        <v>217</v>
      </c>
      <c r="BP583" t="s">
        <v>74</v>
      </c>
      <c r="BQ583" t="s">
        <v>74</v>
      </c>
      <c r="BR583" t="s">
        <v>101</v>
      </c>
      <c r="BS583" t="s">
        <v>11065</v>
      </c>
      <c r="BT583" t="str">
        <f>HYPERLINK("https%3A%2F%2Fwww.webofscience.com%2Fwos%2Fwoscc%2Ffull-record%2FWOS:000302060100001","View Full Record in Web of Science")</f>
        <v>View Full Record in Web of Science</v>
      </c>
    </row>
    <row r="584" spans="1:72" x14ac:dyDescent="0.15">
      <c r="A584" t="s">
        <v>72</v>
      </c>
      <c r="B584" t="s">
        <v>11066</v>
      </c>
      <c r="C584" t="s">
        <v>74</v>
      </c>
      <c r="D584" t="s">
        <v>74</v>
      </c>
      <c r="E584" t="s">
        <v>74</v>
      </c>
      <c r="F584" t="s">
        <v>11067</v>
      </c>
      <c r="G584" t="s">
        <v>74</v>
      </c>
      <c r="H584" t="s">
        <v>74</v>
      </c>
      <c r="I584" t="s">
        <v>11068</v>
      </c>
      <c r="J584" t="s">
        <v>11069</v>
      </c>
      <c r="K584" t="s">
        <v>74</v>
      </c>
      <c r="L584" t="s">
        <v>74</v>
      </c>
      <c r="M584" t="s">
        <v>78</v>
      </c>
      <c r="N584" t="s">
        <v>79</v>
      </c>
      <c r="O584" t="s">
        <v>74</v>
      </c>
      <c r="P584" t="s">
        <v>74</v>
      </c>
      <c r="Q584" t="s">
        <v>74</v>
      </c>
      <c r="R584" t="s">
        <v>74</v>
      </c>
      <c r="S584" t="s">
        <v>74</v>
      </c>
      <c r="T584" t="s">
        <v>74</v>
      </c>
      <c r="U584" t="s">
        <v>11070</v>
      </c>
      <c r="V584" t="s">
        <v>11071</v>
      </c>
      <c r="W584" t="s">
        <v>11072</v>
      </c>
      <c r="X584" t="s">
        <v>11073</v>
      </c>
      <c r="Y584" t="s">
        <v>11074</v>
      </c>
      <c r="Z584" t="s">
        <v>11075</v>
      </c>
      <c r="AA584" t="s">
        <v>11076</v>
      </c>
      <c r="AB584" t="s">
        <v>11077</v>
      </c>
      <c r="AC584" t="s">
        <v>11078</v>
      </c>
      <c r="AD584" t="s">
        <v>11078</v>
      </c>
      <c r="AE584" t="s">
        <v>11079</v>
      </c>
      <c r="AF584" t="s">
        <v>74</v>
      </c>
      <c r="AG584">
        <v>81</v>
      </c>
      <c r="AH584">
        <v>27</v>
      </c>
      <c r="AI584">
        <v>30</v>
      </c>
      <c r="AJ584">
        <v>0</v>
      </c>
      <c r="AK584">
        <v>63</v>
      </c>
      <c r="AL584" t="s">
        <v>277</v>
      </c>
      <c r="AM584" t="s">
        <v>278</v>
      </c>
      <c r="AN584" t="s">
        <v>279</v>
      </c>
      <c r="AO584" t="s">
        <v>11080</v>
      </c>
      <c r="AP584" t="s">
        <v>74</v>
      </c>
      <c r="AQ584" t="s">
        <v>74</v>
      </c>
      <c r="AR584" t="s">
        <v>11081</v>
      </c>
      <c r="AS584" t="s">
        <v>11082</v>
      </c>
      <c r="AT584" t="s">
        <v>9372</v>
      </c>
      <c r="AU584">
        <v>2012</v>
      </c>
      <c r="AV584">
        <v>43</v>
      </c>
      <c r="AW584" t="s">
        <v>74</v>
      </c>
      <c r="AX584" t="s">
        <v>74</v>
      </c>
      <c r="AY584" t="s">
        <v>74</v>
      </c>
      <c r="AZ584" t="s">
        <v>74</v>
      </c>
      <c r="BA584" t="s">
        <v>74</v>
      </c>
      <c r="BB584">
        <v>112</v>
      </c>
      <c r="BC584">
        <v>124</v>
      </c>
      <c r="BD584" t="s">
        <v>74</v>
      </c>
      <c r="BE584" t="s">
        <v>11083</v>
      </c>
      <c r="BF584" t="str">
        <f>HYPERLINK("http://dx.doi.org/10.1016/j.orggeochem.2011.10.005","http://dx.doi.org/10.1016/j.orggeochem.2011.10.005")</f>
        <v>http://dx.doi.org/10.1016/j.orggeochem.2011.10.005</v>
      </c>
      <c r="BG584" t="s">
        <v>74</v>
      </c>
      <c r="BH584" t="s">
        <v>74</v>
      </c>
      <c r="BI584">
        <v>13</v>
      </c>
      <c r="BJ584" t="s">
        <v>1134</v>
      </c>
      <c r="BK584" t="s">
        <v>99</v>
      </c>
      <c r="BL584" t="s">
        <v>1134</v>
      </c>
      <c r="BM584" t="s">
        <v>11084</v>
      </c>
      <c r="BN584" t="s">
        <v>74</v>
      </c>
      <c r="BO584" t="s">
        <v>74</v>
      </c>
      <c r="BP584" t="s">
        <v>74</v>
      </c>
      <c r="BQ584" t="s">
        <v>74</v>
      </c>
      <c r="BR584" t="s">
        <v>101</v>
      </c>
      <c r="BS584" t="s">
        <v>11085</v>
      </c>
      <c r="BT584" t="str">
        <f>HYPERLINK("https%3A%2F%2Fwww.webofscience.com%2Fwos%2Fwoscc%2Ffull-record%2FWOS:000299815000012","View Full Record in Web of Science")</f>
        <v>View Full Record in Web of Science</v>
      </c>
    </row>
    <row r="585" spans="1:72" x14ac:dyDescent="0.15">
      <c r="A585" t="s">
        <v>72</v>
      </c>
      <c r="B585" t="s">
        <v>11086</v>
      </c>
      <c r="C585" t="s">
        <v>74</v>
      </c>
      <c r="D585" t="s">
        <v>74</v>
      </c>
      <c r="E585" t="s">
        <v>74</v>
      </c>
      <c r="F585" t="s">
        <v>11087</v>
      </c>
      <c r="G585" t="s">
        <v>74</v>
      </c>
      <c r="H585" t="s">
        <v>74</v>
      </c>
      <c r="I585" t="s">
        <v>11088</v>
      </c>
      <c r="J585" t="s">
        <v>2303</v>
      </c>
      <c r="K585" t="s">
        <v>74</v>
      </c>
      <c r="L585" t="s">
        <v>74</v>
      </c>
      <c r="M585" t="s">
        <v>78</v>
      </c>
      <c r="N585" t="s">
        <v>79</v>
      </c>
      <c r="O585" t="s">
        <v>74</v>
      </c>
      <c r="P585" t="s">
        <v>74</v>
      </c>
      <c r="Q585" t="s">
        <v>74</v>
      </c>
      <c r="R585" t="s">
        <v>74</v>
      </c>
      <c r="S585" t="s">
        <v>74</v>
      </c>
      <c r="T585" t="s">
        <v>11089</v>
      </c>
      <c r="U585" t="s">
        <v>11090</v>
      </c>
      <c r="V585" t="s">
        <v>11091</v>
      </c>
      <c r="W585" t="s">
        <v>11092</v>
      </c>
      <c r="X585" t="s">
        <v>11093</v>
      </c>
      <c r="Y585" t="s">
        <v>11094</v>
      </c>
      <c r="Z585" t="s">
        <v>11095</v>
      </c>
      <c r="AA585" t="s">
        <v>11096</v>
      </c>
      <c r="AB585" t="s">
        <v>11097</v>
      </c>
      <c r="AC585" t="s">
        <v>11098</v>
      </c>
      <c r="AD585" t="s">
        <v>11099</v>
      </c>
      <c r="AE585" t="s">
        <v>11100</v>
      </c>
      <c r="AF585" t="s">
        <v>74</v>
      </c>
      <c r="AG585">
        <v>65</v>
      </c>
      <c r="AH585">
        <v>19</v>
      </c>
      <c r="AI585">
        <v>19</v>
      </c>
      <c r="AJ585">
        <v>0</v>
      </c>
      <c r="AK585">
        <v>25</v>
      </c>
      <c r="AL585" t="s">
        <v>655</v>
      </c>
      <c r="AM585" t="s">
        <v>656</v>
      </c>
      <c r="AN585" t="s">
        <v>1908</v>
      </c>
      <c r="AO585" t="s">
        <v>2316</v>
      </c>
      <c r="AP585" t="s">
        <v>2338</v>
      </c>
      <c r="AQ585" t="s">
        <v>74</v>
      </c>
      <c r="AR585" t="s">
        <v>2317</v>
      </c>
      <c r="AS585" t="s">
        <v>2318</v>
      </c>
      <c r="AT585" t="s">
        <v>9372</v>
      </c>
      <c r="AU585">
        <v>2012</v>
      </c>
      <c r="AV585">
        <v>35</v>
      </c>
      <c r="AW585">
        <v>2</v>
      </c>
      <c r="AX585" t="s">
        <v>74</v>
      </c>
      <c r="AY585" t="s">
        <v>74</v>
      </c>
      <c r="AZ585" t="s">
        <v>74</v>
      </c>
      <c r="BA585" t="s">
        <v>74</v>
      </c>
      <c r="BB585">
        <v>221</v>
      </c>
      <c r="BC585">
        <v>229</v>
      </c>
      <c r="BD585" t="s">
        <v>74</v>
      </c>
      <c r="BE585" t="s">
        <v>11101</v>
      </c>
      <c r="BF585" t="str">
        <f>HYPERLINK("http://dx.doi.org/10.1007/s00300-011-1063-5","http://dx.doi.org/10.1007/s00300-011-1063-5")</f>
        <v>http://dx.doi.org/10.1007/s00300-011-1063-5</v>
      </c>
      <c r="BG585" t="s">
        <v>74</v>
      </c>
      <c r="BH585" t="s">
        <v>74</v>
      </c>
      <c r="BI585">
        <v>9</v>
      </c>
      <c r="BJ585" t="s">
        <v>2320</v>
      </c>
      <c r="BK585" t="s">
        <v>99</v>
      </c>
      <c r="BL585" t="s">
        <v>1784</v>
      </c>
      <c r="BM585" t="s">
        <v>10339</v>
      </c>
      <c r="BN585" t="s">
        <v>74</v>
      </c>
      <c r="BO585" t="s">
        <v>74</v>
      </c>
      <c r="BP585" t="s">
        <v>74</v>
      </c>
      <c r="BQ585" t="s">
        <v>74</v>
      </c>
      <c r="BR585" t="s">
        <v>101</v>
      </c>
      <c r="BS585" t="s">
        <v>11102</v>
      </c>
      <c r="BT585" t="str">
        <f>HYPERLINK("https%3A%2F%2Fwww.webofscience.com%2Fwos%2Fwoscc%2Ffull-record%2FWOS:000298858100007","View Full Record in Web of Science")</f>
        <v>View Full Record in Web of Science</v>
      </c>
    </row>
    <row r="586" spans="1:72" x14ac:dyDescent="0.15">
      <c r="A586" t="s">
        <v>72</v>
      </c>
      <c r="B586" t="s">
        <v>11103</v>
      </c>
      <c r="C586" t="s">
        <v>74</v>
      </c>
      <c r="D586" t="s">
        <v>74</v>
      </c>
      <c r="E586" t="s">
        <v>74</v>
      </c>
      <c r="F586" t="s">
        <v>11104</v>
      </c>
      <c r="G586" t="s">
        <v>74</v>
      </c>
      <c r="H586" t="s">
        <v>74</v>
      </c>
      <c r="I586" t="s">
        <v>11105</v>
      </c>
      <c r="J586" t="s">
        <v>2303</v>
      </c>
      <c r="K586" t="s">
        <v>74</v>
      </c>
      <c r="L586" t="s">
        <v>74</v>
      </c>
      <c r="M586" t="s">
        <v>78</v>
      </c>
      <c r="N586" t="s">
        <v>79</v>
      </c>
      <c r="O586" t="s">
        <v>74</v>
      </c>
      <c r="P586" t="s">
        <v>74</v>
      </c>
      <c r="Q586" t="s">
        <v>74</v>
      </c>
      <c r="R586" t="s">
        <v>74</v>
      </c>
      <c r="S586" t="s">
        <v>74</v>
      </c>
      <c r="T586" t="s">
        <v>11106</v>
      </c>
      <c r="U586" t="s">
        <v>11107</v>
      </c>
      <c r="V586" t="s">
        <v>11108</v>
      </c>
      <c r="W586" t="s">
        <v>11109</v>
      </c>
      <c r="X586" t="s">
        <v>11110</v>
      </c>
      <c r="Y586" t="s">
        <v>11111</v>
      </c>
      <c r="Z586" t="s">
        <v>11112</v>
      </c>
      <c r="AA586" t="s">
        <v>74</v>
      </c>
      <c r="AB586" t="s">
        <v>74</v>
      </c>
      <c r="AC586" t="s">
        <v>11113</v>
      </c>
      <c r="AD586" t="s">
        <v>11114</v>
      </c>
      <c r="AE586" t="s">
        <v>11115</v>
      </c>
      <c r="AF586" t="s">
        <v>74</v>
      </c>
      <c r="AG586">
        <v>62</v>
      </c>
      <c r="AH586">
        <v>34</v>
      </c>
      <c r="AI586">
        <v>41</v>
      </c>
      <c r="AJ586">
        <v>1</v>
      </c>
      <c r="AK586">
        <v>52</v>
      </c>
      <c r="AL586" t="s">
        <v>655</v>
      </c>
      <c r="AM586" t="s">
        <v>656</v>
      </c>
      <c r="AN586" t="s">
        <v>1908</v>
      </c>
      <c r="AO586" t="s">
        <v>2316</v>
      </c>
      <c r="AP586" t="s">
        <v>2338</v>
      </c>
      <c r="AQ586" t="s">
        <v>74</v>
      </c>
      <c r="AR586" t="s">
        <v>2317</v>
      </c>
      <c r="AS586" t="s">
        <v>2318</v>
      </c>
      <c r="AT586" t="s">
        <v>9372</v>
      </c>
      <c r="AU586">
        <v>2012</v>
      </c>
      <c r="AV586">
        <v>35</v>
      </c>
      <c r="AW586">
        <v>2</v>
      </c>
      <c r="AX586" t="s">
        <v>74</v>
      </c>
      <c r="AY586" t="s">
        <v>74</v>
      </c>
      <c r="AZ586" t="s">
        <v>74</v>
      </c>
      <c r="BA586" t="s">
        <v>74</v>
      </c>
      <c r="BB586">
        <v>281</v>
      </c>
      <c r="BC586">
        <v>290</v>
      </c>
      <c r="BD586" t="s">
        <v>74</v>
      </c>
      <c r="BE586" t="s">
        <v>11116</v>
      </c>
      <c r="BF586" t="str">
        <f>HYPERLINK("http://dx.doi.org/10.1007/s00300-011-1075-1","http://dx.doi.org/10.1007/s00300-011-1075-1")</f>
        <v>http://dx.doi.org/10.1007/s00300-011-1075-1</v>
      </c>
      <c r="BG586" t="s">
        <v>74</v>
      </c>
      <c r="BH586" t="s">
        <v>74</v>
      </c>
      <c r="BI586">
        <v>10</v>
      </c>
      <c r="BJ586" t="s">
        <v>2320</v>
      </c>
      <c r="BK586" t="s">
        <v>99</v>
      </c>
      <c r="BL586" t="s">
        <v>1784</v>
      </c>
      <c r="BM586" t="s">
        <v>10339</v>
      </c>
      <c r="BN586" t="s">
        <v>74</v>
      </c>
      <c r="BO586" t="s">
        <v>74</v>
      </c>
      <c r="BP586" t="s">
        <v>74</v>
      </c>
      <c r="BQ586" t="s">
        <v>74</v>
      </c>
      <c r="BR586" t="s">
        <v>101</v>
      </c>
      <c r="BS586" t="s">
        <v>11117</v>
      </c>
      <c r="BT586" t="str">
        <f>HYPERLINK("https%3A%2F%2Fwww.webofscience.com%2Fwos%2Fwoscc%2Ffull-record%2FWOS:000298858100012","View Full Record in Web of Science")</f>
        <v>View Full Record in Web of Science</v>
      </c>
    </row>
    <row r="587" spans="1:72" x14ac:dyDescent="0.15">
      <c r="A587" t="s">
        <v>72</v>
      </c>
      <c r="B587" t="s">
        <v>11118</v>
      </c>
      <c r="C587" t="s">
        <v>74</v>
      </c>
      <c r="D587" t="s">
        <v>74</v>
      </c>
      <c r="E587" t="s">
        <v>74</v>
      </c>
      <c r="F587" t="s">
        <v>11119</v>
      </c>
      <c r="G587" t="s">
        <v>74</v>
      </c>
      <c r="H587" t="s">
        <v>74</v>
      </c>
      <c r="I587" t="s">
        <v>11120</v>
      </c>
      <c r="J587" t="s">
        <v>2303</v>
      </c>
      <c r="K587" t="s">
        <v>74</v>
      </c>
      <c r="L587" t="s">
        <v>74</v>
      </c>
      <c r="M587" t="s">
        <v>78</v>
      </c>
      <c r="N587" t="s">
        <v>79</v>
      </c>
      <c r="O587" t="s">
        <v>74</v>
      </c>
      <c r="P587" t="s">
        <v>74</v>
      </c>
      <c r="Q587" t="s">
        <v>74</v>
      </c>
      <c r="R587" t="s">
        <v>74</v>
      </c>
      <c r="S587" t="s">
        <v>74</v>
      </c>
      <c r="T587" t="s">
        <v>11121</v>
      </c>
      <c r="U587" t="s">
        <v>11122</v>
      </c>
      <c r="V587" t="s">
        <v>11123</v>
      </c>
      <c r="W587" t="s">
        <v>11124</v>
      </c>
      <c r="X587" t="s">
        <v>11125</v>
      </c>
      <c r="Y587" t="s">
        <v>11126</v>
      </c>
      <c r="Z587" t="s">
        <v>11127</v>
      </c>
      <c r="AA587" t="s">
        <v>11128</v>
      </c>
      <c r="AB587" t="s">
        <v>11129</v>
      </c>
      <c r="AC587" t="s">
        <v>11130</v>
      </c>
      <c r="AD587" t="s">
        <v>11131</v>
      </c>
      <c r="AE587" t="s">
        <v>11132</v>
      </c>
      <c r="AF587" t="s">
        <v>74</v>
      </c>
      <c r="AG587">
        <v>27</v>
      </c>
      <c r="AH587">
        <v>34</v>
      </c>
      <c r="AI587">
        <v>37</v>
      </c>
      <c r="AJ587">
        <v>0</v>
      </c>
      <c r="AK587">
        <v>52</v>
      </c>
      <c r="AL587" t="s">
        <v>655</v>
      </c>
      <c r="AM587" t="s">
        <v>656</v>
      </c>
      <c r="AN587" t="s">
        <v>1908</v>
      </c>
      <c r="AO587" t="s">
        <v>2316</v>
      </c>
      <c r="AP587" t="s">
        <v>2338</v>
      </c>
      <c r="AQ587" t="s">
        <v>74</v>
      </c>
      <c r="AR587" t="s">
        <v>2317</v>
      </c>
      <c r="AS587" t="s">
        <v>2318</v>
      </c>
      <c r="AT587" t="s">
        <v>9372</v>
      </c>
      <c r="AU587">
        <v>2012</v>
      </c>
      <c r="AV587">
        <v>35</v>
      </c>
      <c r="AW587">
        <v>2</v>
      </c>
      <c r="AX587" t="s">
        <v>74</v>
      </c>
      <c r="AY587" t="s">
        <v>74</v>
      </c>
      <c r="AZ587" t="s">
        <v>74</v>
      </c>
      <c r="BA587" t="s">
        <v>74</v>
      </c>
      <c r="BB587">
        <v>305</v>
      </c>
      <c r="BC587">
        <v>311</v>
      </c>
      <c r="BD587" t="s">
        <v>74</v>
      </c>
      <c r="BE587" t="s">
        <v>11133</v>
      </c>
      <c r="BF587" t="str">
        <f>HYPERLINK("http://dx.doi.org/10.1007/s00300-011-1064-4","http://dx.doi.org/10.1007/s00300-011-1064-4")</f>
        <v>http://dx.doi.org/10.1007/s00300-011-1064-4</v>
      </c>
      <c r="BG587" t="s">
        <v>74</v>
      </c>
      <c r="BH587" t="s">
        <v>74</v>
      </c>
      <c r="BI587">
        <v>7</v>
      </c>
      <c r="BJ587" t="s">
        <v>2320</v>
      </c>
      <c r="BK587" t="s">
        <v>99</v>
      </c>
      <c r="BL587" t="s">
        <v>1784</v>
      </c>
      <c r="BM587" t="s">
        <v>10339</v>
      </c>
      <c r="BN587" t="s">
        <v>74</v>
      </c>
      <c r="BO587" t="s">
        <v>156</v>
      </c>
      <c r="BP587" t="s">
        <v>74</v>
      </c>
      <c r="BQ587" t="s">
        <v>74</v>
      </c>
      <c r="BR587" t="s">
        <v>101</v>
      </c>
      <c r="BS587" t="s">
        <v>11134</v>
      </c>
      <c r="BT587" t="str">
        <f>HYPERLINK("https%3A%2F%2Fwww.webofscience.com%2Fwos%2Fwoscc%2Ffull-record%2FWOS:000298858100015","View Full Record in Web of Science")</f>
        <v>View Full Record in Web of Science</v>
      </c>
    </row>
    <row r="588" spans="1:72" x14ac:dyDescent="0.15">
      <c r="A588" t="s">
        <v>72</v>
      </c>
      <c r="B588" t="s">
        <v>11135</v>
      </c>
      <c r="C588" t="s">
        <v>74</v>
      </c>
      <c r="D588" t="s">
        <v>74</v>
      </c>
      <c r="E588" t="s">
        <v>74</v>
      </c>
      <c r="F588" t="s">
        <v>11136</v>
      </c>
      <c r="G588" t="s">
        <v>74</v>
      </c>
      <c r="H588" t="s">
        <v>74</v>
      </c>
      <c r="I588" t="s">
        <v>11137</v>
      </c>
      <c r="J588" t="s">
        <v>2303</v>
      </c>
      <c r="K588" t="s">
        <v>74</v>
      </c>
      <c r="L588" t="s">
        <v>74</v>
      </c>
      <c r="M588" t="s">
        <v>78</v>
      </c>
      <c r="N588" t="s">
        <v>79</v>
      </c>
      <c r="O588" t="s">
        <v>74</v>
      </c>
      <c r="P588" t="s">
        <v>74</v>
      </c>
      <c r="Q588" t="s">
        <v>74</v>
      </c>
      <c r="R588" t="s">
        <v>74</v>
      </c>
      <c r="S588" t="s">
        <v>74</v>
      </c>
      <c r="T588" t="s">
        <v>11138</v>
      </c>
      <c r="U588" t="s">
        <v>11139</v>
      </c>
      <c r="V588" t="s">
        <v>11140</v>
      </c>
      <c r="W588" t="s">
        <v>11141</v>
      </c>
      <c r="X588" t="s">
        <v>11142</v>
      </c>
      <c r="Y588" t="s">
        <v>11143</v>
      </c>
      <c r="Z588" t="s">
        <v>11144</v>
      </c>
      <c r="AA588" t="s">
        <v>74</v>
      </c>
      <c r="AB588" t="s">
        <v>11145</v>
      </c>
      <c r="AC588" t="s">
        <v>11146</v>
      </c>
      <c r="AD588" t="s">
        <v>11147</v>
      </c>
      <c r="AE588" t="s">
        <v>11148</v>
      </c>
      <c r="AF588" t="s">
        <v>74</v>
      </c>
      <c r="AG588">
        <v>32</v>
      </c>
      <c r="AH588">
        <v>1</v>
      </c>
      <c r="AI588">
        <v>1</v>
      </c>
      <c r="AJ588">
        <v>0</v>
      </c>
      <c r="AK588">
        <v>9</v>
      </c>
      <c r="AL588" t="s">
        <v>655</v>
      </c>
      <c r="AM588" t="s">
        <v>656</v>
      </c>
      <c r="AN588" t="s">
        <v>1908</v>
      </c>
      <c r="AO588" t="s">
        <v>2316</v>
      </c>
      <c r="AP588" t="s">
        <v>2338</v>
      </c>
      <c r="AQ588" t="s">
        <v>74</v>
      </c>
      <c r="AR588" t="s">
        <v>2317</v>
      </c>
      <c r="AS588" t="s">
        <v>2318</v>
      </c>
      <c r="AT588" t="s">
        <v>9372</v>
      </c>
      <c r="AU588">
        <v>2012</v>
      </c>
      <c r="AV588">
        <v>35</v>
      </c>
      <c r="AW588">
        <v>2</v>
      </c>
      <c r="AX588" t="s">
        <v>74</v>
      </c>
      <c r="AY588" t="s">
        <v>74</v>
      </c>
      <c r="AZ588" t="s">
        <v>74</v>
      </c>
      <c r="BA588" t="s">
        <v>74</v>
      </c>
      <c r="BB588">
        <v>313</v>
      </c>
      <c r="BC588">
        <v>317</v>
      </c>
      <c r="BD588" t="s">
        <v>74</v>
      </c>
      <c r="BE588" t="s">
        <v>11149</v>
      </c>
      <c r="BF588" t="str">
        <f>HYPERLINK("http://dx.doi.org/10.1007/s00300-011-1065-3","http://dx.doi.org/10.1007/s00300-011-1065-3")</f>
        <v>http://dx.doi.org/10.1007/s00300-011-1065-3</v>
      </c>
      <c r="BG588" t="s">
        <v>74</v>
      </c>
      <c r="BH588" t="s">
        <v>74</v>
      </c>
      <c r="BI588">
        <v>5</v>
      </c>
      <c r="BJ588" t="s">
        <v>2320</v>
      </c>
      <c r="BK588" t="s">
        <v>99</v>
      </c>
      <c r="BL588" t="s">
        <v>1784</v>
      </c>
      <c r="BM588" t="s">
        <v>10339</v>
      </c>
      <c r="BN588" t="s">
        <v>74</v>
      </c>
      <c r="BO588" t="s">
        <v>74</v>
      </c>
      <c r="BP588" t="s">
        <v>74</v>
      </c>
      <c r="BQ588" t="s">
        <v>74</v>
      </c>
      <c r="BR588" t="s">
        <v>101</v>
      </c>
      <c r="BS588" t="s">
        <v>11150</v>
      </c>
      <c r="BT588" t="str">
        <f>HYPERLINK("https%3A%2F%2Fwww.webofscience.com%2Fwos%2Fwoscc%2Ffull-record%2FWOS:000298858100016","View Full Record in Web of Science")</f>
        <v>View Full Record in Web of Science</v>
      </c>
    </row>
    <row r="589" spans="1:72" x14ac:dyDescent="0.15">
      <c r="A589" t="s">
        <v>72</v>
      </c>
      <c r="B589" t="s">
        <v>11151</v>
      </c>
      <c r="C589" t="s">
        <v>74</v>
      </c>
      <c r="D589" t="s">
        <v>74</v>
      </c>
      <c r="E589" t="s">
        <v>74</v>
      </c>
      <c r="F589" t="s">
        <v>11152</v>
      </c>
      <c r="G589" t="s">
        <v>74</v>
      </c>
      <c r="H589" t="s">
        <v>74</v>
      </c>
      <c r="I589" t="s">
        <v>11153</v>
      </c>
      <c r="J589" t="s">
        <v>9695</v>
      </c>
      <c r="K589" t="s">
        <v>74</v>
      </c>
      <c r="L589" t="s">
        <v>74</v>
      </c>
      <c r="M589" t="s">
        <v>78</v>
      </c>
      <c r="N589" t="s">
        <v>79</v>
      </c>
      <c r="O589" t="s">
        <v>74</v>
      </c>
      <c r="P589" t="s">
        <v>74</v>
      </c>
      <c r="Q589" t="s">
        <v>74</v>
      </c>
      <c r="R589" t="s">
        <v>74</v>
      </c>
      <c r="S589" t="s">
        <v>74</v>
      </c>
      <c r="T589" t="s">
        <v>11154</v>
      </c>
      <c r="U589" t="s">
        <v>11155</v>
      </c>
      <c r="V589" t="s">
        <v>11156</v>
      </c>
      <c r="W589" t="s">
        <v>11157</v>
      </c>
      <c r="X589" t="s">
        <v>11158</v>
      </c>
      <c r="Y589" t="s">
        <v>11159</v>
      </c>
      <c r="Z589" t="s">
        <v>11160</v>
      </c>
      <c r="AA589" t="s">
        <v>11161</v>
      </c>
      <c r="AB589" t="s">
        <v>11162</v>
      </c>
      <c r="AC589" t="s">
        <v>11163</v>
      </c>
      <c r="AD589" t="s">
        <v>11164</v>
      </c>
      <c r="AE589" t="s">
        <v>11165</v>
      </c>
      <c r="AF589" t="s">
        <v>74</v>
      </c>
      <c r="AG589">
        <v>65</v>
      </c>
      <c r="AH589">
        <v>31</v>
      </c>
      <c r="AI589">
        <v>33</v>
      </c>
      <c r="AJ589">
        <v>2</v>
      </c>
      <c r="AK589">
        <v>19</v>
      </c>
      <c r="AL589" t="s">
        <v>935</v>
      </c>
      <c r="AM589" t="s">
        <v>369</v>
      </c>
      <c r="AN589" t="s">
        <v>936</v>
      </c>
      <c r="AO589" t="s">
        <v>9707</v>
      </c>
      <c r="AP589" t="s">
        <v>9708</v>
      </c>
      <c r="AQ589" t="s">
        <v>74</v>
      </c>
      <c r="AR589" t="s">
        <v>9709</v>
      </c>
      <c r="AS589" t="s">
        <v>9710</v>
      </c>
      <c r="AT589" t="s">
        <v>9372</v>
      </c>
      <c r="AU589">
        <v>2012</v>
      </c>
      <c r="AV589">
        <v>196</v>
      </c>
      <c r="AW589" t="s">
        <v>74</v>
      </c>
      <c r="AX589" t="s">
        <v>74</v>
      </c>
      <c r="AY589" t="s">
        <v>74</v>
      </c>
      <c r="AZ589" t="s">
        <v>74</v>
      </c>
      <c r="BA589" t="s">
        <v>74</v>
      </c>
      <c r="BB589">
        <v>275</v>
      </c>
      <c r="BC589">
        <v>294</v>
      </c>
      <c r="BD589" t="s">
        <v>74</v>
      </c>
      <c r="BE589" t="s">
        <v>11166</v>
      </c>
      <c r="BF589" t="str">
        <f>HYPERLINK("http://dx.doi.org/10.1016/j.precamres.2011.05.012","http://dx.doi.org/10.1016/j.precamres.2011.05.012")</f>
        <v>http://dx.doi.org/10.1016/j.precamres.2011.05.012</v>
      </c>
      <c r="BG589" t="s">
        <v>74</v>
      </c>
      <c r="BH589" t="s">
        <v>74</v>
      </c>
      <c r="BI589">
        <v>20</v>
      </c>
      <c r="BJ589" t="s">
        <v>194</v>
      </c>
      <c r="BK589" t="s">
        <v>99</v>
      </c>
      <c r="BL589" t="s">
        <v>195</v>
      </c>
      <c r="BM589" t="s">
        <v>9712</v>
      </c>
      <c r="BN589" t="s">
        <v>74</v>
      </c>
      <c r="BO589" t="s">
        <v>2812</v>
      </c>
      <c r="BP589" t="s">
        <v>74</v>
      </c>
      <c r="BQ589" t="s">
        <v>74</v>
      </c>
      <c r="BR589" t="s">
        <v>101</v>
      </c>
      <c r="BS589" t="s">
        <v>11167</v>
      </c>
      <c r="BT589" t="str">
        <f>HYPERLINK("https%3A%2F%2Fwww.webofscience.com%2Fwos%2Fwoscc%2Ffull-record%2FWOS:000301036500016","View Full Record in Web of Science")</f>
        <v>View Full Record in Web of Science</v>
      </c>
    </row>
    <row r="590" spans="1:72" x14ac:dyDescent="0.15">
      <c r="A590" t="s">
        <v>72</v>
      </c>
      <c r="B590" t="s">
        <v>11168</v>
      </c>
      <c r="C590" t="s">
        <v>74</v>
      </c>
      <c r="D590" t="s">
        <v>74</v>
      </c>
      <c r="E590" t="s">
        <v>74</v>
      </c>
      <c r="F590" t="s">
        <v>11169</v>
      </c>
      <c r="G590" t="s">
        <v>74</v>
      </c>
      <c r="H590" t="s">
        <v>74</v>
      </c>
      <c r="I590" t="s">
        <v>11170</v>
      </c>
      <c r="J590" t="s">
        <v>11171</v>
      </c>
      <c r="K590" t="s">
        <v>74</v>
      </c>
      <c r="L590" t="s">
        <v>74</v>
      </c>
      <c r="M590" t="s">
        <v>78</v>
      </c>
      <c r="N590" t="s">
        <v>79</v>
      </c>
      <c r="O590" t="s">
        <v>74</v>
      </c>
      <c r="P590" t="s">
        <v>74</v>
      </c>
      <c r="Q590" t="s">
        <v>74</v>
      </c>
      <c r="R590" t="s">
        <v>74</v>
      </c>
      <c r="S590" t="s">
        <v>74</v>
      </c>
      <c r="T590" t="s">
        <v>11172</v>
      </c>
      <c r="U590" t="s">
        <v>11173</v>
      </c>
      <c r="V590" t="s">
        <v>11174</v>
      </c>
      <c r="W590" t="s">
        <v>11175</v>
      </c>
      <c r="X590" t="s">
        <v>11176</v>
      </c>
      <c r="Y590" t="s">
        <v>11177</v>
      </c>
      <c r="Z590" t="s">
        <v>11178</v>
      </c>
      <c r="AA590" t="s">
        <v>11179</v>
      </c>
      <c r="AB590" t="s">
        <v>11180</v>
      </c>
      <c r="AC590" t="s">
        <v>11181</v>
      </c>
      <c r="AD590" t="s">
        <v>11182</v>
      </c>
      <c r="AE590" t="s">
        <v>11183</v>
      </c>
      <c r="AF590" t="s">
        <v>74</v>
      </c>
      <c r="AG590">
        <v>54</v>
      </c>
      <c r="AH590">
        <v>18</v>
      </c>
      <c r="AI590">
        <v>18</v>
      </c>
      <c r="AJ590">
        <v>0</v>
      </c>
      <c r="AK590">
        <v>14</v>
      </c>
      <c r="AL590" t="s">
        <v>1595</v>
      </c>
      <c r="AM590" t="s">
        <v>278</v>
      </c>
      <c r="AN590" t="s">
        <v>1596</v>
      </c>
      <c r="AO590" t="s">
        <v>11184</v>
      </c>
      <c r="AP590" t="s">
        <v>11185</v>
      </c>
      <c r="AQ590" t="s">
        <v>74</v>
      </c>
      <c r="AR590" t="s">
        <v>11186</v>
      </c>
      <c r="AS590" t="s">
        <v>11187</v>
      </c>
      <c r="AT590" t="s">
        <v>9372</v>
      </c>
      <c r="AU590">
        <v>2012</v>
      </c>
      <c r="AV590">
        <v>7</v>
      </c>
      <c r="AW590">
        <v>1</v>
      </c>
      <c r="AX590" t="s">
        <v>74</v>
      </c>
      <c r="AY590" t="s">
        <v>74</v>
      </c>
      <c r="AZ590" t="s">
        <v>74</v>
      </c>
      <c r="BA590" t="s">
        <v>74</v>
      </c>
      <c r="BB590">
        <v>67</v>
      </c>
      <c r="BC590">
        <v>75</v>
      </c>
      <c r="BD590" t="s">
        <v>74</v>
      </c>
      <c r="BE590" t="s">
        <v>11188</v>
      </c>
      <c r="BF590" t="str">
        <f>HYPERLINK("http://dx.doi.org/10.1016/j.quageo.2011.10.002","http://dx.doi.org/10.1016/j.quageo.2011.10.002")</f>
        <v>http://dx.doi.org/10.1016/j.quageo.2011.10.002</v>
      </c>
      <c r="BG590" t="s">
        <v>74</v>
      </c>
      <c r="BH590" t="s">
        <v>74</v>
      </c>
      <c r="BI590">
        <v>9</v>
      </c>
      <c r="BJ590" t="s">
        <v>943</v>
      </c>
      <c r="BK590" t="s">
        <v>99</v>
      </c>
      <c r="BL590" t="s">
        <v>944</v>
      </c>
      <c r="BM590" t="s">
        <v>11189</v>
      </c>
      <c r="BN590" t="s">
        <v>74</v>
      </c>
      <c r="BO590" t="s">
        <v>74</v>
      </c>
      <c r="BP590" t="s">
        <v>74</v>
      </c>
      <c r="BQ590" t="s">
        <v>74</v>
      </c>
      <c r="BR590" t="s">
        <v>101</v>
      </c>
      <c r="BS590" t="s">
        <v>11190</v>
      </c>
      <c r="BT590" t="str">
        <f>HYPERLINK("https%3A%2F%2Fwww.webofscience.com%2Fwos%2Fwoscc%2Ffull-record%2FWOS:000298572100008","View Full Record in Web of Science")</f>
        <v>View Full Record in Web of Science</v>
      </c>
    </row>
    <row r="591" spans="1:72" x14ac:dyDescent="0.15">
      <c r="A591" t="s">
        <v>72</v>
      </c>
      <c r="B591" t="s">
        <v>11191</v>
      </c>
      <c r="C591" t="s">
        <v>74</v>
      </c>
      <c r="D591" t="s">
        <v>74</v>
      </c>
      <c r="E591" t="s">
        <v>74</v>
      </c>
      <c r="F591" t="s">
        <v>11192</v>
      </c>
      <c r="G591" t="s">
        <v>74</v>
      </c>
      <c r="H591" t="s">
        <v>74</v>
      </c>
      <c r="I591" t="s">
        <v>11193</v>
      </c>
      <c r="J591" t="s">
        <v>1051</v>
      </c>
      <c r="K591" t="s">
        <v>74</v>
      </c>
      <c r="L591" t="s">
        <v>74</v>
      </c>
      <c r="M591" t="s">
        <v>78</v>
      </c>
      <c r="N591" t="s">
        <v>79</v>
      </c>
      <c r="O591" t="s">
        <v>74</v>
      </c>
      <c r="P591" t="s">
        <v>74</v>
      </c>
      <c r="Q591" t="s">
        <v>74</v>
      </c>
      <c r="R591" t="s">
        <v>74</v>
      </c>
      <c r="S591" t="s">
        <v>74</v>
      </c>
      <c r="T591" t="s">
        <v>11194</v>
      </c>
      <c r="U591" t="s">
        <v>11195</v>
      </c>
      <c r="V591" t="s">
        <v>11196</v>
      </c>
      <c r="W591" t="s">
        <v>11197</v>
      </c>
      <c r="X591" t="s">
        <v>11198</v>
      </c>
      <c r="Y591" t="s">
        <v>11199</v>
      </c>
      <c r="Z591" t="s">
        <v>11200</v>
      </c>
      <c r="AA591" t="s">
        <v>74</v>
      </c>
      <c r="AB591" t="s">
        <v>11201</v>
      </c>
      <c r="AC591" t="s">
        <v>11202</v>
      </c>
      <c r="AD591" t="s">
        <v>11203</v>
      </c>
      <c r="AE591" t="s">
        <v>11204</v>
      </c>
      <c r="AF591" t="s">
        <v>74</v>
      </c>
      <c r="AG591">
        <v>96</v>
      </c>
      <c r="AH591">
        <v>50</v>
      </c>
      <c r="AI591">
        <v>56</v>
      </c>
      <c r="AJ591">
        <v>0</v>
      </c>
      <c r="AK591">
        <v>15</v>
      </c>
      <c r="AL591" t="s">
        <v>368</v>
      </c>
      <c r="AM591" t="s">
        <v>369</v>
      </c>
      <c r="AN591" t="s">
        <v>370</v>
      </c>
      <c r="AO591" t="s">
        <v>1061</v>
      </c>
      <c r="AP591" t="s">
        <v>74</v>
      </c>
      <c r="AQ591" t="s">
        <v>74</v>
      </c>
      <c r="AR591" t="s">
        <v>1062</v>
      </c>
      <c r="AS591" t="s">
        <v>1063</v>
      </c>
      <c r="AT591" t="s">
        <v>9594</v>
      </c>
      <c r="AU591">
        <v>2012</v>
      </c>
      <c r="AV591">
        <v>171</v>
      </c>
      <c r="AW591" t="s">
        <v>74</v>
      </c>
      <c r="AX591" t="s">
        <v>74</v>
      </c>
      <c r="AY591" t="s">
        <v>74</v>
      </c>
      <c r="AZ591" t="s">
        <v>74</v>
      </c>
      <c r="BA591" t="s">
        <v>74</v>
      </c>
      <c r="BB591">
        <v>40</v>
      </c>
      <c r="BC591">
        <v>56</v>
      </c>
      <c r="BD591" t="s">
        <v>74</v>
      </c>
      <c r="BE591" t="s">
        <v>11205</v>
      </c>
      <c r="BF591" t="str">
        <f>HYPERLINK("http://dx.doi.org/10.1016/j.revpalbo.2011.11.004","http://dx.doi.org/10.1016/j.revpalbo.2011.11.004")</f>
        <v>http://dx.doi.org/10.1016/j.revpalbo.2011.11.004</v>
      </c>
      <c r="BG591" t="s">
        <v>74</v>
      </c>
      <c r="BH591" t="s">
        <v>74</v>
      </c>
      <c r="BI591">
        <v>17</v>
      </c>
      <c r="BJ591" t="s">
        <v>1066</v>
      </c>
      <c r="BK591" t="s">
        <v>99</v>
      </c>
      <c r="BL591" t="s">
        <v>1066</v>
      </c>
      <c r="BM591" t="s">
        <v>11206</v>
      </c>
      <c r="BN591" t="s">
        <v>74</v>
      </c>
      <c r="BO591" t="s">
        <v>2812</v>
      </c>
      <c r="BP591" t="s">
        <v>74</v>
      </c>
      <c r="BQ591" t="s">
        <v>74</v>
      </c>
      <c r="BR591" t="s">
        <v>101</v>
      </c>
      <c r="BS591" t="s">
        <v>11207</v>
      </c>
      <c r="BT591" t="str">
        <f>HYPERLINK("https%3A%2F%2Fwww.webofscience.com%2Fwos%2Fwoscc%2Ffull-record%2FWOS:000302456300005","View Full Record in Web of Science")</f>
        <v>View Full Record in Web of Science</v>
      </c>
    </row>
    <row r="592" spans="1:72" x14ac:dyDescent="0.15">
      <c r="A592" t="s">
        <v>72</v>
      </c>
      <c r="B592" t="s">
        <v>11208</v>
      </c>
      <c r="C592" t="s">
        <v>74</v>
      </c>
      <c r="D592" t="s">
        <v>74</v>
      </c>
      <c r="E592" t="s">
        <v>74</v>
      </c>
      <c r="F592" t="s">
        <v>11209</v>
      </c>
      <c r="G592" t="s">
        <v>74</v>
      </c>
      <c r="H592" t="s">
        <v>74</v>
      </c>
      <c r="I592" t="s">
        <v>11210</v>
      </c>
      <c r="J592" t="s">
        <v>11211</v>
      </c>
      <c r="K592" t="s">
        <v>74</v>
      </c>
      <c r="L592" t="s">
        <v>74</v>
      </c>
      <c r="M592" t="s">
        <v>78</v>
      </c>
      <c r="N592" t="s">
        <v>79</v>
      </c>
      <c r="O592" t="s">
        <v>74</v>
      </c>
      <c r="P592" t="s">
        <v>74</v>
      </c>
      <c r="Q592" t="s">
        <v>74</v>
      </c>
      <c r="R592" t="s">
        <v>74</v>
      </c>
      <c r="S592" t="s">
        <v>74</v>
      </c>
      <c r="T592" t="s">
        <v>11212</v>
      </c>
      <c r="U592" t="s">
        <v>11213</v>
      </c>
      <c r="V592" t="s">
        <v>11214</v>
      </c>
      <c r="W592" t="s">
        <v>11215</v>
      </c>
      <c r="X592" t="s">
        <v>11216</v>
      </c>
      <c r="Y592" t="s">
        <v>11217</v>
      </c>
      <c r="Z592" t="s">
        <v>5537</v>
      </c>
      <c r="AA592" t="s">
        <v>11218</v>
      </c>
      <c r="AB592" t="s">
        <v>11219</v>
      </c>
      <c r="AC592" t="s">
        <v>11220</v>
      </c>
      <c r="AD592" t="s">
        <v>11221</v>
      </c>
      <c r="AE592" t="s">
        <v>11222</v>
      </c>
      <c r="AF592" t="s">
        <v>74</v>
      </c>
      <c r="AG592">
        <v>63</v>
      </c>
      <c r="AH592">
        <v>12</v>
      </c>
      <c r="AI592">
        <v>14</v>
      </c>
      <c r="AJ592">
        <v>0</v>
      </c>
      <c r="AK592">
        <v>25</v>
      </c>
      <c r="AL592" t="s">
        <v>277</v>
      </c>
      <c r="AM592" t="s">
        <v>278</v>
      </c>
      <c r="AN592" t="s">
        <v>279</v>
      </c>
      <c r="AO592" t="s">
        <v>11223</v>
      </c>
      <c r="AP592" t="s">
        <v>74</v>
      </c>
      <c r="AQ592" t="s">
        <v>74</v>
      </c>
      <c r="AR592" t="s">
        <v>11224</v>
      </c>
      <c r="AS592" t="s">
        <v>11225</v>
      </c>
      <c r="AT592" t="s">
        <v>9372</v>
      </c>
      <c r="AU592">
        <v>2012</v>
      </c>
      <c r="AV592">
        <v>45</v>
      </c>
      <c r="AW592" t="s">
        <v>74</v>
      </c>
      <c r="AX592" t="s">
        <v>74</v>
      </c>
      <c r="AY592" t="s">
        <v>74</v>
      </c>
      <c r="AZ592" t="s">
        <v>74</v>
      </c>
      <c r="BA592" t="s">
        <v>74</v>
      </c>
      <c r="BB592">
        <v>49</v>
      </c>
      <c r="BC592">
        <v>60</v>
      </c>
      <c r="BD592" t="s">
        <v>74</v>
      </c>
      <c r="BE592" t="s">
        <v>11226</v>
      </c>
      <c r="BF592" t="str">
        <f>HYPERLINK("http://dx.doi.org/10.1016/j.soilbio.2011.10.001","http://dx.doi.org/10.1016/j.soilbio.2011.10.001")</f>
        <v>http://dx.doi.org/10.1016/j.soilbio.2011.10.001</v>
      </c>
      <c r="BG592" t="s">
        <v>74</v>
      </c>
      <c r="BH592" t="s">
        <v>74</v>
      </c>
      <c r="BI592">
        <v>12</v>
      </c>
      <c r="BJ592" t="s">
        <v>4692</v>
      </c>
      <c r="BK592" t="s">
        <v>99</v>
      </c>
      <c r="BL592" t="s">
        <v>4693</v>
      </c>
      <c r="BM592" t="s">
        <v>11227</v>
      </c>
      <c r="BN592" t="s">
        <v>74</v>
      </c>
      <c r="BO592" t="s">
        <v>74</v>
      </c>
      <c r="BP592" t="s">
        <v>74</v>
      </c>
      <c r="BQ592" t="s">
        <v>74</v>
      </c>
      <c r="BR592" t="s">
        <v>101</v>
      </c>
      <c r="BS592" t="s">
        <v>11228</v>
      </c>
      <c r="BT592" t="str">
        <f>HYPERLINK("https%3A%2F%2Fwww.webofscience.com%2Fwos%2Fwoscc%2Ffull-record%2FWOS:000299983700007","View Full Record in Web of Science")</f>
        <v>View Full Record in Web of Science</v>
      </c>
    </row>
    <row r="593" spans="1:72" x14ac:dyDescent="0.15">
      <c r="A593" t="s">
        <v>72</v>
      </c>
      <c r="B593" t="s">
        <v>11229</v>
      </c>
      <c r="C593" t="s">
        <v>74</v>
      </c>
      <c r="D593" t="s">
        <v>74</v>
      </c>
      <c r="E593" t="s">
        <v>74</v>
      </c>
      <c r="F593" t="s">
        <v>11230</v>
      </c>
      <c r="G593" t="s">
        <v>74</v>
      </c>
      <c r="H593" t="s">
        <v>74</v>
      </c>
      <c r="I593" t="s">
        <v>11231</v>
      </c>
      <c r="J593" t="s">
        <v>9160</v>
      </c>
      <c r="K593" t="s">
        <v>74</v>
      </c>
      <c r="L593" t="s">
        <v>74</v>
      </c>
      <c r="M593" t="s">
        <v>78</v>
      </c>
      <c r="N593" t="s">
        <v>79</v>
      </c>
      <c r="O593" t="s">
        <v>74</v>
      </c>
      <c r="P593" t="s">
        <v>74</v>
      </c>
      <c r="Q593" t="s">
        <v>74</v>
      </c>
      <c r="R593" t="s">
        <v>74</v>
      </c>
      <c r="S593" t="s">
        <v>74</v>
      </c>
      <c r="T593" t="s">
        <v>11232</v>
      </c>
      <c r="U593" t="s">
        <v>11233</v>
      </c>
      <c r="V593" t="s">
        <v>11234</v>
      </c>
      <c r="W593" t="s">
        <v>11235</v>
      </c>
      <c r="X593" t="s">
        <v>11236</v>
      </c>
      <c r="Y593" t="s">
        <v>11237</v>
      </c>
      <c r="Z593" t="s">
        <v>11238</v>
      </c>
      <c r="AA593" t="s">
        <v>11239</v>
      </c>
      <c r="AB593" t="s">
        <v>11240</v>
      </c>
      <c r="AC593" t="s">
        <v>11241</v>
      </c>
      <c r="AD593" t="s">
        <v>11242</v>
      </c>
      <c r="AE593" t="s">
        <v>11243</v>
      </c>
      <c r="AF593" t="s">
        <v>74</v>
      </c>
      <c r="AG593">
        <v>61</v>
      </c>
      <c r="AH593">
        <v>9</v>
      </c>
      <c r="AI593">
        <v>10</v>
      </c>
      <c r="AJ593">
        <v>1</v>
      </c>
      <c r="AK593">
        <v>25</v>
      </c>
      <c r="AL593" t="s">
        <v>368</v>
      </c>
      <c r="AM593" t="s">
        <v>369</v>
      </c>
      <c r="AN593" t="s">
        <v>370</v>
      </c>
      <c r="AO593" t="s">
        <v>9173</v>
      </c>
      <c r="AP593" t="s">
        <v>74</v>
      </c>
      <c r="AQ593" t="s">
        <v>74</v>
      </c>
      <c r="AR593" t="s">
        <v>9175</v>
      </c>
      <c r="AS593" t="s">
        <v>9176</v>
      </c>
      <c r="AT593" t="s">
        <v>11244</v>
      </c>
      <c r="AU593">
        <v>2012</v>
      </c>
      <c r="AV593">
        <v>412</v>
      </c>
      <c r="AW593" t="s">
        <v>74</v>
      </c>
      <c r="AX593" t="s">
        <v>74</v>
      </c>
      <c r="AY593" t="s">
        <v>74</v>
      </c>
      <c r="AZ593" t="s">
        <v>74</v>
      </c>
      <c r="BA593" t="s">
        <v>74</v>
      </c>
      <c r="BB593">
        <v>13</v>
      </c>
      <c r="BC593">
        <v>19</v>
      </c>
      <c r="BD593" t="s">
        <v>74</v>
      </c>
      <c r="BE593" t="s">
        <v>11245</v>
      </c>
      <c r="BF593" t="str">
        <f>HYPERLINK("http://dx.doi.org/10.1016/j.jembe.2011.10.010","http://dx.doi.org/10.1016/j.jembe.2011.10.010")</f>
        <v>http://dx.doi.org/10.1016/j.jembe.2011.10.010</v>
      </c>
      <c r="BG593" t="s">
        <v>74</v>
      </c>
      <c r="BH593" t="s">
        <v>74</v>
      </c>
      <c r="BI593">
        <v>7</v>
      </c>
      <c r="BJ593" t="s">
        <v>9179</v>
      </c>
      <c r="BK593" t="s">
        <v>99</v>
      </c>
      <c r="BL593" t="s">
        <v>1145</v>
      </c>
      <c r="BM593" t="s">
        <v>11246</v>
      </c>
      <c r="BN593" t="s">
        <v>74</v>
      </c>
      <c r="BO593" t="s">
        <v>74</v>
      </c>
      <c r="BP593" t="s">
        <v>74</v>
      </c>
      <c r="BQ593" t="s">
        <v>74</v>
      </c>
      <c r="BR593" t="s">
        <v>101</v>
      </c>
      <c r="BS593" t="s">
        <v>11247</v>
      </c>
      <c r="BT593" t="str">
        <f>HYPERLINK("https%3A%2F%2Fwww.webofscience.com%2Fwos%2Fwoscc%2Ffull-record%2FWOS:000301316700002","View Full Record in Web of Science")</f>
        <v>View Full Record in Web of Science</v>
      </c>
    </row>
    <row r="594" spans="1:72" x14ac:dyDescent="0.15">
      <c r="A594" t="s">
        <v>72</v>
      </c>
      <c r="B594" t="s">
        <v>11248</v>
      </c>
      <c r="C594" t="s">
        <v>74</v>
      </c>
      <c r="D594" t="s">
        <v>74</v>
      </c>
      <c r="E594" t="s">
        <v>74</v>
      </c>
      <c r="F594" t="s">
        <v>11249</v>
      </c>
      <c r="G594" t="s">
        <v>74</v>
      </c>
      <c r="H594" t="s">
        <v>74</v>
      </c>
      <c r="I594" t="s">
        <v>11250</v>
      </c>
      <c r="J594" t="s">
        <v>5876</v>
      </c>
      <c r="K594" t="s">
        <v>74</v>
      </c>
      <c r="L594" t="s">
        <v>74</v>
      </c>
      <c r="M594" t="s">
        <v>78</v>
      </c>
      <c r="N594" t="s">
        <v>79</v>
      </c>
      <c r="O594" t="s">
        <v>74</v>
      </c>
      <c r="P594" t="s">
        <v>74</v>
      </c>
      <c r="Q594" t="s">
        <v>74</v>
      </c>
      <c r="R594" t="s">
        <v>74</v>
      </c>
      <c r="S594" t="s">
        <v>74</v>
      </c>
      <c r="T594" t="s">
        <v>74</v>
      </c>
      <c r="U594" t="s">
        <v>11251</v>
      </c>
      <c r="V594" t="s">
        <v>11252</v>
      </c>
      <c r="W594" t="s">
        <v>11253</v>
      </c>
      <c r="X594" t="s">
        <v>5880</v>
      </c>
      <c r="Y594" t="s">
        <v>11254</v>
      </c>
      <c r="Z594" t="s">
        <v>11255</v>
      </c>
      <c r="AA594" t="s">
        <v>11256</v>
      </c>
      <c r="AB594" t="s">
        <v>11257</v>
      </c>
      <c r="AC594" t="s">
        <v>11258</v>
      </c>
      <c r="AD594" t="s">
        <v>11259</v>
      </c>
      <c r="AE594" t="s">
        <v>11260</v>
      </c>
      <c r="AF594" t="s">
        <v>74</v>
      </c>
      <c r="AG594">
        <v>27</v>
      </c>
      <c r="AH594">
        <v>82</v>
      </c>
      <c r="AI594">
        <v>88</v>
      </c>
      <c r="AJ594">
        <v>0</v>
      </c>
      <c r="AK594">
        <v>4</v>
      </c>
      <c r="AL594" t="s">
        <v>5888</v>
      </c>
      <c r="AM594" t="s">
        <v>5889</v>
      </c>
      <c r="AN594" t="s">
        <v>5890</v>
      </c>
      <c r="AO594" t="s">
        <v>5891</v>
      </c>
      <c r="AP594" t="s">
        <v>74</v>
      </c>
      <c r="AQ594" t="s">
        <v>74</v>
      </c>
      <c r="AR594" t="s">
        <v>5893</v>
      </c>
      <c r="AS594" t="s">
        <v>5894</v>
      </c>
      <c r="AT594" t="s">
        <v>11244</v>
      </c>
      <c r="AU594">
        <v>2012</v>
      </c>
      <c r="AV594">
        <v>108</v>
      </c>
      <c r="AW594">
        <v>5</v>
      </c>
      <c r="AX594" t="s">
        <v>74</v>
      </c>
      <c r="AY594" t="s">
        <v>74</v>
      </c>
      <c r="AZ594" t="s">
        <v>74</v>
      </c>
      <c r="BA594" t="s">
        <v>74</v>
      </c>
      <c r="BB594" t="s">
        <v>74</v>
      </c>
      <c r="BC594" t="s">
        <v>74</v>
      </c>
      <c r="BD594">
        <v>51102</v>
      </c>
      <c r="BE594" t="s">
        <v>11261</v>
      </c>
      <c r="BF594" t="str">
        <f>HYPERLINK("http://dx.doi.org/10.1103/PhysRevLett.108.051102","http://dx.doi.org/10.1103/PhysRevLett.108.051102")</f>
        <v>http://dx.doi.org/10.1103/PhysRevLett.108.051102</v>
      </c>
      <c r="BG594" t="s">
        <v>74</v>
      </c>
      <c r="BH594" t="s">
        <v>74</v>
      </c>
      <c r="BI594">
        <v>5</v>
      </c>
      <c r="BJ594" t="s">
        <v>3677</v>
      </c>
      <c r="BK594" t="s">
        <v>99</v>
      </c>
      <c r="BL594" t="s">
        <v>3678</v>
      </c>
      <c r="BM594" t="s">
        <v>11262</v>
      </c>
      <c r="BN594">
        <v>22400920</v>
      </c>
      <c r="BO594" t="s">
        <v>5252</v>
      </c>
      <c r="BP594" t="s">
        <v>74</v>
      </c>
      <c r="BQ594" t="s">
        <v>74</v>
      </c>
      <c r="BR594" t="s">
        <v>101</v>
      </c>
      <c r="BS594" t="s">
        <v>11263</v>
      </c>
      <c r="BT594" t="str">
        <f>HYPERLINK("https%3A%2F%2Fwww.webofscience.com%2Fwos%2Fwoscc%2Ffull-record%2FWOS:000299832900002","View Full Record in Web of Science")</f>
        <v>View Full Record in Web of Science</v>
      </c>
    </row>
    <row r="595" spans="1:72" x14ac:dyDescent="0.15">
      <c r="A595" t="s">
        <v>72</v>
      </c>
      <c r="B595" t="s">
        <v>11264</v>
      </c>
      <c r="C595" t="s">
        <v>74</v>
      </c>
      <c r="D595" t="s">
        <v>74</v>
      </c>
      <c r="E595" t="s">
        <v>74</v>
      </c>
      <c r="F595" t="s">
        <v>11265</v>
      </c>
      <c r="G595" t="s">
        <v>74</v>
      </c>
      <c r="H595" t="s">
        <v>74</v>
      </c>
      <c r="I595" t="s">
        <v>11266</v>
      </c>
      <c r="J595" t="s">
        <v>106</v>
      </c>
      <c r="K595" t="s">
        <v>74</v>
      </c>
      <c r="L595" t="s">
        <v>74</v>
      </c>
      <c r="M595" t="s">
        <v>78</v>
      </c>
      <c r="N595" t="s">
        <v>79</v>
      </c>
      <c r="O595" t="s">
        <v>74</v>
      </c>
      <c r="P595" t="s">
        <v>74</v>
      </c>
      <c r="Q595" t="s">
        <v>74</v>
      </c>
      <c r="R595" t="s">
        <v>74</v>
      </c>
      <c r="S595" t="s">
        <v>74</v>
      </c>
      <c r="T595" t="s">
        <v>74</v>
      </c>
      <c r="U595" t="s">
        <v>11267</v>
      </c>
      <c r="V595" t="s">
        <v>11268</v>
      </c>
      <c r="W595" t="s">
        <v>11269</v>
      </c>
      <c r="X595" t="s">
        <v>11270</v>
      </c>
      <c r="Y595" t="s">
        <v>11271</v>
      </c>
      <c r="Z595" t="s">
        <v>11272</v>
      </c>
      <c r="AA595" t="s">
        <v>11273</v>
      </c>
      <c r="AB595" t="s">
        <v>11274</v>
      </c>
      <c r="AC595" t="s">
        <v>11275</v>
      </c>
      <c r="AD595" t="s">
        <v>11276</v>
      </c>
      <c r="AE595" t="s">
        <v>11277</v>
      </c>
      <c r="AF595" t="s">
        <v>74</v>
      </c>
      <c r="AG595">
        <v>35</v>
      </c>
      <c r="AH595">
        <v>46</v>
      </c>
      <c r="AI595">
        <v>47</v>
      </c>
      <c r="AJ595">
        <v>0</v>
      </c>
      <c r="AK595">
        <v>9</v>
      </c>
      <c r="AL595" t="s">
        <v>118</v>
      </c>
      <c r="AM595" t="s">
        <v>119</v>
      </c>
      <c r="AN595" t="s">
        <v>120</v>
      </c>
      <c r="AO595" t="s">
        <v>121</v>
      </c>
      <c r="AP595" t="s">
        <v>122</v>
      </c>
      <c r="AQ595" t="s">
        <v>74</v>
      </c>
      <c r="AR595" t="s">
        <v>123</v>
      </c>
      <c r="AS595" t="s">
        <v>124</v>
      </c>
      <c r="AT595" t="s">
        <v>11244</v>
      </c>
      <c r="AU595">
        <v>2012</v>
      </c>
      <c r="AV595">
        <v>117</v>
      </c>
      <c r="AW595" t="s">
        <v>74</v>
      </c>
      <c r="AX595" t="s">
        <v>74</v>
      </c>
      <c r="AY595" t="s">
        <v>74</v>
      </c>
      <c r="AZ595" t="s">
        <v>74</v>
      </c>
      <c r="BA595" t="s">
        <v>74</v>
      </c>
      <c r="BB595" t="s">
        <v>74</v>
      </c>
      <c r="BC595" t="s">
        <v>74</v>
      </c>
      <c r="BD595" t="s">
        <v>11278</v>
      </c>
      <c r="BE595" t="s">
        <v>11279</v>
      </c>
      <c r="BF595" t="str">
        <f>HYPERLINK("http://dx.doi.org/10.1029/2011JD016697","http://dx.doi.org/10.1029/2011JD016697")</f>
        <v>http://dx.doi.org/10.1029/2011JD016697</v>
      </c>
      <c r="BG595" t="s">
        <v>74</v>
      </c>
      <c r="BH595" t="s">
        <v>74</v>
      </c>
      <c r="BI595">
        <v>12</v>
      </c>
      <c r="BJ595" t="s">
        <v>128</v>
      </c>
      <c r="BK595" t="s">
        <v>99</v>
      </c>
      <c r="BL595" t="s">
        <v>128</v>
      </c>
      <c r="BM595" t="s">
        <v>11280</v>
      </c>
      <c r="BN595" t="s">
        <v>74</v>
      </c>
      <c r="BO595" t="s">
        <v>217</v>
      </c>
      <c r="BP595" t="s">
        <v>74</v>
      </c>
      <c r="BQ595" t="s">
        <v>74</v>
      </c>
      <c r="BR595" t="s">
        <v>101</v>
      </c>
      <c r="BS595" t="s">
        <v>11281</v>
      </c>
      <c r="BT595" t="str">
        <f>HYPERLINK("https%3A%2F%2Fwww.webofscience.com%2Fwos%2Fwoscc%2Ffull-record%2FWOS:000299959400003","View Full Record in Web of Science")</f>
        <v>View Full Record in Web of Science</v>
      </c>
    </row>
    <row r="596" spans="1:72" x14ac:dyDescent="0.15">
      <c r="A596" t="s">
        <v>72</v>
      </c>
      <c r="B596" t="s">
        <v>11282</v>
      </c>
      <c r="C596" t="s">
        <v>74</v>
      </c>
      <c r="D596" t="s">
        <v>74</v>
      </c>
      <c r="E596" t="s">
        <v>74</v>
      </c>
      <c r="F596" t="s">
        <v>11283</v>
      </c>
      <c r="G596" t="s">
        <v>74</v>
      </c>
      <c r="H596" t="s">
        <v>74</v>
      </c>
      <c r="I596" t="s">
        <v>11284</v>
      </c>
      <c r="J596" t="s">
        <v>420</v>
      </c>
      <c r="K596" t="s">
        <v>74</v>
      </c>
      <c r="L596" t="s">
        <v>74</v>
      </c>
      <c r="M596" t="s">
        <v>78</v>
      </c>
      <c r="N596" t="s">
        <v>79</v>
      </c>
      <c r="O596" t="s">
        <v>74</v>
      </c>
      <c r="P596" t="s">
        <v>74</v>
      </c>
      <c r="Q596" t="s">
        <v>74</v>
      </c>
      <c r="R596" t="s">
        <v>74</v>
      </c>
      <c r="S596" t="s">
        <v>74</v>
      </c>
      <c r="T596" t="s">
        <v>74</v>
      </c>
      <c r="U596" t="s">
        <v>11285</v>
      </c>
      <c r="V596" t="s">
        <v>11286</v>
      </c>
      <c r="W596" t="s">
        <v>11287</v>
      </c>
      <c r="X596" t="s">
        <v>11288</v>
      </c>
      <c r="Y596" t="s">
        <v>11289</v>
      </c>
      <c r="Z596" t="s">
        <v>11290</v>
      </c>
      <c r="AA596" t="s">
        <v>11291</v>
      </c>
      <c r="AB596" t="s">
        <v>11292</v>
      </c>
      <c r="AC596" t="s">
        <v>11293</v>
      </c>
      <c r="AD596" t="s">
        <v>11294</v>
      </c>
      <c r="AE596" t="s">
        <v>11295</v>
      </c>
      <c r="AF596" t="s">
        <v>74</v>
      </c>
      <c r="AG596">
        <v>59</v>
      </c>
      <c r="AH596">
        <v>87</v>
      </c>
      <c r="AI596">
        <v>91</v>
      </c>
      <c r="AJ596">
        <v>0</v>
      </c>
      <c r="AK596">
        <v>16</v>
      </c>
      <c r="AL596" t="s">
        <v>118</v>
      </c>
      <c r="AM596" t="s">
        <v>119</v>
      </c>
      <c r="AN596" t="s">
        <v>120</v>
      </c>
      <c r="AO596" t="s">
        <v>432</v>
      </c>
      <c r="AP596" t="s">
        <v>433</v>
      </c>
      <c r="AQ596" t="s">
        <v>74</v>
      </c>
      <c r="AR596" t="s">
        <v>434</v>
      </c>
      <c r="AS596" t="s">
        <v>435</v>
      </c>
      <c r="AT596" t="s">
        <v>11244</v>
      </c>
      <c r="AU596">
        <v>2012</v>
      </c>
      <c r="AV596">
        <v>117</v>
      </c>
      <c r="AW596" t="s">
        <v>74</v>
      </c>
      <c r="AX596" t="s">
        <v>74</v>
      </c>
      <c r="AY596" t="s">
        <v>74</v>
      </c>
      <c r="AZ596" t="s">
        <v>74</v>
      </c>
      <c r="BA596" t="s">
        <v>74</v>
      </c>
      <c r="BB596" t="s">
        <v>74</v>
      </c>
      <c r="BC596" t="s">
        <v>74</v>
      </c>
      <c r="BD596" t="s">
        <v>11296</v>
      </c>
      <c r="BE596" t="s">
        <v>11297</v>
      </c>
      <c r="BF596" t="str">
        <f>HYPERLINK("http://dx.doi.org/10.1029/2011JA017095","http://dx.doi.org/10.1029/2011JA017095")</f>
        <v>http://dx.doi.org/10.1029/2011JA017095</v>
      </c>
      <c r="BG596" t="s">
        <v>74</v>
      </c>
      <c r="BH596" t="s">
        <v>74</v>
      </c>
      <c r="BI596">
        <v>13</v>
      </c>
      <c r="BJ596" t="s">
        <v>438</v>
      </c>
      <c r="BK596" t="s">
        <v>99</v>
      </c>
      <c r="BL596" t="s">
        <v>438</v>
      </c>
      <c r="BM596" t="s">
        <v>11298</v>
      </c>
      <c r="BN596" t="s">
        <v>74</v>
      </c>
      <c r="BO596" t="s">
        <v>638</v>
      </c>
      <c r="BP596" t="s">
        <v>74</v>
      </c>
      <c r="BQ596" t="s">
        <v>74</v>
      </c>
      <c r="BR596" t="s">
        <v>101</v>
      </c>
      <c r="BS596" t="s">
        <v>11299</v>
      </c>
      <c r="BT596" t="str">
        <f>HYPERLINK("https%3A%2F%2Fwww.webofscience.com%2Fwos%2Fwoscc%2Ffull-record%2FWOS:000299989600005","View Full Record in Web of Science")</f>
        <v>View Full Record in Web of Science</v>
      </c>
    </row>
    <row r="597" spans="1:72" x14ac:dyDescent="0.15">
      <c r="A597" t="s">
        <v>72</v>
      </c>
      <c r="B597" t="s">
        <v>11300</v>
      </c>
      <c r="C597" t="s">
        <v>74</v>
      </c>
      <c r="D597" t="s">
        <v>74</v>
      </c>
      <c r="E597" t="s">
        <v>74</v>
      </c>
      <c r="F597" t="s">
        <v>11301</v>
      </c>
      <c r="G597" t="s">
        <v>74</v>
      </c>
      <c r="H597" t="s">
        <v>74</v>
      </c>
      <c r="I597" t="s">
        <v>11302</v>
      </c>
      <c r="J597" t="s">
        <v>11303</v>
      </c>
      <c r="K597" t="s">
        <v>74</v>
      </c>
      <c r="L597" t="s">
        <v>74</v>
      </c>
      <c r="M597" t="s">
        <v>78</v>
      </c>
      <c r="N597" t="s">
        <v>887</v>
      </c>
      <c r="O597" t="s">
        <v>74</v>
      </c>
      <c r="P597" t="s">
        <v>74</v>
      </c>
      <c r="Q597" t="s">
        <v>74</v>
      </c>
      <c r="R597" t="s">
        <v>74</v>
      </c>
      <c r="S597" t="s">
        <v>74</v>
      </c>
      <c r="T597" t="s">
        <v>74</v>
      </c>
      <c r="U597" t="s">
        <v>74</v>
      </c>
      <c r="V597" t="s">
        <v>74</v>
      </c>
      <c r="W597" t="s">
        <v>74</v>
      </c>
      <c r="X597" t="s">
        <v>74</v>
      </c>
      <c r="Y597" t="s">
        <v>74</v>
      </c>
      <c r="Z597" t="s">
        <v>74</v>
      </c>
      <c r="AA597" t="s">
        <v>74</v>
      </c>
      <c r="AB597" t="s">
        <v>74</v>
      </c>
      <c r="AC597" t="s">
        <v>74</v>
      </c>
      <c r="AD597" t="s">
        <v>74</v>
      </c>
      <c r="AE597" t="s">
        <v>74</v>
      </c>
      <c r="AF597" t="s">
        <v>74</v>
      </c>
      <c r="AG597">
        <v>0</v>
      </c>
      <c r="AH597">
        <v>0</v>
      </c>
      <c r="AI597">
        <v>0</v>
      </c>
      <c r="AJ597">
        <v>0</v>
      </c>
      <c r="AK597">
        <v>0</v>
      </c>
      <c r="AL597" t="s">
        <v>11304</v>
      </c>
      <c r="AM597" t="s">
        <v>11305</v>
      </c>
      <c r="AN597" t="s">
        <v>11306</v>
      </c>
      <c r="AO597" t="s">
        <v>11307</v>
      </c>
      <c r="AP597" t="s">
        <v>74</v>
      </c>
      <c r="AQ597" t="s">
        <v>74</v>
      </c>
      <c r="AR597" t="s">
        <v>11308</v>
      </c>
      <c r="AS597" t="s">
        <v>11309</v>
      </c>
      <c r="AT597" t="s">
        <v>11310</v>
      </c>
      <c r="AU597">
        <v>2012</v>
      </c>
      <c r="AV597">
        <v>213</v>
      </c>
      <c r="AW597">
        <v>2849</v>
      </c>
      <c r="AX597" t="s">
        <v>74</v>
      </c>
      <c r="AY597" t="s">
        <v>74</v>
      </c>
      <c r="AZ597" t="s">
        <v>74</v>
      </c>
      <c r="BA597" t="s">
        <v>74</v>
      </c>
      <c r="BB597">
        <v>12</v>
      </c>
      <c r="BC597">
        <v>12</v>
      </c>
      <c r="BD597" t="s">
        <v>74</v>
      </c>
      <c r="BE597" t="s">
        <v>74</v>
      </c>
      <c r="BF597" t="s">
        <v>74</v>
      </c>
      <c r="BG597" t="s">
        <v>74</v>
      </c>
      <c r="BH597" t="s">
        <v>74</v>
      </c>
      <c r="BI597">
        <v>1</v>
      </c>
      <c r="BJ597" t="s">
        <v>153</v>
      </c>
      <c r="BK597" t="s">
        <v>99</v>
      </c>
      <c r="BL597" t="s">
        <v>154</v>
      </c>
      <c r="BM597" t="s">
        <v>11311</v>
      </c>
      <c r="BN597" t="s">
        <v>74</v>
      </c>
      <c r="BO597" t="s">
        <v>74</v>
      </c>
      <c r="BP597" t="s">
        <v>74</v>
      </c>
      <c r="BQ597" t="s">
        <v>74</v>
      </c>
      <c r="BR597" t="s">
        <v>101</v>
      </c>
      <c r="BS597" t="s">
        <v>11312</v>
      </c>
      <c r="BT597" t="str">
        <f>HYPERLINK("https%3A%2F%2Fwww.webofscience.com%2Fwos%2Fwoscc%2Ffull-record%2FWOS:000299908300007","View Full Record in Web of Science")</f>
        <v>View Full Record in Web of Science</v>
      </c>
    </row>
    <row r="598" spans="1:72" x14ac:dyDescent="0.15">
      <c r="A598" t="s">
        <v>72</v>
      </c>
      <c r="B598" t="s">
        <v>11313</v>
      </c>
      <c r="C598" t="s">
        <v>74</v>
      </c>
      <c r="D598" t="s">
        <v>74</v>
      </c>
      <c r="E598" t="s">
        <v>74</v>
      </c>
      <c r="F598" t="s">
        <v>11314</v>
      </c>
      <c r="G598" t="s">
        <v>74</v>
      </c>
      <c r="H598" t="s">
        <v>74</v>
      </c>
      <c r="I598" t="s">
        <v>11315</v>
      </c>
      <c r="J598" t="s">
        <v>333</v>
      </c>
      <c r="K598" t="s">
        <v>74</v>
      </c>
      <c r="L598" t="s">
        <v>74</v>
      </c>
      <c r="M598" t="s">
        <v>78</v>
      </c>
      <c r="N598" t="s">
        <v>79</v>
      </c>
      <c r="O598" t="s">
        <v>74</v>
      </c>
      <c r="P598" t="s">
        <v>74</v>
      </c>
      <c r="Q598" t="s">
        <v>74</v>
      </c>
      <c r="R598" t="s">
        <v>74</v>
      </c>
      <c r="S598" t="s">
        <v>74</v>
      </c>
      <c r="T598" t="s">
        <v>74</v>
      </c>
      <c r="U598" t="s">
        <v>11316</v>
      </c>
      <c r="V598" t="s">
        <v>11317</v>
      </c>
      <c r="W598" t="s">
        <v>11318</v>
      </c>
      <c r="X598" t="s">
        <v>11319</v>
      </c>
      <c r="Y598" t="s">
        <v>11320</v>
      </c>
      <c r="Z598" t="s">
        <v>11321</v>
      </c>
      <c r="AA598" t="s">
        <v>11322</v>
      </c>
      <c r="AB598" t="s">
        <v>11323</v>
      </c>
      <c r="AC598" t="s">
        <v>11324</v>
      </c>
      <c r="AD598" t="s">
        <v>11325</v>
      </c>
      <c r="AE598" t="s">
        <v>11326</v>
      </c>
      <c r="AF598" t="s">
        <v>74</v>
      </c>
      <c r="AG598">
        <v>51</v>
      </c>
      <c r="AH598">
        <v>31</v>
      </c>
      <c r="AI598">
        <v>34</v>
      </c>
      <c r="AJ598">
        <v>1</v>
      </c>
      <c r="AK598">
        <v>19</v>
      </c>
      <c r="AL598" t="s">
        <v>118</v>
      </c>
      <c r="AM598" t="s">
        <v>119</v>
      </c>
      <c r="AN598" t="s">
        <v>120</v>
      </c>
      <c r="AO598" t="s">
        <v>344</v>
      </c>
      <c r="AP598" t="s">
        <v>345</v>
      </c>
      <c r="AQ598" t="s">
        <v>74</v>
      </c>
      <c r="AR598" t="s">
        <v>346</v>
      </c>
      <c r="AS598" t="s">
        <v>347</v>
      </c>
      <c r="AT598" t="s">
        <v>11310</v>
      </c>
      <c r="AU598">
        <v>2012</v>
      </c>
      <c r="AV598">
        <v>117</v>
      </c>
      <c r="AW598" t="s">
        <v>74</v>
      </c>
      <c r="AX598" t="s">
        <v>74</v>
      </c>
      <c r="AY598" t="s">
        <v>74</v>
      </c>
      <c r="AZ598" t="s">
        <v>74</v>
      </c>
      <c r="BA598" t="s">
        <v>74</v>
      </c>
      <c r="BB598" t="s">
        <v>74</v>
      </c>
      <c r="BC598" t="s">
        <v>74</v>
      </c>
      <c r="BD598" t="s">
        <v>11327</v>
      </c>
      <c r="BE598" t="s">
        <v>11328</v>
      </c>
      <c r="BF598" t="str">
        <f>HYPERLINK("http://dx.doi.org/10.1029/2011JC007573","http://dx.doi.org/10.1029/2011JC007573")</f>
        <v>http://dx.doi.org/10.1029/2011JC007573</v>
      </c>
      <c r="BG598" t="s">
        <v>74</v>
      </c>
      <c r="BH598" t="s">
        <v>74</v>
      </c>
      <c r="BI598">
        <v>14</v>
      </c>
      <c r="BJ598" t="s">
        <v>350</v>
      </c>
      <c r="BK598" t="s">
        <v>99</v>
      </c>
      <c r="BL598" t="s">
        <v>350</v>
      </c>
      <c r="BM598" t="s">
        <v>11329</v>
      </c>
      <c r="BN598" t="s">
        <v>74</v>
      </c>
      <c r="BO598" t="s">
        <v>217</v>
      </c>
      <c r="BP598" t="s">
        <v>74</v>
      </c>
      <c r="BQ598" t="s">
        <v>74</v>
      </c>
      <c r="BR598" t="s">
        <v>101</v>
      </c>
      <c r="BS598" t="s">
        <v>11330</v>
      </c>
      <c r="BT598" t="str">
        <f>HYPERLINK("https%3A%2F%2Fwww.webofscience.com%2Fwos%2Fwoscc%2Ffull-record%2FWOS:000299708700004","View Full Record in Web of Science")</f>
        <v>View Full Record in Web of Science</v>
      </c>
    </row>
    <row r="599" spans="1:72" x14ac:dyDescent="0.15">
      <c r="A599" t="s">
        <v>72</v>
      </c>
      <c r="B599" t="s">
        <v>11331</v>
      </c>
      <c r="C599" t="s">
        <v>74</v>
      </c>
      <c r="D599" t="s">
        <v>74</v>
      </c>
      <c r="E599" t="s">
        <v>74</v>
      </c>
      <c r="F599" t="s">
        <v>11332</v>
      </c>
      <c r="G599" t="s">
        <v>74</v>
      </c>
      <c r="H599" t="s">
        <v>74</v>
      </c>
      <c r="I599" t="s">
        <v>11333</v>
      </c>
      <c r="J599" t="s">
        <v>333</v>
      </c>
      <c r="K599" t="s">
        <v>74</v>
      </c>
      <c r="L599" t="s">
        <v>74</v>
      </c>
      <c r="M599" t="s">
        <v>78</v>
      </c>
      <c r="N599" t="s">
        <v>79</v>
      </c>
      <c r="O599" t="s">
        <v>74</v>
      </c>
      <c r="P599" t="s">
        <v>74</v>
      </c>
      <c r="Q599" t="s">
        <v>74</v>
      </c>
      <c r="R599" t="s">
        <v>74</v>
      </c>
      <c r="S599" t="s">
        <v>74</v>
      </c>
      <c r="T599" t="s">
        <v>74</v>
      </c>
      <c r="U599" t="s">
        <v>11334</v>
      </c>
      <c r="V599" t="s">
        <v>11335</v>
      </c>
      <c r="W599" t="s">
        <v>11336</v>
      </c>
      <c r="X599" t="s">
        <v>11337</v>
      </c>
      <c r="Y599" t="s">
        <v>11338</v>
      </c>
      <c r="Z599" t="s">
        <v>11339</v>
      </c>
      <c r="AA599" t="s">
        <v>11340</v>
      </c>
      <c r="AB599" t="s">
        <v>11341</v>
      </c>
      <c r="AC599" t="s">
        <v>11342</v>
      </c>
      <c r="AD599" t="s">
        <v>11343</v>
      </c>
      <c r="AE599" t="s">
        <v>11344</v>
      </c>
      <c r="AF599" t="s">
        <v>74</v>
      </c>
      <c r="AG599">
        <v>92</v>
      </c>
      <c r="AH599">
        <v>43</v>
      </c>
      <c r="AI599">
        <v>44</v>
      </c>
      <c r="AJ599">
        <v>0</v>
      </c>
      <c r="AK599">
        <v>34</v>
      </c>
      <c r="AL599" t="s">
        <v>118</v>
      </c>
      <c r="AM599" t="s">
        <v>119</v>
      </c>
      <c r="AN599" t="s">
        <v>120</v>
      </c>
      <c r="AO599" t="s">
        <v>344</v>
      </c>
      <c r="AP599" t="s">
        <v>345</v>
      </c>
      <c r="AQ599" t="s">
        <v>74</v>
      </c>
      <c r="AR599" t="s">
        <v>346</v>
      </c>
      <c r="AS599" t="s">
        <v>347</v>
      </c>
      <c r="AT599" t="s">
        <v>11310</v>
      </c>
      <c r="AU599">
        <v>2012</v>
      </c>
      <c r="AV599">
        <v>117</v>
      </c>
      <c r="AW599" t="s">
        <v>74</v>
      </c>
      <c r="AX599" t="s">
        <v>74</v>
      </c>
      <c r="AY599" t="s">
        <v>74</v>
      </c>
      <c r="AZ599" t="s">
        <v>74</v>
      </c>
      <c r="BA599" t="s">
        <v>74</v>
      </c>
      <c r="BB599" t="s">
        <v>74</v>
      </c>
      <c r="BC599" t="s">
        <v>74</v>
      </c>
      <c r="BD599" t="s">
        <v>11345</v>
      </c>
      <c r="BE599" t="s">
        <v>11346</v>
      </c>
      <c r="BF599" t="str">
        <f>HYPERLINK("http://dx.doi.org/10.1029/2011JC007434","http://dx.doi.org/10.1029/2011JC007434")</f>
        <v>http://dx.doi.org/10.1029/2011JC007434</v>
      </c>
      <c r="BG599" t="s">
        <v>74</v>
      </c>
      <c r="BH599" t="s">
        <v>74</v>
      </c>
      <c r="BI599">
        <v>19</v>
      </c>
      <c r="BJ599" t="s">
        <v>350</v>
      </c>
      <c r="BK599" t="s">
        <v>99</v>
      </c>
      <c r="BL599" t="s">
        <v>350</v>
      </c>
      <c r="BM599" t="s">
        <v>11329</v>
      </c>
      <c r="BN599" t="s">
        <v>74</v>
      </c>
      <c r="BO599" t="s">
        <v>328</v>
      </c>
      <c r="BP599" t="s">
        <v>74</v>
      </c>
      <c r="BQ599" t="s">
        <v>74</v>
      </c>
      <c r="BR599" t="s">
        <v>101</v>
      </c>
      <c r="BS599" t="s">
        <v>11347</v>
      </c>
      <c r="BT599" t="str">
        <f>HYPERLINK("https%3A%2F%2Fwww.webofscience.com%2Fwos%2Fwoscc%2Ffull-record%2FWOS:000299708700001","View Full Record in Web of Science")</f>
        <v>View Full Record in Web of Science</v>
      </c>
    </row>
    <row r="600" spans="1:72" x14ac:dyDescent="0.15">
      <c r="A600" t="s">
        <v>72</v>
      </c>
      <c r="B600" t="s">
        <v>11348</v>
      </c>
      <c r="C600" t="s">
        <v>74</v>
      </c>
      <c r="D600" t="s">
        <v>74</v>
      </c>
      <c r="E600" t="s">
        <v>74</v>
      </c>
      <c r="F600" t="s">
        <v>11349</v>
      </c>
      <c r="G600" t="s">
        <v>74</v>
      </c>
      <c r="H600" t="s">
        <v>74</v>
      </c>
      <c r="I600" t="s">
        <v>11350</v>
      </c>
      <c r="J600" t="s">
        <v>11303</v>
      </c>
      <c r="K600" t="s">
        <v>74</v>
      </c>
      <c r="L600" t="s">
        <v>74</v>
      </c>
      <c r="M600" t="s">
        <v>78</v>
      </c>
      <c r="N600" t="s">
        <v>5106</v>
      </c>
      <c r="O600" t="s">
        <v>74</v>
      </c>
      <c r="P600" t="s">
        <v>74</v>
      </c>
      <c r="Q600" t="s">
        <v>74</v>
      </c>
      <c r="R600" t="s">
        <v>74</v>
      </c>
      <c r="S600" t="s">
        <v>74</v>
      </c>
      <c r="T600" t="s">
        <v>74</v>
      </c>
      <c r="U600" t="s">
        <v>74</v>
      </c>
      <c r="V600" t="s">
        <v>74</v>
      </c>
      <c r="W600" t="s">
        <v>11351</v>
      </c>
      <c r="X600" t="s">
        <v>74</v>
      </c>
      <c r="Y600" t="s">
        <v>11352</v>
      </c>
      <c r="Z600" t="s">
        <v>74</v>
      </c>
      <c r="AA600" t="s">
        <v>74</v>
      </c>
      <c r="AB600" t="s">
        <v>74</v>
      </c>
      <c r="AC600" t="s">
        <v>74</v>
      </c>
      <c r="AD600" t="s">
        <v>74</v>
      </c>
      <c r="AE600" t="s">
        <v>74</v>
      </c>
      <c r="AF600" t="s">
        <v>74</v>
      </c>
      <c r="AG600">
        <v>0</v>
      </c>
      <c r="AH600">
        <v>0</v>
      </c>
      <c r="AI600">
        <v>0</v>
      </c>
      <c r="AJ600">
        <v>0</v>
      </c>
      <c r="AK600">
        <v>1</v>
      </c>
      <c r="AL600" t="s">
        <v>11304</v>
      </c>
      <c r="AM600" t="s">
        <v>11305</v>
      </c>
      <c r="AN600" t="s">
        <v>11306</v>
      </c>
      <c r="AO600" t="s">
        <v>11307</v>
      </c>
      <c r="AP600" t="s">
        <v>74</v>
      </c>
      <c r="AQ600" t="s">
        <v>74</v>
      </c>
      <c r="AR600" t="s">
        <v>11308</v>
      </c>
      <c r="AS600" t="s">
        <v>11309</v>
      </c>
      <c r="AT600" t="s">
        <v>11310</v>
      </c>
      <c r="AU600">
        <v>2012</v>
      </c>
      <c r="AV600">
        <v>213</v>
      </c>
      <c r="AW600">
        <v>2849</v>
      </c>
      <c r="AX600" t="s">
        <v>74</v>
      </c>
      <c r="AY600" t="s">
        <v>74</v>
      </c>
      <c r="AZ600" t="s">
        <v>74</v>
      </c>
      <c r="BA600" t="s">
        <v>74</v>
      </c>
      <c r="BB600">
        <v>32</v>
      </c>
      <c r="BC600">
        <v>32</v>
      </c>
      <c r="BD600" t="s">
        <v>74</v>
      </c>
      <c r="BE600" t="s">
        <v>11353</v>
      </c>
      <c r="BF600" t="str">
        <f>HYPERLINK("http://dx.doi.org/10.1016/S0262-4079(12)60233-4","http://dx.doi.org/10.1016/S0262-4079(12)60233-4")</f>
        <v>http://dx.doi.org/10.1016/S0262-4079(12)60233-4</v>
      </c>
      <c r="BG600" t="s">
        <v>74</v>
      </c>
      <c r="BH600" t="s">
        <v>74</v>
      </c>
      <c r="BI600">
        <v>1</v>
      </c>
      <c r="BJ600" t="s">
        <v>153</v>
      </c>
      <c r="BK600" t="s">
        <v>99</v>
      </c>
      <c r="BL600" t="s">
        <v>154</v>
      </c>
      <c r="BM600" t="s">
        <v>11311</v>
      </c>
      <c r="BN600" t="s">
        <v>74</v>
      </c>
      <c r="BO600" t="s">
        <v>74</v>
      </c>
      <c r="BP600" t="s">
        <v>74</v>
      </c>
      <c r="BQ600" t="s">
        <v>74</v>
      </c>
      <c r="BR600" t="s">
        <v>101</v>
      </c>
      <c r="BS600" t="s">
        <v>11354</v>
      </c>
      <c r="BT600" t="str">
        <f>HYPERLINK("https%3A%2F%2Fwww.webofscience.com%2Fwos%2Fwoscc%2Ffull-record%2FWOS:000299908300020","View Full Record in Web of Science")</f>
        <v>View Full Record in Web of Science</v>
      </c>
    </row>
    <row r="601" spans="1:72" x14ac:dyDescent="0.15">
      <c r="A601" t="s">
        <v>72</v>
      </c>
      <c r="B601" t="s">
        <v>11355</v>
      </c>
      <c r="C601" t="s">
        <v>74</v>
      </c>
      <c r="D601" t="s">
        <v>74</v>
      </c>
      <c r="E601" t="s">
        <v>74</v>
      </c>
      <c r="F601" t="s">
        <v>11356</v>
      </c>
      <c r="G601" t="s">
        <v>74</v>
      </c>
      <c r="H601" t="s">
        <v>74</v>
      </c>
      <c r="I601" t="s">
        <v>11357</v>
      </c>
      <c r="J601" t="s">
        <v>106</v>
      </c>
      <c r="K601" t="s">
        <v>74</v>
      </c>
      <c r="L601" t="s">
        <v>74</v>
      </c>
      <c r="M601" t="s">
        <v>78</v>
      </c>
      <c r="N601" t="s">
        <v>79</v>
      </c>
      <c r="O601" t="s">
        <v>74</v>
      </c>
      <c r="P601" t="s">
        <v>74</v>
      </c>
      <c r="Q601" t="s">
        <v>74</v>
      </c>
      <c r="R601" t="s">
        <v>74</v>
      </c>
      <c r="S601" t="s">
        <v>74</v>
      </c>
      <c r="T601" t="s">
        <v>74</v>
      </c>
      <c r="U601" t="s">
        <v>11358</v>
      </c>
      <c r="V601" t="s">
        <v>11359</v>
      </c>
      <c r="W601" t="s">
        <v>11360</v>
      </c>
      <c r="X601" t="s">
        <v>11361</v>
      </c>
      <c r="Y601" t="s">
        <v>11362</v>
      </c>
      <c r="Z601" t="s">
        <v>11363</v>
      </c>
      <c r="AA601" t="s">
        <v>11364</v>
      </c>
      <c r="AB601" t="s">
        <v>11365</v>
      </c>
      <c r="AC601" t="s">
        <v>11366</v>
      </c>
      <c r="AD601" t="s">
        <v>11367</v>
      </c>
      <c r="AE601" t="s">
        <v>11368</v>
      </c>
      <c r="AF601" t="s">
        <v>74</v>
      </c>
      <c r="AG601">
        <v>77</v>
      </c>
      <c r="AH601">
        <v>37</v>
      </c>
      <c r="AI601">
        <v>42</v>
      </c>
      <c r="AJ601">
        <v>0</v>
      </c>
      <c r="AK601">
        <v>28</v>
      </c>
      <c r="AL601" t="s">
        <v>118</v>
      </c>
      <c r="AM601" t="s">
        <v>119</v>
      </c>
      <c r="AN601" t="s">
        <v>120</v>
      </c>
      <c r="AO601" t="s">
        <v>121</v>
      </c>
      <c r="AP601" t="s">
        <v>122</v>
      </c>
      <c r="AQ601" t="s">
        <v>74</v>
      </c>
      <c r="AR601" t="s">
        <v>123</v>
      </c>
      <c r="AS601" t="s">
        <v>124</v>
      </c>
      <c r="AT601" t="s">
        <v>11369</v>
      </c>
      <c r="AU601">
        <v>2012</v>
      </c>
      <c r="AV601">
        <v>117</v>
      </c>
      <c r="AW601" t="s">
        <v>74</v>
      </c>
      <c r="AX601" t="s">
        <v>74</v>
      </c>
      <c r="AY601" t="s">
        <v>74</v>
      </c>
      <c r="AZ601" t="s">
        <v>74</v>
      </c>
      <c r="BA601" t="s">
        <v>74</v>
      </c>
      <c r="BB601" t="s">
        <v>74</v>
      </c>
      <c r="BC601" t="s">
        <v>74</v>
      </c>
      <c r="BD601" t="s">
        <v>11370</v>
      </c>
      <c r="BE601" t="s">
        <v>11371</v>
      </c>
      <c r="BF601" t="str">
        <f>HYPERLINK("http://dx.doi.org/10.1029/2011JD016437","http://dx.doi.org/10.1029/2011JD016437")</f>
        <v>http://dx.doi.org/10.1029/2011JD016437</v>
      </c>
      <c r="BG601" t="s">
        <v>74</v>
      </c>
      <c r="BH601" t="s">
        <v>74</v>
      </c>
      <c r="BI601">
        <v>17</v>
      </c>
      <c r="BJ601" t="s">
        <v>128</v>
      </c>
      <c r="BK601" t="s">
        <v>99</v>
      </c>
      <c r="BL601" t="s">
        <v>128</v>
      </c>
      <c r="BM601" t="s">
        <v>11372</v>
      </c>
      <c r="BN601" t="s">
        <v>74</v>
      </c>
      <c r="BO601" t="s">
        <v>217</v>
      </c>
      <c r="BP601" t="s">
        <v>74</v>
      </c>
      <c r="BQ601" t="s">
        <v>74</v>
      </c>
      <c r="BR601" t="s">
        <v>101</v>
      </c>
      <c r="BS601" t="s">
        <v>11373</v>
      </c>
      <c r="BT601" t="str">
        <f>HYPERLINK("https%3A%2F%2Fwww.webofscience.com%2Fwos%2Fwoscc%2Ffull-record%2FWOS:000299702900004","View Full Record in Web of Science")</f>
        <v>View Full Record in Web of Science</v>
      </c>
    </row>
    <row r="602" spans="1:72" x14ac:dyDescent="0.15">
      <c r="A602" t="s">
        <v>72</v>
      </c>
      <c r="B602" t="s">
        <v>11374</v>
      </c>
      <c r="C602" t="s">
        <v>74</v>
      </c>
      <c r="D602" t="s">
        <v>74</v>
      </c>
      <c r="E602" t="s">
        <v>74</v>
      </c>
      <c r="F602" t="s">
        <v>11375</v>
      </c>
      <c r="G602" t="s">
        <v>74</v>
      </c>
      <c r="H602" t="s">
        <v>74</v>
      </c>
      <c r="I602" t="s">
        <v>11376</v>
      </c>
      <c r="J602" t="s">
        <v>11377</v>
      </c>
      <c r="K602" t="s">
        <v>74</v>
      </c>
      <c r="L602" t="s">
        <v>74</v>
      </c>
      <c r="M602" t="s">
        <v>78</v>
      </c>
      <c r="N602" t="s">
        <v>79</v>
      </c>
      <c r="O602" t="s">
        <v>74</v>
      </c>
      <c r="P602" t="s">
        <v>74</v>
      </c>
      <c r="Q602" t="s">
        <v>74</v>
      </c>
      <c r="R602" t="s">
        <v>74</v>
      </c>
      <c r="S602" t="s">
        <v>74</v>
      </c>
      <c r="T602" t="s">
        <v>74</v>
      </c>
      <c r="U602" t="s">
        <v>11378</v>
      </c>
      <c r="V602" t="s">
        <v>11379</v>
      </c>
      <c r="W602" t="s">
        <v>11380</v>
      </c>
      <c r="X602" t="s">
        <v>11381</v>
      </c>
      <c r="Y602" t="s">
        <v>11382</v>
      </c>
      <c r="Z602" t="s">
        <v>11383</v>
      </c>
      <c r="AA602" t="s">
        <v>11384</v>
      </c>
      <c r="AB602" t="s">
        <v>11385</v>
      </c>
      <c r="AC602" t="s">
        <v>11386</v>
      </c>
      <c r="AD602" t="s">
        <v>11387</v>
      </c>
      <c r="AE602" t="s">
        <v>11388</v>
      </c>
      <c r="AF602" t="s">
        <v>74</v>
      </c>
      <c r="AG602">
        <v>71</v>
      </c>
      <c r="AH602">
        <v>23</v>
      </c>
      <c r="AI602">
        <v>23</v>
      </c>
      <c r="AJ602">
        <v>1</v>
      </c>
      <c r="AK602">
        <v>35</v>
      </c>
      <c r="AL602" t="s">
        <v>118</v>
      </c>
      <c r="AM602" t="s">
        <v>119</v>
      </c>
      <c r="AN602" t="s">
        <v>120</v>
      </c>
      <c r="AO602" t="s">
        <v>11389</v>
      </c>
      <c r="AP602" t="s">
        <v>11390</v>
      </c>
      <c r="AQ602" t="s">
        <v>74</v>
      </c>
      <c r="AR602" t="s">
        <v>11391</v>
      </c>
      <c r="AS602" t="s">
        <v>11392</v>
      </c>
      <c r="AT602" t="s">
        <v>11393</v>
      </c>
      <c r="AU602">
        <v>2012</v>
      </c>
      <c r="AV602">
        <v>26</v>
      </c>
      <c r="AW602" t="s">
        <v>74</v>
      </c>
      <c r="AX602" t="s">
        <v>74</v>
      </c>
      <c r="AY602" t="s">
        <v>74</v>
      </c>
      <c r="AZ602" t="s">
        <v>74</v>
      </c>
      <c r="BA602" t="s">
        <v>74</v>
      </c>
      <c r="BB602" t="s">
        <v>74</v>
      </c>
      <c r="BC602" t="s">
        <v>74</v>
      </c>
      <c r="BD602" t="s">
        <v>11394</v>
      </c>
      <c r="BE602" t="s">
        <v>11395</v>
      </c>
      <c r="BF602" t="str">
        <f>HYPERLINK("http://dx.doi.org/10.1029/2010GB003914","http://dx.doi.org/10.1029/2010GB003914")</f>
        <v>http://dx.doi.org/10.1029/2010GB003914</v>
      </c>
      <c r="BG602" t="s">
        <v>74</v>
      </c>
      <c r="BH602" t="s">
        <v>74</v>
      </c>
      <c r="BI602">
        <v>19</v>
      </c>
      <c r="BJ602" t="s">
        <v>11396</v>
      </c>
      <c r="BK602" t="s">
        <v>99</v>
      </c>
      <c r="BL602" t="s">
        <v>11397</v>
      </c>
      <c r="BM602" t="s">
        <v>11398</v>
      </c>
      <c r="BN602" t="s">
        <v>74</v>
      </c>
      <c r="BO602" t="s">
        <v>217</v>
      </c>
      <c r="BP602" t="s">
        <v>74</v>
      </c>
      <c r="BQ602" t="s">
        <v>74</v>
      </c>
      <c r="BR602" t="s">
        <v>101</v>
      </c>
      <c r="BS602" t="s">
        <v>11399</v>
      </c>
      <c r="BT602" t="str">
        <f>HYPERLINK("https%3A%2F%2Fwww.webofscience.com%2Fwos%2Fwoscc%2Ffull-record%2FWOS:000299700900001","View Full Record in Web of Science")</f>
        <v>View Full Record in Web of Science</v>
      </c>
    </row>
    <row r="603" spans="1:72" x14ac:dyDescent="0.15">
      <c r="A603" t="s">
        <v>72</v>
      </c>
      <c r="B603" t="s">
        <v>11400</v>
      </c>
      <c r="C603" t="s">
        <v>74</v>
      </c>
      <c r="D603" t="s">
        <v>74</v>
      </c>
      <c r="E603" t="s">
        <v>74</v>
      </c>
      <c r="F603" t="s">
        <v>11401</v>
      </c>
      <c r="G603" t="s">
        <v>74</v>
      </c>
      <c r="H603" t="s">
        <v>74</v>
      </c>
      <c r="I603" t="s">
        <v>11402</v>
      </c>
      <c r="J603" t="s">
        <v>333</v>
      </c>
      <c r="K603" t="s">
        <v>74</v>
      </c>
      <c r="L603" t="s">
        <v>74</v>
      </c>
      <c r="M603" t="s">
        <v>78</v>
      </c>
      <c r="N603" t="s">
        <v>79</v>
      </c>
      <c r="O603" t="s">
        <v>74</v>
      </c>
      <c r="P603" t="s">
        <v>74</v>
      </c>
      <c r="Q603" t="s">
        <v>74</v>
      </c>
      <c r="R603" t="s">
        <v>74</v>
      </c>
      <c r="S603" t="s">
        <v>74</v>
      </c>
      <c r="T603" t="s">
        <v>74</v>
      </c>
      <c r="U603" t="s">
        <v>11403</v>
      </c>
      <c r="V603" t="s">
        <v>11404</v>
      </c>
      <c r="W603" t="s">
        <v>11405</v>
      </c>
      <c r="X603" t="s">
        <v>11406</v>
      </c>
      <c r="Y603" t="s">
        <v>11407</v>
      </c>
      <c r="Z603" t="s">
        <v>11408</v>
      </c>
      <c r="AA603" t="s">
        <v>11409</v>
      </c>
      <c r="AB603" t="s">
        <v>74</v>
      </c>
      <c r="AC603" t="s">
        <v>11410</v>
      </c>
      <c r="AD603" t="s">
        <v>11411</v>
      </c>
      <c r="AE603" t="s">
        <v>11412</v>
      </c>
      <c r="AF603" t="s">
        <v>74</v>
      </c>
      <c r="AG603">
        <v>65</v>
      </c>
      <c r="AH603">
        <v>30</v>
      </c>
      <c r="AI603">
        <v>34</v>
      </c>
      <c r="AJ603">
        <v>5</v>
      </c>
      <c r="AK603">
        <v>31</v>
      </c>
      <c r="AL603" t="s">
        <v>118</v>
      </c>
      <c r="AM603" t="s">
        <v>119</v>
      </c>
      <c r="AN603" t="s">
        <v>120</v>
      </c>
      <c r="AO603" t="s">
        <v>344</v>
      </c>
      <c r="AP603" t="s">
        <v>345</v>
      </c>
      <c r="AQ603" t="s">
        <v>74</v>
      </c>
      <c r="AR603" t="s">
        <v>346</v>
      </c>
      <c r="AS603" t="s">
        <v>347</v>
      </c>
      <c r="AT603" t="s">
        <v>11393</v>
      </c>
      <c r="AU603">
        <v>2012</v>
      </c>
      <c r="AV603">
        <v>117</v>
      </c>
      <c r="AW603" t="s">
        <v>74</v>
      </c>
      <c r="AX603" t="s">
        <v>74</v>
      </c>
      <c r="AY603" t="s">
        <v>74</v>
      </c>
      <c r="AZ603" t="s">
        <v>74</v>
      </c>
      <c r="BA603" t="s">
        <v>74</v>
      </c>
      <c r="BB603" t="s">
        <v>74</v>
      </c>
      <c r="BC603" t="s">
        <v>74</v>
      </c>
      <c r="BD603" t="s">
        <v>11413</v>
      </c>
      <c r="BE603" t="s">
        <v>11414</v>
      </c>
      <c r="BF603" t="str">
        <f>HYPERLINK("http://dx.doi.org/10.1029/2011JC007368","http://dx.doi.org/10.1029/2011JC007368")</f>
        <v>http://dx.doi.org/10.1029/2011JC007368</v>
      </c>
      <c r="BG603" t="s">
        <v>74</v>
      </c>
      <c r="BH603" t="s">
        <v>74</v>
      </c>
      <c r="BI603">
        <v>20</v>
      </c>
      <c r="BJ603" t="s">
        <v>350</v>
      </c>
      <c r="BK603" t="s">
        <v>99</v>
      </c>
      <c r="BL603" t="s">
        <v>350</v>
      </c>
      <c r="BM603" t="s">
        <v>11415</v>
      </c>
      <c r="BN603" t="s">
        <v>74</v>
      </c>
      <c r="BO603" t="s">
        <v>11416</v>
      </c>
      <c r="BP603" t="s">
        <v>74</v>
      </c>
      <c r="BQ603" t="s">
        <v>74</v>
      </c>
      <c r="BR603" t="s">
        <v>101</v>
      </c>
      <c r="BS603" t="s">
        <v>11417</v>
      </c>
      <c r="BT603" t="str">
        <f>HYPERLINK("https%3A%2F%2Fwww.webofscience.com%2Fwos%2Fwoscc%2Ffull-record%2FWOS:000299706500001","View Full Record in Web of Science")</f>
        <v>View Full Record in Web of Science</v>
      </c>
    </row>
    <row r="604" spans="1:72" x14ac:dyDescent="0.15">
      <c r="A604" t="s">
        <v>72</v>
      </c>
      <c r="B604" t="s">
        <v>11418</v>
      </c>
      <c r="C604" t="s">
        <v>74</v>
      </c>
      <c r="D604" t="s">
        <v>74</v>
      </c>
      <c r="E604" t="s">
        <v>74</v>
      </c>
      <c r="F604" t="s">
        <v>11419</v>
      </c>
      <c r="G604" t="s">
        <v>74</v>
      </c>
      <c r="H604" t="s">
        <v>74</v>
      </c>
      <c r="I604" t="s">
        <v>11420</v>
      </c>
      <c r="J604" t="s">
        <v>6025</v>
      </c>
      <c r="K604" t="s">
        <v>74</v>
      </c>
      <c r="L604" t="s">
        <v>74</v>
      </c>
      <c r="M604" t="s">
        <v>78</v>
      </c>
      <c r="N604" t="s">
        <v>79</v>
      </c>
      <c r="O604" t="s">
        <v>74</v>
      </c>
      <c r="P604" t="s">
        <v>74</v>
      </c>
      <c r="Q604" t="s">
        <v>74</v>
      </c>
      <c r="R604" t="s">
        <v>74</v>
      </c>
      <c r="S604" t="s">
        <v>74</v>
      </c>
      <c r="T604" t="s">
        <v>11421</v>
      </c>
      <c r="U604" t="s">
        <v>74</v>
      </c>
      <c r="V604" t="s">
        <v>11422</v>
      </c>
      <c r="W604" t="s">
        <v>11423</v>
      </c>
      <c r="X604" t="s">
        <v>11424</v>
      </c>
      <c r="Y604" t="s">
        <v>11425</v>
      </c>
      <c r="Z604" t="s">
        <v>11426</v>
      </c>
      <c r="AA604" t="s">
        <v>74</v>
      </c>
      <c r="AB604" t="s">
        <v>74</v>
      </c>
      <c r="AC604" t="s">
        <v>74</v>
      </c>
      <c r="AD604" t="s">
        <v>74</v>
      </c>
      <c r="AE604" t="s">
        <v>74</v>
      </c>
      <c r="AF604" t="s">
        <v>74</v>
      </c>
      <c r="AG604">
        <v>10</v>
      </c>
      <c r="AH604">
        <v>0</v>
      </c>
      <c r="AI604">
        <v>1</v>
      </c>
      <c r="AJ604">
        <v>0</v>
      </c>
      <c r="AK604">
        <v>5</v>
      </c>
      <c r="AL604" t="s">
        <v>3556</v>
      </c>
      <c r="AM604" t="s">
        <v>3557</v>
      </c>
      <c r="AN604" t="s">
        <v>3558</v>
      </c>
      <c r="AO604" t="s">
        <v>6038</v>
      </c>
      <c r="AP604" t="s">
        <v>74</v>
      </c>
      <c r="AQ604" t="s">
        <v>74</v>
      </c>
      <c r="AR604" t="s">
        <v>6039</v>
      </c>
      <c r="AS604" t="s">
        <v>6040</v>
      </c>
      <c r="AT604" t="s">
        <v>11427</v>
      </c>
      <c r="AU604">
        <v>2012</v>
      </c>
      <c r="AV604">
        <v>102</v>
      </c>
      <c r="AW604">
        <v>2</v>
      </c>
      <c r="AX604" t="s">
        <v>74</v>
      </c>
      <c r="AY604" t="s">
        <v>74</v>
      </c>
      <c r="AZ604" t="s">
        <v>74</v>
      </c>
      <c r="BA604" t="s">
        <v>74</v>
      </c>
      <c r="BB604">
        <v>314</v>
      </c>
      <c r="BC604">
        <v>319</v>
      </c>
      <c r="BD604" t="s">
        <v>74</v>
      </c>
      <c r="BE604" t="s">
        <v>74</v>
      </c>
      <c r="BF604" t="s">
        <v>74</v>
      </c>
      <c r="BG604" t="s">
        <v>74</v>
      </c>
      <c r="BH604" t="s">
        <v>74</v>
      </c>
      <c r="BI604">
        <v>6</v>
      </c>
      <c r="BJ604" t="s">
        <v>153</v>
      </c>
      <c r="BK604" t="s">
        <v>99</v>
      </c>
      <c r="BL604" t="s">
        <v>154</v>
      </c>
      <c r="BM604" t="s">
        <v>11428</v>
      </c>
      <c r="BN604" t="s">
        <v>74</v>
      </c>
      <c r="BO604" t="s">
        <v>74</v>
      </c>
      <c r="BP604" t="s">
        <v>74</v>
      </c>
      <c r="BQ604" t="s">
        <v>74</v>
      </c>
      <c r="BR604" t="s">
        <v>101</v>
      </c>
      <c r="BS604" t="s">
        <v>11429</v>
      </c>
      <c r="BT604" t="str">
        <f>HYPERLINK("https%3A%2F%2Fwww.webofscience.com%2Fwos%2Fwoscc%2Ffull-record%2FWOS:000299857300024","View Full Record in Web of Science")</f>
        <v>View Full Record in Web of Science</v>
      </c>
    </row>
    <row r="605" spans="1:72" x14ac:dyDescent="0.15">
      <c r="A605" t="s">
        <v>72</v>
      </c>
      <c r="B605" t="s">
        <v>11430</v>
      </c>
      <c r="C605" t="s">
        <v>74</v>
      </c>
      <c r="D605" t="s">
        <v>74</v>
      </c>
      <c r="E605" t="s">
        <v>74</v>
      </c>
      <c r="F605" t="s">
        <v>11431</v>
      </c>
      <c r="G605" t="s">
        <v>74</v>
      </c>
      <c r="H605" t="s">
        <v>74</v>
      </c>
      <c r="I605" t="s">
        <v>11432</v>
      </c>
      <c r="J605" t="s">
        <v>106</v>
      </c>
      <c r="K605" t="s">
        <v>74</v>
      </c>
      <c r="L605" t="s">
        <v>74</v>
      </c>
      <c r="M605" t="s">
        <v>78</v>
      </c>
      <c r="N605" t="s">
        <v>79</v>
      </c>
      <c r="O605" t="s">
        <v>74</v>
      </c>
      <c r="P605" t="s">
        <v>74</v>
      </c>
      <c r="Q605" t="s">
        <v>74</v>
      </c>
      <c r="R605" t="s">
        <v>74</v>
      </c>
      <c r="S605" t="s">
        <v>74</v>
      </c>
      <c r="T605" t="s">
        <v>74</v>
      </c>
      <c r="U605" t="s">
        <v>11433</v>
      </c>
      <c r="V605" t="s">
        <v>11434</v>
      </c>
      <c r="W605" t="s">
        <v>11435</v>
      </c>
      <c r="X605" t="s">
        <v>11436</v>
      </c>
      <c r="Y605" t="s">
        <v>11437</v>
      </c>
      <c r="Z605" t="s">
        <v>11438</v>
      </c>
      <c r="AA605" t="s">
        <v>11439</v>
      </c>
      <c r="AB605" t="s">
        <v>11440</v>
      </c>
      <c r="AC605" t="s">
        <v>11441</v>
      </c>
      <c r="AD605" t="s">
        <v>11442</v>
      </c>
      <c r="AE605" t="s">
        <v>11443</v>
      </c>
      <c r="AF605" t="s">
        <v>74</v>
      </c>
      <c r="AG605">
        <v>26</v>
      </c>
      <c r="AH605">
        <v>25</v>
      </c>
      <c r="AI605">
        <v>25</v>
      </c>
      <c r="AJ605">
        <v>0</v>
      </c>
      <c r="AK605">
        <v>15</v>
      </c>
      <c r="AL605" t="s">
        <v>118</v>
      </c>
      <c r="AM605" t="s">
        <v>119</v>
      </c>
      <c r="AN605" t="s">
        <v>120</v>
      </c>
      <c r="AO605" t="s">
        <v>121</v>
      </c>
      <c r="AP605" t="s">
        <v>122</v>
      </c>
      <c r="AQ605" t="s">
        <v>74</v>
      </c>
      <c r="AR605" t="s">
        <v>123</v>
      </c>
      <c r="AS605" t="s">
        <v>124</v>
      </c>
      <c r="AT605" t="s">
        <v>11444</v>
      </c>
      <c r="AU605">
        <v>2012</v>
      </c>
      <c r="AV605">
        <v>117</v>
      </c>
      <c r="AW605" t="s">
        <v>74</v>
      </c>
      <c r="AX605" t="s">
        <v>74</v>
      </c>
      <c r="AY605" t="s">
        <v>74</v>
      </c>
      <c r="AZ605" t="s">
        <v>74</v>
      </c>
      <c r="BA605" t="s">
        <v>74</v>
      </c>
      <c r="BB605" t="s">
        <v>74</v>
      </c>
      <c r="BC605" t="s">
        <v>74</v>
      </c>
      <c r="BD605" t="s">
        <v>11445</v>
      </c>
      <c r="BE605" t="s">
        <v>11446</v>
      </c>
      <c r="BF605" t="str">
        <f>HYPERLINK("http://dx.doi.org/10.1029/2011JD016377","http://dx.doi.org/10.1029/2011JD016377")</f>
        <v>http://dx.doi.org/10.1029/2011JD016377</v>
      </c>
      <c r="BG605" t="s">
        <v>74</v>
      </c>
      <c r="BH605" t="s">
        <v>74</v>
      </c>
      <c r="BI605">
        <v>15</v>
      </c>
      <c r="BJ605" t="s">
        <v>128</v>
      </c>
      <c r="BK605" t="s">
        <v>99</v>
      </c>
      <c r="BL605" t="s">
        <v>128</v>
      </c>
      <c r="BM605" t="s">
        <v>11447</v>
      </c>
      <c r="BN605" t="s">
        <v>74</v>
      </c>
      <c r="BO605" t="s">
        <v>822</v>
      </c>
      <c r="BP605" t="s">
        <v>74</v>
      </c>
      <c r="BQ605" t="s">
        <v>74</v>
      </c>
      <c r="BR605" t="s">
        <v>101</v>
      </c>
      <c r="BS605" t="s">
        <v>11448</v>
      </c>
      <c r="BT605" t="str">
        <f>HYPERLINK("https%3A%2F%2Fwww.webofscience.com%2Fwos%2Fwoscc%2Ffull-record%2FWOS:000299701800001","View Full Record in Web of Science")</f>
        <v>View Full Record in Web of Science</v>
      </c>
    </row>
    <row r="606" spans="1:72" x14ac:dyDescent="0.15">
      <c r="A606" t="s">
        <v>72</v>
      </c>
      <c r="B606" t="s">
        <v>11449</v>
      </c>
      <c r="C606" t="s">
        <v>74</v>
      </c>
      <c r="D606" t="s">
        <v>74</v>
      </c>
      <c r="E606" t="s">
        <v>74</v>
      </c>
      <c r="F606" t="s">
        <v>11450</v>
      </c>
      <c r="G606" t="s">
        <v>74</v>
      </c>
      <c r="H606" t="s">
        <v>74</v>
      </c>
      <c r="I606" t="s">
        <v>11451</v>
      </c>
      <c r="J606" t="s">
        <v>11452</v>
      </c>
      <c r="K606" t="s">
        <v>74</v>
      </c>
      <c r="L606" t="s">
        <v>74</v>
      </c>
      <c r="M606" t="s">
        <v>78</v>
      </c>
      <c r="N606" t="s">
        <v>79</v>
      </c>
      <c r="O606" t="s">
        <v>74</v>
      </c>
      <c r="P606" t="s">
        <v>74</v>
      </c>
      <c r="Q606" t="s">
        <v>74</v>
      </c>
      <c r="R606" t="s">
        <v>74</v>
      </c>
      <c r="S606" t="s">
        <v>74</v>
      </c>
      <c r="T606" t="s">
        <v>11453</v>
      </c>
      <c r="U606" t="s">
        <v>11454</v>
      </c>
      <c r="V606" t="s">
        <v>11455</v>
      </c>
      <c r="W606" t="s">
        <v>11456</v>
      </c>
      <c r="X606" t="s">
        <v>11457</v>
      </c>
      <c r="Y606" t="s">
        <v>11458</v>
      </c>
      <c r="Z606" t="s">
        <v>11459</v>
      </c>
      <c r="AA606" t="s">
        <v>11460</v>
      </c>
      <c r="AB606" t="s">
        <v>11461</v>
      </c>
      <c r="AC606" t="s">
        <v>11462</v>
      </c>
      <c r="AD606" t="s">
        <v>11462</v>
      </c>
      <c r="AE606" t="s">
        <v>11463</v>
      </c>
      <c r="AF606" t="s">
        <v>74</v>
      </c>
      <c r="AG606">
        <v>35</v>
      </c>
      <c r="AH606">
        <v>41</v>
      </c>
      <c r="AI606">
        <v>47</v>
      </c>
      <c r="AJ606">
        <v>0</v>
      </c>
      <c r="AK606">
        <v>21</v>
      </c>
      <c r="AL606" t="s">
        <v>11464</v>
      </c>
      <c r="AM606" t="s">
        <v>147</v>
      </c>
      <c r="AN606" t="s">
        <v>11465</v>
      </c>
      <c r="AO606" t="s">
        <v>11466</v>
      </c>
      <c r="AP606" t="s">
        <v>74</v>
      </c>
      <c r="AQ606" t="s">
        <v>74</v>
      </c>
      <c r="AR606" t="s">
        <v>11467</v>
      </c>
      <c r="AS606" t="s">
        <v>11468</v>
      </c>
      <c r="AT606" t="s">
        <v>11469</v>
      </c>
      <c r="AU606">
        <v>2012</v>
      </c>
      <c r="AV606">
        <v>11</v>
      </c>
      <c r="AW606" t="s">
        <v>74</v>
      </c>
      <c r="AX606" t="s">
        <v>74</v>
      </c>
      <c r="AY606" t="s">
        <v>74</v>
      </c>
      <c r="AZ606" t="s">
        <v>74</v>
      </c>
      <c r="BA606" t="s">
        <v>74</v>
      </c>
      <c r="BB606" t="s">
        <v>74</v>
      </c>
      <c r="BC606" t="s">
        <v>74</v>
      </c>
      <c r="BD606">
        <v>12</v>
      </c>
      <c r="BE606" t="s">
        <v>11470</v>
      </c>
      <c r="BF606" t="str">
        <f>HYPERLINK("http://dx.doi.org/10.1186/1475-2859-11-12","http://dx.doi.org/10.1186/1475-2859-11-12")</f>
        <v>http://dx.doi.org/10.1186/1475-2859-11-12</v>
      </c>
      <c r="BG606" t="s">
        <v>74</v>
      </c>
      <c r="BH606" t="s">
        <v>74</v>
      </c>
      <c r="BI606">
        <v>10</v>
      </c>
      <c r="BJ606" t="s">
        <v>893</v>
      </c>
      <c r="BK606" t="s">
        <v>99</v>
      </c>
      <c r="BL606" t="s">
        <v>893</v>
      </c>
      <c r="BM606" t="s">
        <v>11471</v>
      </c>
      <c r="BN606">
        <v>22270226</v>
      </c>
      <c r="BO606" t="s">
        <v>8543</v>
      </c>
      <c r="BP606" t="s">
        <v>74</v>
      </c>
      <c r="BQ606" t="s">
        <v>74</v>
      </c>
      <c r="BR606" t="s">
        <v>101</v>
      </c>
      <c r="BS606" t="s">
        <v>11472</v>
      </c>
      <c r="BT606" t="str">
        <f>HYPERLINK("https%3A%2F%2Fwww.webofscience.com%2Fwos%2Fwoscc%2Ffull-record%2FWOS:000302223500001","View Full Record in Web of Science")</f>
        <v>View Full Record in Web of Science</v>
      </c>
    </row>
    <row r="607" spans="1:72" x14ac:dyDescent="0.15">
      <c r="A607" t="s">
        <v>72</v>
      </c>
      <c r="B607" t="s">
        <v>11473</v>
      </c>
      <c r="C607" t="s">
        <v>74</v>
      </c>
      <c r="D607" t="s">
        <v>74</v>
      </c>
      <c r="E607" t="s">
        <v>74</v>
      </c>
      <c r="F607" t="s">
        <v>11474</v>
      </c>
      <c r="G607" t="s">
        <v>74</v>
      </c>
      <c r="H607" t="s">
        <v>74</v>
      </c>
      <c r="I607" t="s">
        <v>11475</v>
      </c>
      <c r="J607" t="s">
        <v>11476</v>
      </c>
      <c r="K607" t="s">
        <v>74</v>
      </c>
      <c r="L607" t="s">
        <v>74</v>
      </c>
      <c r="M607" t="s">
        <v>78</v>
      </c>
      <c r="N607" t="s">
        <v>79</v>
      </c>
      <c r="O607" t="s">
        <v>74</v>
      </c>
      <c r="P607" t="s">
        <v>74</v>
      </c>
      <c r="Q607" t="s">
        <v>74</v>
      </c>
      <c r="R607" t="s">
        <v>74</v>
      </c>
      <c r="S607" t="s">
        <v>74</v>
      </c>
      <c r="T607" t="s">
        <v>11477</v>
      </c>
      <c r="U607" t="s">
        <v>11478</v>
      </c>
      <c r="V607" t="s">
        <v>11479</v>
      </c>
      <c r="W607" t="s">
        <v>11480</v>
      </c>
      <c r="X607" t="s">
        <v>11481</v>
      </c>
      <c r="Y607" t="s">
        <v>11482</v>
      </c>
      <c r="Z607" t="s">
        <v>11483</v>
      </c>
      <c r="AA607" t="s">
        <v>11484</v>
      </c>
      <c r="AB607" t="s">
        <v>11485</v>
      </c>
      <c r="AC607" t="s">
        <v>11486</v>
      </c>
      <c r="AD607" t="s">
        <v>11487</v>
      </c>
      <c r="AE607" t="s">
        <v>11488</v>
      </c>
      <c r="AF607" t="s">
        <v>74</v>
      </c>
      <c r="AG607">
        <v>99</v>
      </c>
      <c r="AH607">
        <v>38</v>
      </c>
      <c r="AI607">
        <v>44</v>
      </c>
      <c r="AJ607">
        <v>2</v>
      </c>
      <c r="AK607">
        <v>42</v>
      </c>
      <c r="AL607" t="s">
        <v>935</v>
      </c>
      <c r="AM607" t="s">
        <v>369</v>
      </c>
      <c r="AN607" t="s">
        <v>936</v>
      </c>
      <c r="AO607" t="s">
        <v>11489</v>
      </c>
      <c r="AP607" t="s">
        <v>11490</v>
      </c>
      <c r="AQ607" t="s">
        <v>74</v>
      </c>
      <c r="AR607" t="s">
        <v>11491</v>
      </c>
      <c r="AS607" t="s">
        <v>11492</v>
      </c>
      <c r="AT607" t="s">
        <v>11469</v>
      </c>
      <c r="AU607">
        <v>2012</v>
      </c>
      <c r="AV607">
        <v>292</v>
      </c>
      <c r="AW607" t="s">
        <v>74</v>
      </c>
      <c r="AX607" t="s">
        <v>74</v>
      </c>
      <c r="AY607" t="s">
        <v>74</v>
      </c>
      <c r="AZ607" t="s">
        <v>74</v>
      </c>
      <c r="BA607" t="s">
        <v>74</v>
      </c>
      <c r="BB607">
        <v>88</v>
      </c>
      <c r="BC607">
        <v>102</v>
      </c>
      <c r="BD607" t="s">
        <v>74</v>
      </c>
      <c r="BE607" t="s">
        <v>11493</v>
      </c>
      <c r="BF607" t="str">
        <f>HYPERLINK("http://dx.doi.org/10.1016/j.chemgeo.2011.11.006","http://dx.doi.org/10.1016/j.chemgeo.2011.11.006")</f>
        <v>http://dx.doi.org/10.1016/j.chemgeo.2011.11.006</v>
      </c>
      <c r="BG607" t="s">
        <v>74</v>
      </c>
      <c r="BH607" t="s">
        <v>74</v>
      </c>
      <c r="BI607">
        <v>15</v>
      </c>
      <c r="BJ607" t="s">
        <v>1134</v>
      </c>
      <c r="BK607" t="s">
        <v>99</v>
      </c>
      <c r="BL607" t="s">
        <v>1134</v>
      </c>
      <c r="BM607" t="s">
        <v>11494</v>
      </c>
      <c r="BN607" t="s">
        <v>74</v>
      </c>
      <c r="BO607" t="s">
        <v>74</v>
      </c>
      <c r="BP607" t="s">
        <v>74</v>
      </c>
      <c r="BQ607" t="s">
        <v>74</v>
      </c>
      <c r="BR607" t="s">
        <v>101</v>
      </c>
      <c r="BS607" t="s">
        <v>11495</v>
      </c>
      <c r="BT607" t="str">
        <f>HYPERLINK("https%3A%2F%2Fwww.webofscience.com%2Fwos%2Fwoscc%2Ffull-record%2FWOS:000300339000008","View Full Record in Web of Science")</f>
        <v>View Full Record in Web of Science</v>
      </c>
    </row>
    <row r="608" spans="1:72" x14ac:dyDescent="0.15">
      <c r="A608" t="s">
        <v>72</v>
      </c>
      <c r="B608" t="s">
        <v>11496</v>
      </c>
      <c r="C608" t="s">
        <v>74</v>
      </c>
      <c r="D608" t="s">
        <v>74</v>
      </c>
      <c r="E608" t="s">
        <v>74</v>
      </c>
      <c r="F608" t="s">
        <v>11497</v>
      </c>
      <c r="G608" t="s">
        <v>74</v>
      </c>
      <c r="H608" t="s">
        <v>74</v>
      </c>
      <c r="I608" t="s">
        <v>11498</v>
      </c>
      <c r="J608" t="s">
        <v>106</v>
      </c>
      <c r="K608" t="s">
        <v>74</v>
      </c>
      <c r="L608" t="s">
        <v>74</v>
      </c>
      <c r="M608" t="s">
        <v>78</v>
      </c>
      <c r="N608" t="s">
        <v>79</v>
      </c>
      <c r="O608" t="s">
        <v>74</v>
      </c>
      <c r="P608" t="s">
        <v>74</v>
      </c>
      <c r="Q608" t="s">
        <v>74</v>
      </c>
      <c r="R608" t="s">
        <v>74</v>
      </c>
      <c r="S608" t="s">
        <v>74</v>
      </c>
      <c r="T608" t="s">
        <v>74</v>
      </c>
      <c r="U608" t="s">
        <v>11499</v>
      </c>
      <c r="V608" t="s">
        <v>11500</v>
      </c>
      <c r="W608" t="s">
        <v>11501</v>
      </c>
      <c r="X608" t="s">
        <v>11502</v>
      </c>
      <c r="Y608" t="s">
        <v>11503</v>
      </c>
      <c r="Z608" t="s">
        <v>11504</v>
      </c>
      <c r="AA608" t="s">
        <v>11505</v>
      </c>
      <c r="AB608" t="s">
        <v>11506</v>
      </c>
      <c r="AC608" t="s">
        <v>11507</v>
      </c>
      <c r="AD608" t="s">
        <v>11508</v>
      </c>
      <c r="AE608" t="s">
        <v>11509</v>
      </c>
      <c r="AF608" t="s">
        <v>74</v>
      </c>
      <c r="AG608">
        <v>71</v>
      </c>
      <c r="AH608">
        <v>27</v>
      </c>
      <c r="AI608">
        <v>27</v>
      </c>
      <c r="AJ608">
        <v>0</v>
      </c>
      <c r="AK608">
        <v>20</v>
      </c>
      <c r="AL608" t="s">
        <v>118</v>
      </c>
      <c r="AM608" t="s">
        <v>119</v>
      </c>
      <c r="AN608" t="s">
        <v>120</v>
      </c>
      <c r="AO608" t="s">
        <v>121</v>
      </c>
      <c r="AP608" t="s">
        <v>122</v>
      </c>
      <c r="AQ608" t="s">
        <v>74</v>
      </c>
      <c r="AR608" t="s">
        <v>123</v>
      </c>
      <c r="AS608" t="s">
        <v>124</v>
      </c>
      <c r="AT608" t="s">
        <v>11510</v>
      </c>
      <c r="AU608">
        <v>2012</v>
      </c>
      <c r="AV608">
        <v>117</v>
      </c>
      <c r="AW608" t="s">
        <v>74</v>
      </c>
      <c r="AX608" t="s">
        <v>74</v>
      </c>
      <c r="AY608" t="s">
        <v>74</v>
      </c>
      <c r="AZ608" t="s">
        <v>74</v>
      </c>
      <c r="BA608" t="s">
        <v>74</v>
      </c>
      <c r="BB608" t="s">
        <v>74</v>
      </c>
      <c r="BC608" t="s">
        <v>74</v>
      </c>
      <c r="BD608" t="s">
        <v>11511</v>
      </c>
      <c r="BE608" t="s">
        <v>11512</v>
      </c>
      <c r="BF608" t="str">
        <f>HYPERLINK("http://dx.doi.org/10.1029/2011JD016651","http://dx.doi.org/10.1029/2011JD016651")</f>
        <v>http://dx.doi.org/10.1029/2011JD016651</v>
      </c>
      <c r="BG608" t="s">
        <v>74</v>
      </c>
      <c r="BH608" t="s">
        <v>74</v>
      </c>
      <c r="BI608">
        <v>17</v>
      </c>
      <c r="BJ608" t="s">
        <v>128</v>
      </c>
      <c r="BK608" t="s">
        <v>99</v>
      </c>
      <c r="BL608" t="s">
        <v>128</v>
      </c>
      <c r="BM608" t="s">
        <v>11513</v>
      </c>
      <c r="BN608" t="s">
        <v>74</v>
      </c>
      <c r="BO608" t="s">
        <v>74</v>
      </c>
      <c r="BP608" t="s">
        <v>74</v>
      </c>
      <c r="BQ608" t="s">
        <v>74</v>
      </c>
      <c r="BR608" t="s">
        <v>101</v>
      </c>
      <c r="BS608" t="s">
        <v>11514</v>
      </c>
      <c r="BT608" t="str">
        <f>HYPERLINK("https%3A%2F%2Fwww.webofscience.com%2Fwos%2Fwoscc%2Ffull-record%2FWOS:000299390400002","View Full Record in Web of Science")</f>
        <v>View Full Record in Web of Science</v>
      </c>
    </row>
    <row r="609" spans="1:72" x14ac:dyDescent="0.15">
      <c r="A609" t="s">
        <v>72</v>
      </c>
      <c r="B609" t="s">
        <v>11515</v>
      </c>
      <c r="C609" t="s">
        <v>74</v>
      </c>
      <c r="D609" t="s">
        <v>74</v>
      </c>
      <c r="E609" t="s">
        <v>74</v>
      </c>
      <c r="F609" t="s">
        <v>11516</v>
      </c>
      <c r="G609" t="s">
        <v>74</v>
      </c>
      <c r="H609" t="s">
        <v>74</v>
      </c>
      <c r="I609" t="s">
        <v>11517</v>
      </c>
      <c r="J609" t="s">
        <v>176</v>
      </c>
      <c r="K609" t="s">
        <v>74</v>
      </c>
      <c r="L609" t="s">
        <v>74</v>
      </c>
      <c r="M609" t="s">
        <v>78</v>
      </c>
      <c r="N609" t="s">
        <v>79</v>
      </c>
      <c r="O609" t="s">
        <v>74</v>
      </c>
      <c r="P609" t="s">
        <v>74</v>
      </c>
      <c r="Q609" t="s">
        <v>74</v>
      </c>
      <c r="R609" t="s">
        <v>74</v>
      </c>
      <c r="S609" t="s">
        <v>74</v>
      </c>
      <c r="T609" t="s">
        <v>74</v>
      </c>
      <c r="U609" t="s">
        <v>11518</v>
      </c>
      <c r="V609" t="s">
        <v>11519</v>
      </c>
      <c r="W609" t="s">
        <v>11520</v>
      </c>
      <c r="X609" t="s">
        <v>11521</v>
      </c>
      <c r="Y609" t="s">
        <v>11522</v>
      </c>
      <c r="Z609" t="s">
        <v>11523</v>
      </c>
      <c r="AA609" t="s">
        <v>11524</v>
      </c>
      <c r="AB609" t="s">
        <v>11525</v>
      </c>
      <c r="AC609" t="s">
        <v>11526</v>
      </c>
      <c r="AD609" t="s">
        <v>11527</v>
      </c>
      <c r="AE609" t="s">
        <v>11528</v>
      </c>
      <c r="AF609" t="s">
        <v>74</v>
      </c>
      <c r="AG609">
        <v>29</v>
      </c>
      <c r="AH609">
        <v>8</v>
      </c>
      <c r="AI609">
        <v>9</v>
      </c>
      <c r="AJ609">
        <v>0</v>
      </c>
      <c r="AK609">
        <v>4</v>
      </c>
      <c r="AL609" t="s">
        <v>118</v>
      </c>
      <c r="AM609" t="s">
        <v>119</v>
      </c>
      <c r="AN609" t="s">
        <v>120</v>
      </c>
      <c r="AO609" t="s">
        <v>187</v>
      </c>
      <c r="AP609" t="s">
        <v>188</v>
      </c>
      <c r="AQ609" t="s">
        <v>74</v>
      </c>
      <c r="AR609" t="s">
        <v>189</v>
      </c>
      <c r="AS609" t="s">
        <v>190</v>
      </c>
      <c r="AT609" t="s">
        <v>11510</v>
      </c>
      <c r="AU609">
        <v>2012</v>
      </c>
      <c r="AV609">
        <v>39</v>
      </c>
      <c r="AW609" t="s">
        <v>74</v>
      </c>
      <c r="AX609" t="s">
        <v>74</v>
      </c>
      <c r="AY609" t="s">
        <v>74</v>
      </c>
      <c r="AZ609" t="s">
        <v>74</v>
      </c>
      <c r="BA609" t="s">
        <v>74</v>
      </c>
      <c r="BB609" t="s">
        <v>74</v>
      </c>
      <c r="BC609" t="s">
        <v>74</v>
      </c>
      <c r="BD609" t="s">
        <v>11529</v>
      </c>
      <c r="BE609" t="s">
        <v>11530</v>
      </c>
      <c r="BF609" t="str">
        <f>HYPERLINK("http://dx.doi.org/10.1029/2011GL049982","http://dx.doi.org/10.1029/2011GL049982")</f>
        <v>http://dx.doi.org/10.1029/2011GL049982</v>
      </c>
      <c r="BG609" t="s">
        <v>74</v>
      </c>
      <c r="BH609" t="s">
        <v>74</v>
      </c>
      <c r="BI609">
        <v>5</v>
      </c>
      <c r="BJ609" t="s">
        <v>194</v>
      </c>
      <c r="BK609" t="s">
        <v>99</v>
      </c>
      <c r="BL609" t="s">
        <v>195</v>
      </c>
      <c r="BM609" t="s">
        <v>11531</v>
      </c>
      <c r="BN609" t="s">
        <v>74</v>
      </c>
      <c r="BO609" t="s">
        <v>74</v>
      </c>
      <c r="BP609" t="s">
        <v>74</v>
      </c>
      <c r="BQ609" t="s">
        <v>74</v>
      </c>
      <c r="BR609" t="s">
        <v>101</v>
      </c>
      <c r="BS609" t="s">
        <v>11532</v>
      </c>
      <c r="BT609" t="str">
        <f>HYPERLINK("https%3A%2F%2Fwww.webofscience.com%2Fwos%2Fwoscc%2Ffull-record%2FWOS:000299394400001","View Full Record in Web of Science")</f>
        <v>View Full Record in Web of Science</v>
      </c>
    </row>
    <row r="610" spans="1:72" x14ac:dyDescent="0.15">
      <c r="A610" t="s">
        <v>72</v>
      </c>
      <c r="B610" t="s">
        <v>11533</v>
      </c>
      <c r="C610" t="s">
        <v>74</v>
      </c>
      <c r="D610" t="s">
        <v>74</v>
      </c>
      <c r="E610" t="s">
        <v>74</v>
      </c>
      <c r="F610" t="s">
        <v>11534</v>
      </c>
      <c r="G610" t="s">
        <v>74</v>
      </c>
      <c r="H610" t="s">
        <v>74</v>
      </c>
      <c r="I610" t="s">
        <v>11535</v>
      </c>
      <c r="J610" t="s">
        <v>2899</v>
      </c>
      <c r="K610" t="s">
        <v>74</v>
      </c>
      <c r="L610" t="s">
        <v>74</v>
      </c>
      <c r="M610" t="s">
        <v>78</v>
      </c>
      <c r="N610" t="s">
        <v>79</v>
      </c>
      <c r="O610" t="s">
        <v>74</v>
      </c>
      <c r="P610" t="s">
        <v>74</v>
      </c>
      <c r="Q610" t="s">
        <v>74</v>
      </c>
      <c r="R610" t="s">
        <v>74</v>
      </c>
      <c r="S610" t="s">
        <v>74</v>
      </c>
      <c r="T610" t="s">
        <v>11536</v>
      </c>
      <c r="U610" t="s">
        <v>11537</v>
      </c>
      <c r="V610" t="s">
        <v>11538</v>
      </c>
      <c r="W610" t="s">
        <v>11539</v>
      </c>
      <c r="X610" t="s">
        <v>11540</v>
      </c>
      <c r="Y610" t="s">
        <v>11541</v>
      </c>
      <c r="Z610" t="s">
        <v>11542</v>
      </c>
      <c r="AA610" t="s">
        <v>74</v>
      </c>
      <c r="AB610" t="s">
        <v>11543</v>
      </c>
      <c r="AC610" t="s">
        <v>11544</v>
      </c>
      <c r="AD610" t="s">
        <v>11545</v>
      </c>
      <c r="AE610" t="s">
        <v>11546</v>
      </c>
      <c r="AF610" t="s">
        <v>74</v>
      </c>
      <c r="AG610">
        <v>87</v>
      </c>
      <c r="AH610">
        <v>20</v>
      </c>
      <c r="AI610">
        <v>23</v>
      </c>
      <c r="AJ610">
        <v>0</v>
      </c>
      <c r="AK610">
        <v>38</v>
      </c>
      <c r="AL610" t="s">
        <v>935</v>
      </c>
      <c r="AM610" t="s">
        <v>369</v>
      </c>
      <c r="AN610" t="s">
        <v>936</v>
      </c>
      <c r="AO610" t="s">
        <v>2910</v>
      </c>
      <c r="AP610" t="s">
        <v>2911</v>
      </c>
      <c r="AQ610" t="s">
        <v>74</v>
      </c>
      <c r="AR610" t="s">
        <v>2912</v>
      </c>
      <c r="AS610" t="s">
        <v>2913</v>
      </c>
      <c r="AT610" t="s">
        <v>11547</v>
      </c>
      <c r="AU610">
        <v>2012</v>
      </c>
      <c r="AV610">
        <v>128</v>
      </c>
      <c r="AW610" t="s">
        <v>74</v>
      </c>
      <c r="AX610" t="s">
        <v>74</v>
      </c>
      <c r="AY610" t="s">
        <v>74</v>
      </c>
      <c r="AZ610" t="s">
        <v>74</v>
      </c>
      <c r="BA610" t="s">
        <v>74</v>
      </c>
      <c r="BB610">
        <v>81</v>
      </c>
      <c r="BC610">
        <v>91</v>
      </c>
      <c r="BD610" t="s">
        <v>74</v>
      </c>
      <c r="BE610" t="s">
        <v>11548</v>
      </c>
      <c r="BF610" t="str">
        <f>HYPERLINK("http://dx.doi.org/10.1016/j.marchem.2011.10.005","http://dx.doi.org/10.1016/j.marchem.2011.10.005")</f>
        <v>http://dx.doi.org/10.1016/j.marchem.2011.10.005</v>
      </c>
      <c r="BG610" t="s">
        <v>74</v>
      </c>
      <c r="BH610" t="s">
        <v>74</v>
      </c>
      <c r="BI610">
        <v>11</v>
      </c>
      <c r="BJ610" t="s">
        <v>2916</v>
      </c>
      <c r="BK610" t="s">
        <v>99</v>
      </c>
      <c r="BL610" t="s">
        <v>2917</v>
      </c>
      <c r="BM610" t="s">
        <v>11549</v>
      </c>
      <c r="BN610" t="s">
        <v>74</v>
      </c>
      <c r="BO610" t="s">
        <v>74</v>
      </c>
      <c r="BP610" t="s">
        <v>74</v>
      </c>
      <c r="BQ610" t="s">
        <v>74</v>
      </c>
      <c r="BR610" t="s">
        <v>101</v>
      </c>
      <c r="BS610" t="s">
        <v>11550</v>
      </c>
      <c r="BT610" t="str">
        <f>HYPERLINK("https%3A%2F%2Fwww.webofscience.com%2Fwos%2Fwoscc%2Ffull-record%2FWOS:000300268900009","View Full Record in Web of Science")</f>
        <v>View Full Record in Web of Science</v>
      </c>
    </row>
    <row r="611" spans="1:72" x14ac:dyDescent="0.15">
      <c r="A611" t="s">
        <v>72</v>
      </c>
      <c r="B611" t="s">
        <v>11551</v>
      </c>
      <c r="C611" t="s">
        <v>74</v>
      </c>
      <c r="D611" t="s">
        <v>74</v>
      </c>
      <c r="E611" t="s">
        <v>74</v>
      </c>
      <c r="F611" t="s">
        <v>11552</v>
      </c>
      <c r="G611" t="s">
        <v>74</v>
      </c>
      <c r="H611" t="s">
        <v>74</v>
      </c>
      <c r="I611" t="s">
        <v>11553</v>
      </c>
      <c r="J611" t="s">
        <v>2817</v>
      </c>
      <c r="K611" t="s">
        <v>74</v>
      </c>
      <c r="L611" t="s">
        <v>74</v>
      </c>
      <c r="M611" t="s">
        <v>78</v>
      </c>
      <c r="N611" t="s">
        <v>79</v>
      </c>
      <c r="O611" t="s">
        <v>74</v>
      </c>
      <c r="P611" t="s">
        <v>74</v>
      </c>
      <c r="Q611" t="s">
        <v>74</v>
      </c>
      <c r="R611" t="s">
        <v>74</v>
      </c>
      <c r="S611" t="s">
        <v>74</v>
      </c>
      <c r="T611" t="s">
        <v>74</v>
      </c>
      <c r="U611" t="s">
        <v>11554</v>
      </c>
      <c r="V611" t="s">
        <v>11555</v>
      </c>
      <c r="W611" t="s">
        <v>11556</v>
      </c>
      <c r="X611" t="s">
        <v>11557</v>
      </c>
      <c r="Y611" t="s">
        <v>11558</v>
      </c>
      <c r="Z611" t="s">
        <v>11559</v>
      </c>
      <c r="AA611" t="s">
        <v>11560</v>
      </c>
      <c r="AB611" t="s">
        <v>11561</v>
      </c>
      <c r="AC611" t="s">
        <v>11562</v>
      </c>
      <c r="AD611" t="s">
        <v>11563</v>
      </c>
      <c r="AE611" t="s">
        <v>11564</v>
      </c>
      <c r="AF611" t="s">
        <v>74</v>
      </c>
      <c r="AG611">
        <v>102</v>
      </c>
      <c r="AH611">
        <v>110</v>
      </c>
      <c r="AI611">
        <v>121</v>
      </c>
      <c r="AJ611">
        <v>2</v>
      </c>
      <c r="AK611">
        <v>55</v>
      </c>
      <c r="AL611" t="s">
        <v>118</v>
      </c>
      <c r="AM611" t="s">
        <v>119</v>
      </c>
      <c r="AN611" t="s">
        <v>120</v>
      </c>
      <c r="AO611" t="s">
        <v>2828</v>
      </c>
      <c r="AP611" t="s">
        <v>74</v>
      </c>
      <c r="AQ611" t="s">
        <v>74</v>
      </c>
      <c r="AR611" t="s">
        <v>2817</v>
      </c>
      <c r="AS611" t="s">
        <v>2830</v>
      </c>
      <c r="AT611" t="s">
        <v>11547</v>
      </c>
      <c r="AU611">
        <v>2012</v>
      </c>
      <c r="AV611">
        <v>27</v>
      </c>
      <c r="AW611" t="s">
        <v>74</v>
      </c>
      <c r="AX611" t="s">
        <v>74</v>
      </c>
      <c r="AY611" t="s">
        <v>74</v>
      </c>
      <c r="AZ611" t="s">
        <v>74</v>
      </c>
      <c r="BA611" t="s">
        <v>74</v>
      </c>
      <c r="BB611" t="s">
        <v>74</v>
      </c>
      <c r="BC611" t="s">
        <v>74</v>
      </c>
      <c r="BD611" t="s">
        <v>11565</v>
      </c>
      <c r="BE611" t="s">
        <v>11566</v>
      </c>
      <c r="BF611" t="str">
        <f>HYPERLINK("http://dx.doi.org/10.1029/2011PA002215","http://dx.doi.org/10.1029/2011PA002215")</f>
        <v>http://dx.doi.org/10.1029/2011PA002215</v>
      </c>
      <c r="BG611" t="s">
        <v>74</v>
      </c>
      <c r="BH611" t="s">
        <v>74</v>
      </c>
      <c r="BI611">
        <v>16</v>
      </c>
      <c r="BJ611" t="s">
        <v>2834</v>
      </c>
      <c r="BK611" t="s">
        <v>99</v>
      </c>
      <c r="BL611" t="s">
        <v>2835</v>
      </c>
      <c r="BM611" t="s">
        <v>11567</v>
      </c>
      <c r="BN611" t="s">
        <v>74</v>
      </c>
      <c r="BO611" t="s">
        <v>217</v>
      </c>
      <c r="BP611" t="s">
        <v>74</v>
      </c>
      <c r="BQ611" t="s">
        <v>74</v>
      </c>
      <c r="BR611" t="s">
        <v>101</v>
      </c>
      <c r="BS611" t="s">
        <v>11568</v>
      </c>
      <c r="BT611" t="str">
        <f>HYPERLINK("https%3A%2F%2Fwww.webofscience.com%2Fwos%2Fwoscc%2Ffull-record%2FWOS:000299385000001","View Full Record in Web of Science")</f>
        <v>View Full Record in Web of Science</v>
      </c>
    </row>
    <row r="612" spans="1:72" x14ac:dyDescent="0.15">
      <c r="A612" t="s">
        <v>72</v>
      </c>
      <c r="B612" t="s">
        <v>11569</v>
      </c>
      <c r="C612" t="s">
        <v>74</v>
      </c>
      <c r="D612" t="s">
        <v>74</v>
      </c>
      <c r="E612" t="s">
        <v>74</v>
      </c>
      <c r="F612" t="s">
        <v>11570</v>
      </c>
      <c r="G612" t="s">
        <v>74</v>
      </c>
      <c r="H612" t="s">
        <v>74</v>
      </c>
      <c r="I612" t="s">
        <v>11571</v>
      </c>
      <c r="J612" t="s">
        <v>7101</v>
      </c>
      <c r="K612" t="s">
        <v>74</v>
      </c>
      <c r="L612" t="s">
        <v>74</v>
      </c>
      <c r="M612" t="s">
        <v>78</v>
      </c>
      <c r="N612" t="s">
        <v>79</v>
      </c>
      <c r="O612" t="s">
        <v>74</v>
      </c>
      <c r="P612" t="s">
        <v>74</v>
      </c>
      <c r="Q612" t="s">
        <v>74</v>
      </c>
      <c r="R612" t="s">
        <v>74</v>
      </c>
      <c r="S612" t="s">
        <v>74</v>
      </c>
      <c r="T612" t="s">
        <v>11572</v>
      </c>
      <c r="U612" t="s">
        <v>11573</v>
      </c>
      <c r="V612" t="s">
        <v>11574</v>
      </c>
      <c r="W612" t="s">
        <v>11575</v>
      </c>
      <c r="X612" t="s">
        <v>11576</v>
      </c>
      <c r="Y612" t="s">
        <v>11577</v>
      </c>
      <c r="Z612" t="s">
        <v>11578</v>
      </c>
      <c r="AA612" t="s">
        <v>11579</v>
      </c>
      <c r="AB612" t="s">
        <v>11580</v>
      </c>
      <c r="AC612" t="s">
        <v>11581</v>
      </c>
      <c r="AD612" t="s">
        <v>11582</v>
      </c>
      <c r="AE612" t="s">
        <v>11583</v>
      </c>
      <c r="AF612" t="s">
        <v>74</v>
      </c>
      <c r="AG612">
        <v>103</v>
      </c>
      <c r="AH612">
        <v>49</v>
      </c>
      <c r="AI612">
        <v>55</v>
      </c>
      <c r="AJ612">
        <v>1</v>
      </c>
      <c r="AK612">
        <v>68</v>
      </c>
      <c r="AL612" t="s">
        <v>4632</v>
      </c>
      <c r="AM612" t="s">
        <v>147</v>
      </c>
      <c r="AN612" t="s">
        <v>4633</v>
      </c>
      <c r="AO612" t="s">
        <v>7114</v>
      </c>
      <c r="AP612" t="s">
        <v>7115</v>
      </c>
      <c r="AQ612" t="s">
        <v>74</v>
      </c>
      <c r="AR612" t="s">
        <v>7116</v>
      </c>
      <c r="AS612" t="s">
        <v>7117</v>
      </c>
      <c r="AT612" t="s">
        <v>11547</v>
      </c>
      <c r="AU612">
        <v>2012</v>
      </c>
      <c r="AV612">
        <v>97</v>
      </c>
      <c r="AW612" t="s">
        <v>74</v>
      </c>
      <c r="AX612" t="s">
        <v>74</v>
      </c>
      <c r="AY612" t="s">
        <v>74</v>
      </c>
      <c r="AZ612" t="s">
        <v>74</v>
      </c>
      <c r="BA612" t="s">
        <v>74</v>
      </c>
      <c r="BB612">
        <v>44</v>
      </c>
      <c r="BC612">
        <v>57</v>
      </c>
      <c r="BD612" t="s">
        <v>74</v>
      </c>
      <c r="BE612" t="s">
        <v>11584</v>
      </c>
      <c r="BF612" t="str">
        <f>HYPERLINK("http://dx.doi.org/10.1016/j.ecss.2011.11.003","http://dx.doi.org/10.1016/j.ecss.2011.11.003")</f>
        <v>http://dx.doi.org/10.1016/j.ecss.2011.11.003</v>
      </c>
      <c r="BG612" t="s">
        <v>74</v>
      </c>
      <c r="BH612" t="s">
        <v>74</v>
      </c>
      <c r="BI612">
        <v>14</v>
      </c>
      <c r="BJ612" t="s">
        <v>636</v>
      </c>
      <c r="BK612" t="s">
        <v>99</v>
      </c>
      <c r="BL612" t="s">
        <v>636</v>
      </c>
      <c r="BM612" t="s">
        <v>11585</v>
      </c>
      <c r="BN612" t="s">
        <v>74</v>
      </c>
      <c r="BO612" t="s">
        <v>74</v>
      </c>
      <c r="BP612" t="s">
        <v>74</v>
      </c>
      <c r="BQ612" t="s">
        <v>74</v>
      </c>
      <c r="BR612" t="s">
        <v>101</v>
      </c>
      <c r="BS612" t="s">
        <v>11586</v>
      </c>
      <c r="BT612" t="str">
        <f>HYPERLINK("https%3A%2F%2Fwww.webofscience.com%2Fwos%2Fwoscc%2Ffull-record%2FWOS:000300745500006","View Full Record in Web of Science")</f>
        <v>View Full Record in Web of Science</v>
      </c>
    </row>
    <row r="613" spans="1:72" x14ac:dyDescent="0.15">
      <c r="A613" t="s">
        <v>72</v>
      </c>
      <c r="B613" t="s">
        <v>11587</v>
      </c>
      <c r="C613" t="s">
        <v>74</v>
      </c>
      <c r="D613" t="s">
        <v>74</v>
      </c>
      <c r="E613" t="s">
        <v>74</v>
      </c>
      <c r="F613" t="s">
        <v>11588</v>
      </c>
      <c r="G613" t="s">
        <v>74</v>
      </c>
      <c r="H613" t="s">
        <v>74</v>
      </c>
      <c r="I613" t="s">
        <v>11589</v>
      </c>
      <c r="J613" t="s">
        <v>333</v>
      </c>
      <c r="K613" t="s">
        <v>74</v>
      </c>
      <c r="L613" t="s">
        <v>74</v>
      </c>
      <c r="M613" t="s">
        <v>78</v>
      </c>
      <c r="N613" t="s">
        <v>79</v>
      </c>
      <c r="O613" t="s">
        <v>74</v>
      </c>
      <c r="P613" t="s">
        <v>74</v>
      </c>
      <c r="Q613" t="s">
        <v>74</v>
      </c>
      <c r="R613" t="s">
        <v>74</v>
      </c>
      <c r="S613" t="s">
        <v>74</v>
      </c>
      <c r="T613" t="s">
        <v>74</v>
      </c>
      <c r="U613" t="s">
        <v>11590</v>
      </c>
      <c r="V613" t="s">
        <v>11591</v>
      </c>
      <c r="W613" t="s">
        <v>11592</v>
      </c>
      <c r="X613" t="s">
        <v>11593</v>
      </c>
      <c r="Y613" t="s">
        <v>11594</v>
      </c>
      <c r="Z613" t="s">
        <v>11595</v>
      </c>
      <c r="AA613" t="s">
        <v>11596</v>
      </c>
      <c r="AB613" t="s">
        <v>11597</v>
      </c>
      <c r="AC613" t="s">
        <v>11598</v>
      </c>
      <c r="AD613" t="s">
        <v>11599</v>
      </c>
      <c r="AE613" t="s">
        <v>11600</v>
      </c>
      <c r="AF613" t="s">
        <v>74</v>
      </c>
      <c r="AG613">
        <v>85</v>
      </c>
      <c r="AH613">
        <v>57</v>
      </c>
      <c r="AI613">
        <v>60</v>
      </c>
      <c r="AJ613">
        <v>1</v>
      </c>
      <c r="AK613">
        <v>36</v>
      </c>
      <c r="AL613" t="s">
        <v>118</v>
      </c>
      <c r="AM613" t="s">
        <v>119</v>
      </c>
      <c r="AN613" t="s">
        <v>120</v>
      </c>
      <c r="AO613" t="s">
        <v>344</v>
      </c>
      <c r="AP613" t="s">
        <v>345</v>
      </c>
      <c r="AQ613" t="s">
        <v>74</v>
      </c>
      <c r="AR613" t="s">
        <v>346</v>
      </c>
      <c r="AS613" t="s">
        <v>347</v>
      </c>
      <c r="AT613" t="s">
        <v>11547</v>
      </c>
      <c r="AU613">
        <v>2012</v>
      </c>
      <c r="AV613">
        <v>117</v>
      </c>
      <c r="AW613" t="s">
        <v>74</v>
      </c>
      <c r="AX613" t="s">
        <v>74</v>
      </c>
      <c r="AY613" t="s">
        <v>74</v>
      </c>
      <c r="AZ613" t="s">
        <v>74</v>
      </c>
      <c r="BA613" t="s">
        <v>74</v>
      </c>
      <c r="BB613" t="s">
        <v>74</v>
      </c>
      <c r="BC613" t="s">
        <v>74</v>
      </c>
      <c r="BD613" t="s">
        <v>11601</v>
      </c>
      <c r="BE613" t="s">
        <v>11602</v>
      </c>
      <c r="BF613" t="str">
        <f>HYPERLINK("http://dx.doi.org/10.1029/2011JC007301","http://dx.doi.org/10.1029/2011JC007301")</f>
        <v>http://dx.doi.org/10.1029/2011JC007301</v>
      </c>
      <c r="BG613" t="s">
        <v>74</v>
      </c>
      <c r="BH613" t="s">
        <v>74</v>
      </c>
      <c r="BI613">
        <v>17</v>
      </c>
      <c r="BJ613" t="s">
        <v>350</v>
      </c>
      <c r="BK613" t="s">
        <v>99</v>
      </c>
      <c r="BL613" t="s">
        <v>350</v>
      </c>
      <c r="BM613" t="s">
        <v>11603</v>
      </c>
      <c r="BN613" t="s">
        <v>74</v>
      </c>
      <c r="BO613" t="s">
        <v>308</v>
      </c>
      <c r="BP613" t="s">
        <v>74</v>
      </c>
      <c r="BQ613" t="s">
        <v>74</v>
      </c>
      <c r="BR613" t="s">
        <v>101</v>
      </c>
      <c r="BS613" t="s">
        <v>11604</v>
      </c>
      <c r="BT613" t="str">
        <f>HYPERLINK("https%3A%2F%2Fwww.webofscience.com%2Fwos%2Fwoscc%2Ffull-record%2FWOS:000299390600001","View Full Record in Web of Science")</f>
        <v>View Full Record in Web of Science</v>
      </c>
    </row>
    <row r="614" spans="1:72" x14ac:dyDescent="0.15">
      <c r="A614" t="s">
        <v>72</v>
      </c>
      <c r="B614" t="s">
        <v>1137</v>
      </c>
      <c r="C614" t="s">
        <v>74</v>
      </c>
      <c r="D614" t="s">
        <v>74</v>
      </c>
      <c r="E614" t="s">
        <v>74</v>
      </c>
      <c r="F614" t="s">
        <v>1137</v>
      </c>
      <c r="G614" t="s">
        <v>74</v>
      </c>
      <c r="H614" t="s">
        <v>74</v>
      </c>
      <c r="I614" t="s">
        <v>11605</v>
      </c>
      <c r="J614" t="s">
        <v>135</v>
      </c>
      <c r="K614" t="s">
        <v>74</v>
      </c>
      <c r="L614" t="s">
        <v>74</v>
      </c>
      <c r="M614" t="s">
        <v>78</v>
      </c>
      <c r="N614" t="s">
        <v>2225</v>
      </c>
      <c r="O614" t="s">
        <v>74</v>
      </c>
      <c r="P614" t="s">
        <v>74</v>
      </c>
      <c r="Q614" t="s">
        <v>74</v>
      </c>
      <c r="R614" t="s">
        <v>74</v>
      </c>
      <c r="S614" t="s">
        <v>74</v>
      </c>
      <c r="T614" t="s">
        <v>74</v>
      </c>
      <c r="U614" t="s">
        <v>74</v>
      </c>
      <c r="V614" t="s">
        <v>74</v>
      </c>
      <c r="W614" t="s">
        <v>74</v>
      </c>
      <c r="X614" t="s">
        <v>74</v>
      </c>
      <c r="Y614" t="s">
        <v>74</v>
      </c>
      <c r="Z614" t="s">
        <v>74</v>
      </c>
      <c r="AA614" t="s">
        <v>74</v>
      </c>
      <c r="AB614" t="s">
        <v>74</v>
      </c>
      <c r="AC614" t="s">
        <v>74</v>
      </c>
      <c r="AD614" t="s">
        <v>74</v>
      </c>
      <c r="AE614" t="s">
        <v>74</v>
      </c>
      <c r="AF614" t="s">
        <v>74</v>
      </c>
      <c r="AG614">
        <v>0</v>
      </c>
      <c r="AH614">
        <v>2</v>
      </c>
      <c r="AI614">
        <v>2</v>
      </c>
      <c r="AJ614">
        <v>0</v>
      </c>
      <c r="AK614">
        <v>9</v>
      </c>
      <c r="AL614" t="s">
        <v>146</v>
      </c>
      <c r="AM614" t="s">
        <v>147</v>
      </c>
      <c r="AN614" t="s">
        <v>148</v>
      </c>
      <c r="AO614" t="s">
        <v>149</v>
      </c>
      <c r="AP614" t="s">
        <v>74</v>
      </c>
      <c r="AQ614" t="s">
        <v>74</v>
      </c>
      <c r="AR614" t="s">
        <v>135</v>
      </c>
      <c r="AS614" t="s">
        <v>151</v>
      </c>
      <c r="AT614" t="s">
        <v>11606</v>
      </c>
      <c r="AU614">
        <v>2012</v>
      </c>
      <c r="AV614">
        <v>481</v>
      </c>
      <c r="AW614">
        <v>7381</v>
      </c>
      <c r="AX614" t="s">
        <v>74</v>
      </c>
      <c r="AY614" t="s">
        <v>74</v>
      </c>
      <c r="AZ614" t="s">
        <v>74</v>
      </c>
      <c r="BA614" t="s">
        <v>74</v>
      </c>
      <c r="BB614">
        <v>237</v>
      </c>
      <c r="BC614">
        <v>237</v>
      </c>
      <c r="BD614" t="s">
        <v>74</v>
      </c>
      <c r="BE614" t="s">
        <v>11607</v>
      </c>
      <c r="BF614" t="str">
        <f>HYPERLINK("http://dx.doi.org/10.1038/481237a","http://dx.doi.org/10.1038/481237a")</f>
        <v>http://dx.doi.org/10.1038/481237a</v>
      </c>
      <c r="BG614" t="s">
        <v>74</v>
      </c>
      <c r="BH614" t="s">
        <v>74</v>
      </c>
      <c r="BI614">
        <v>1</v>
      </c>
      <c r="BJ614" t="s">
        <v>153</v>
      </c>
      <c r="BK614" t="s">
        <v>2236</v>
      </c>
      <c r="BL614" t="s">
        <v>154</v>
      </c>
      <c r="BM614" t="s">
        <v>11608</v>
      </c>
      <c r="BN614">
        <v>22258567</v>
      </c>
      <c r="BO614" t="s">
        <v>217</v>
      </c>
      <c r="BP614" t="s">
        <v>74</v>
      </c>
      <c r="BQ614" t="s">
        <v>74</v>
      </c>
      <c r="BR614" t="s">
        <v>101</v>
      </c>
      <c r="BS614" t="s">
        <v>11609</v>
      </c>
      <c r="BT614" t="str">
        <f>HYPERLINK("https%3A%2F%2Fwww.webofscience.com%2Fwos%2Fwoscc%2Ffull-record%2FWOS:000299210600001","View Full Record in Web of Science")</f>
        <v>View Full Record in Web of Science</v>
      </c>
    </row>
    <row r="615" spans="1:72" x14ac:dyDescent="0.15">
      <c r="A615" t="s">
        <v>72</v>
      </c>
      <c r="B615" t="s">
        <v>11610</v>
      </c>
      <c r="C615" t="s">
        <v>74</v>
      </c>
      <c r="D615" t="s">
        <v>74</v>
      </c>
      <c r="E615" t="s">
        <v>74</v>
      </c>
      <c r="F615" t="s">
        <v>11611</v>
      </c>
      <c r="G615" t="s">
        <v>74</v>
      </c>
      <c r="H615" t="s">
        <v>74</v>
      </c>
      <c r="I615" t="s">
        <v>11612</v>
      </c>
      <c r="J615" t="s">
        <v>11613</v>
      </c>
      <c r="K615" t="s">
        <v>74</v>
      </c>
      <c r="L615" t="s">
        <v>74</v>
      </c>
      <c r="M615" t="s">
        <v>78</v>
      </c>
      <c r="N615" t="s">
        <v>1073</v>
      </c>
      <c r="O615" t="s">
        <v>74</v>
      </c>
      <c r="P615" t="s">
        <v>74</v>
      </c>
      <c r="Q615" t="s">
        <v>74</v>
      </c>
      <c r="R615" t="s">
        <v>74</v>
      </c>
      <c r="S615" t="s">
        <v>74</v>
      </c>
      <c r="T615" t="s">
        <v>74</v>
      </c>
      <c r="U615" t="s">
        <v>11614</v>
      </c>
      <c r="V615" t="s">
        <v>11615</v>
      </c>
      <c r="W615" t="s">
        <v>11616</v>
      </c>
      <c r="X615" t="s">
        <v>11617</v>
      </c>
      <c r="Y615" t="s">
        <v>11618</v>
      </c>
      <c r="Z615" t="s">
        <v>11619</v>
      </c>
      <c r="AA615" t="s">
        <v>11620</v>
      </c>
      <c r="AB615" t="s">
        <v>11621</v>
      </c>
      <c r="AC615" t="s">
        <v>11622</v>
      </c>
      <c r="AD615" t="s">
        <v>11623</v>
      </c>
      <c r="AE615" t="s">
        <v>11624</v>
      </c>
      <c r="AF615" t="s">
        <v>74</v>
      </c>
      <c r="AG615">
        <v>199</v>
      </c>
      <c r="AH615">
        <v>29</v>
      </c>
      <c r="AI615">
        <v>31</v>
      </c>
      <c r="AJ615">
        <v>0</v>
      </c>
      <c r="AK615">
        <v>54</v>
      </c>
      <c r="AL615" t="s">
        <v>118</v>
      </c>
      <c r="AM615" t="s">
        <v>119</v>
      </c>
      <c r="AN615" t="s">
        <v>120</v>
      </c>
      <c r="AO615" t="s">
        <v>11625</v>
      </c>
      <c r="AP615" t="s">
        <v>11626</v>
      </c>
      <c r="AQ615" t="s">
        <v>74</v>
      </c>
      <c r="AR615" t="s">
        <v>11627</v>
      </c>
      <c r="AS615" t="s">
        <v>11628</v>
      </c>
      <c r="AT615" t="s">
        <v>11606</v>
      </c>
      <c r="AU615">
        <v>2012</v>
      </c>
      <c r="AV615">
        <v>50</v>
      </c>
      <c r="AW615" t="s">
        <v>74</v>
      </c>
      <c r="AX615" t="s">
        <v>74</v>
      </c>
      <c r="AY615" t="s">
        <v>74</v>
      </c>
      <c r="AZ615" t="s">
        <v>74</v>
      </c>
      <c r="BA615" t="s">
        <v>74</v>
      </c>
      <c r="BB615" t="s">
        <v>74</v>
      </c>
      <c r="BC615" t="s">
        <v>74</v>
      </c>
      <c r="BD615" t="s">
        <v>11629</v>
      </c>
      <c r="BE615" t="s">
        <v>11630</v>
      </c>
      <c r="BF615" t="str">
        <f>HYPERLINK("http://dx.doi.org/10.1029/2011RG000358","http://dx.doi.org/10.1029/2011RG000358")</f>
        <v>http://dx.doi.org/10.1029/2011RG000358</v>
      </c>
      <c r="BG615" t="s">
        <v>74</v>
      </c>
      <c r="BH615" t="s">
        <v>74</v>
      </c>
      <c r="BI615">
        <v>35</v>
      </c>
      <c r="BJ615" t="s">
        <v>1134</v>
      </c>
      <c r="BK615" t="s">
        <v>99</v>
      </c>
      <c r="BL615" t="s">
        <v>1134</v>
      </c>
      <c r="BM615" t="s">
        <v>11631</v>
      </c>
      <c r="BN615" t="s">
        <v>74</v>
      </c>
      <c r="BO615" t="s">
        <v>2812</v>
      </c>
      <c r="BP615" t="s">
        <v>74</v>
      </c>
      <c r="BQ615" t="s">
        <v>74</v>
      </c>
      <c r="BR615" t="s">
        <v>101</v>
      </c>
      <c r="BS615" t="s">
        <v>11632</v>
      </c>
      <c r="BT615" t="str">
        <f>HYPERLINK("https%3A%2F%2Fwww.webofscience.com%2Fwos%2Fwoscc%2Ffull-record%2FWOS:000299395000001","View Full Record in Web of Science")</f>
        <v>View Full Record in Web of Science</v>
      </c>
    </row>
    <row r="616" spans="1:72" x14ac:dyDescent="0.15">
      <c r="A616" t="s">
        <v>72</v>
      </c>
      <c r="B616" t="s">
        <v>11633</v>
      </c>
      <c r="C616" t="s">
        <v>74</v>
      </c>
      <c r="D616" t="s">
        <v>74</v>
      </c>
      <c r="E616" t="s">
        <v>74</v>
      </c>
      <c r="F616" t="s">
        <v>11634</v>
      </c>
      <c r="G616" t="s">
        <v>74</v>
      </c>
      <c r="H616" t="s">
        <v>74</v>
      </c>
      <c r="I616" t="s">
        <v>11635</v>
      </c>
      <c r="J616" t="s">
        <v>77</v>
      </c>
      <c r="K616" t="s">
        <v>74</v>
      </c>
      <c r="L616" t="s">
        <v>74</v>
      </c>
      <c r="M616" t="s">
        <v>78</v>
      </c>
      <c r="N616" t="s">
        <v>79</v>
      </c>
      <c r="O616" t="s">
        <v>74</v>
      </c>
      <c r="P616" t="s">
        <v>74</v>
      </c>
      <c r="Q616" t="s">
        <v>74</v>
      </c>
      <c r="R616" t="s">
        <v>74</v>
      </c>
      <c r="S616" t="s">
        <v>74</v>
      </c>
      <c r="T616" t="s">
        <v>11636</v>
      </c>
      <c r="U616" t="s">
        <v>11637</v>
      </c>
      <c r="V616" t="s">
        <v>11638</v>
      </c>
      <c r="W616" t="s">
        <v>11639</v>
      </c>
      <c r="X616" t="s">
        <v>11640</v>
      </c>
      <c r="Y616" t="s">
        <v>11641</v>
      </c>
      <c r="Z616" t="s">
        <v>11642</v>
      </c>
      <c r="AA616" t="s">
        <v>11643</v>
      </c>
      <c r="AB616" t="s">
        <v>74</v>
      </c>
      <c r="AC616" t="s">
        <v>11644</v>
      </c>
      <c r="AD616" t="s">
        <v>11645</v>
      </c>
      <c r="AE616" t="s">
        <v>11646</v>
      </c>
      <c r="AF616" t="s">
        <v>74</v>
      </c>
      <c r="AG616">
        <v>34</v>
      </c>
      <c r="AH616">
        <v>18</v>
      </c>
      <c r="AI616">
        <v>19</v>
      </c>
      <c r="AJ616">
        <v>0</v>
      </c>
      <c r="AK616">
        <v>5</v>
      </c>
      <c r="AL616" t="s">
        <v>91</v>
      </c>
      <c r="AM616" t="s">
        <v>92</v>
      </c>
      <c r="AN616" t="s">
        <v>392</v>
      </c>
      <c r="AO616" t="s">
        <v>94</v>
      </c>
      <c r="AP616" t="s">
        <v>95</v>
      </c>
      <c r="AQ616" t="s">
        <v>74</v>
      </c>
      <c r="AR616" t="s">
        <v>77</v>
      </c>
      <c r="AS616" t="s">
        <v>96</v>
      </c>
      <c r="AT616" t="s">
        <v>11606</v>
      </c>
      <c r="AU616">
        <v>2012</v>
      </c>
      <c r="AV616" t="s">
        <v>74</v>
      </c>
      <c r="AW616">
        <v>3165</v>
      </c>
      <c r="AX616" t="s">
        <v>74</v>
      </c>
      <c r="AY616" t="s">
        <v>74</v>
      </c>
      <c r="AZ616" t="s">
        <v>74</v>
      </c>
      <c r="BA616" t="s">
        <v>74</v>
      </c>
      <c r="BB616">
        <v>1</v>
      </c>
      <c r="BC616">
        <v>24</v>
      </c>
      <c r="BD616" t="s">
        <v>74</v>
      </c>
      <c r="BE616" t="s">
        <v>74</v>
      </c>
      <c r="BF616" t="s">
        <v>74</v>
      </c>
      <c r="BG616" t="s">
        <v>74</v>
      </c>
      <c r="BH616" t="s">
        <v>74</v>
      </c>
      <c r="BI616">
        <v>24</v>
      </c>
      <c r="BJ616" t="s">
        <v>98</v>
      </c>
      <c r="BK616" t="s">
        <v>99</v>
      </c>
      <c r="BL616" t="s">
        <v>98</v>
      </c>
      <c r="BM616" t="s">
        <v>11647</v>
      </c>
      <c r="BN616" t="s">
        <v>74</v>
      </c>
      <c r="BO616" t="s">
        <v>74</v>
      </c>
      <c r="BP616" t="s">
        <v>74</v>
      </c>
      <c r="BQ616" t="s">
        <v>74</v>
      </c>
      <c r="BR616" t="s">
        <v>101</v>
      </c>
      <c r="BS616" t="s">
        <v>11648</v>
      </c>
      <c r="BT616" t="str">
        <f>HYPERLINK("https%3A%2F%2Fwww.webofscience.com%2Fwos%2Fwoscc%2Ffull-record%2FWOS:000300234300001","View Full Record in Web of Science")</f>
        <v>View Full Record in Web of Science</v>
      </c>
    </row>
    <row r="617" spans="1:72" x14ac:dyDescent="0.15">
      <c r="A617" t="s">
        <v>72</v>
      </c>
      <c r="B617" t="s">
        <v>11649</v>
      </c>
      <c r="C617" t="s">
        <v>74</v>
      </c>
      <c r="D617" t="s">
        <v>74</v>
      </c>
      <c r="E617" t="s">
        <v>74</v>
      </c>
      <c r="F617" t="s">
        <v>11650</v>
      </c>
      <c r="G617" t="s">
        <v>74</v>
      </c>
      <c r="H617" t="s">
        <v>74</v>
      </c>
      <c r="I617" t="s">
        <v>11651</v>
      </c>
      <c r="J617" t="s">
        <v>1382</v>
      </c>
      <c r="K617" t="s">
        <v>74</v>
      </c>
      <c r="L617" t="s">
        <v>74</v>
      </c>
      <c r="M617" t="s">
        <v>78</v>
      </c>
      <c r="N617" t="s">
        <v>79</v>
      </c>
      <c r="O617" t="s">
        <v>74</v>
      </c>
      <c r="P617" t="s">
        <v>74</v>
      </c>
      <c r="Q617" t="s">
        <v>74</v>
      </c>
      <c r="R617" t="s">
        <v>74</v>
      </c>
      <c r="S617" t="s">
        <v>74</v>
      </c>
      <c r="T617" t="s">
        <v>74</v>
      </c>
      <c r="U617" t="s">
        <v>11652</v>
      </c>
      <c r="V617" t="s">
        <v>11653</v>
      </c>
      <c r="W617" t="s">
        <v>11654</v>
      </c>
      <c r="X617" t="s">
        <v>1795</v>
      </c>
      <c r="Y617" t="s">
        <v>1796</v>
      </c>
      <c r="Z617" t="s">
        <v>1797</v>
      </c>
      <c r="AA617" t="s">
        <v>11655</v>
      </c>
      <c r="AB617" t="s">
        <v>11656</v>
      </c>
      <c r="AC617" t="s">
        <v>11657</v>
      </c>
      <c r="AD617" t="s">
        <v>11658</v>
      </c>
      <c r="AE617" t="s">
        <v>11659</v>
      </c>
      <c r="AF617" t="s">
        <v>74</v>
      </c>
      <c r="AG617">
        <v>43</v>
      </c>
      <c r="AH617">
        <v>108</v>
      </c>
      <c r="AI617">
        <v>128</v>
      </c>
      <c r="AJ617">
        <v>21</v>
      </c>
      <c r="AK617">
        <v>204</v>
      </c>
      <c r="AL617" t="s">
        <v>1394</v>
      </c>
      <c r="AM617" t="s">
        <v>119</v>
      </c>
      <c r="AN617" t="s">
        <v>1395</v>
      </c>
      <c r="AO617" t="s">
        <v>1396</v>
      </c>
      <c r="AP617" t="s">
        <v>1397</v>
      </c>
      <c r="AQ617" t="s">
        <v>74</v>
      </c>
      <c r="AR617" t="s">
        <v>1398</v>
      </c>
      <c r="AS617" t="s">
        <v>1399</v>
      </c>
      <c r="AT617" t="s">
        <v>11660</v>
      </c>
      <c r="AU617">
        <v>2012</v>
      </c>
      <c r="AV617">
        <v>46</v>
      </c>
      <c r="AW617">
        <v>2</v>
      </c>
      <c r="AX617" t="s">
        <v>74</v>
      </c>
      <c r="AY617" t="s">
        <v>74</v>
      </c>
      <c r="AZ617" t="s">
        <v>74</v>
      </c>
      <c r="BA617" t="s">
        <v>74</v>
      </c>
      <c r="BB617">
        <v>661</v>
      </c>
      <c r="BC617">
        <v>668</v>
      </c>
      <c r="BD617" t="s">
        <v>74</v>
      </c>
      <c r="BE617" t="s">
        <v>11661</v>
      </c>
      <c r="BF617" t="str">
        <f>HYPERLINK("http://dx.doi.org/10.1021/es2026278","http://dx.doi.org/10.1021/es2026278")</f>
        <v>http://dx.doi.org/10.1021/es2026278</v>
      </c>
      <c r="BG617" t="s">
        <v>74</v>
      </c>
      <c r="BH617" t="s">
        <v>74</v>
      </c>
      <c r="BI617">
        <v>8</v>
      </c>
      <c r="BJ617" t="s">
        <v>1401</v>
      </c>
      <c r="BK617" t="s">
        <v>99</v>
      </c>
      <c r="BL617" t="s">
        <v>1402</v>
      </c>
      <c r="BM617" t="s">
        <v>11662</v>
      </c>
      <c r="BN617">
        <v>22128794</v>
      </c>
      <c r="BO617" t="s">
        <v>74</v>
      </c>
      <c r="BP617" t="s">
        <v>74</v>
      </c>
      <c r="BQ617" t="s">
        <v>74</v>
      </c>
      <c r="BR617" t="s">
        <v>101</v>
      </c>
      <c r="BS617" t="s">
        <v>11663</v>
      </c>
      <c r="BT617" t="str">
        <f>HYPERLINK("https%3A%2F%2Fwww.webofscience.com%2Fwos%2Fwoscc%2Ffull-record%2FWOS:000299136200015","View Full Record in Web of Science")</f>
        <v>View Full Record in Web of Science</v>
      </c>
    </row>
    <row r="618" spans="1:72" x14ac:dyDescent="0.15">
      <c r="A618" t="s">
        <v>72</v>
      </c>
      <c r="B618" t="s">
        <v>11664</v>
      </c>
      <c r="C618" t="s">
        <v>74</v>
      </c>
      <c r="D618" t="s">
        <v>74</v>
      </c>
      <c r="E618" t="s">
        <v>74</v>
      </c>
      <c r="F618" t="s">
        <v>11665</v>
      </c>
      <c r="G618" t="s">
        <v>74</v>
      </c>
      <c r="H618" t="s">
        <v>74</v>
      </c>
      <c r="I618" t="s">
        <v>11666</v>
      </c>
      <c r="J618" t="s">
        <v>2975</v>
      </c>
      <c r="K618" t="s">
        <v>74</v>
      </c>
      <c r="L618" t="s">
        <v>74</v>
      </c>
      <c r="M618" t="s">
        <v>78</v>
      </c>
      <c r="N618" t="s">
        <v>79</v>
      </c>
      <c r="O618" t="s">
        <v>74</v>
      </c>
      <c r="P618" t="s">
        <v>74</v>
      </c>
      <c r="Q618" t="s">
        <v>74</v>
      </c>
      <c r="R618" t="s">
        <v>74</v>
      </c>
      <c r="S618" t="s">
        <v>74</v>
      </c>
      <c r="T618" t="s">
        <v>11667</v>
      </c>
      <c r="U618" t="s">
        <v>11668</v>
      </c>
      <c r="V618" t="s">
        <v>11669</v>
      </c>
      <c r="W618" t="s">
        <v>11670</v>
      </c>
      <c r="X618" t="s">
        <v>11671</v>
      </c>
      <c r="Y618" t="s">
        <v>11672</v>
      </c>
      <c r="Z618" t="s">
        <v>11673</v>
      </c>
      <c r="AA618" t="s">
        <v>11674</v>
      </c>
      <c r="AB618" t="s">
        <v>11675</v>
      </c>
      <c r="AC618" t="s">
        <v>11676</v>
      </c>
      <c r="AD618" t="s">
        <v>10714</v>
      </c>
      <c r="AE618" t="s">
        <v>11677</v>
      </c>
      <c r="AF618" t="s">
        <v>74</v>
      </c>
      <c r="AG618">
        <v>134</v>
      </c>
      <c r="AH618">
        <v>191</v>
      </c>
      <c r="AI618">
        <v>214</v>
      </c>
      <c r="AJ618">
        <v>2</v>
      </c>
      <c r="AK618">
        <v>51</v>
      </c>
      <c r="AL618" t="s">
        <v>277</v>
      </c>
      <c r="AM618" t="s">
        <v>278</v>
      </c>
      <c r="AN618" t="s">
        <v>279</v>
      </c>
      <c r="AO618" t="s">
        <v>2988</v>
      </c>
      <c r="AP618" t="s">
        <v>74</v>
      </c>
      <c r="AQ618" t="s">
        <v>74</v>
      </c>
      <c r="AR618" t="s">
        <v>2989</v>
      </c>
      <c r="AS618" t="s">
        <v>2990</v>
      </c>
      <c r="AT618" t="s">
        <v>11678</v>
      </c>
      <c r="AU618">
        <v>2012</v>
      </c>
      <c r="AV618">
        <v>32</v>
      </c>
      <c r="AW618" t="s">
        <v>74</v>
      </c>
      <c r="AX618" t="s">
        <v>74</v>
      </c>
      <c r="AY618" t="s">
        <v>74</v>
      </c>
      <c r="AZ618" t="s">
        <v>74</v>
      </c>
      <c r="BA618" t="s">
        <v>74</v>
      </c>
      <c r="BB618">
        <v>1</v>
      </c>
      <c r="BC618">
        <v>24</v>
      </c>
      <c r="BD618" t="s">
        <v>74</v>
      </c>
      <c r="BE618" t="s">
        <v>11679</v>
      </c>
      <c r="BF618" t="str">
        <f>HYPERLINK("http://dx.doi.org/10.1016/j.quascirev.2011.11.016","http://dx.doi.org/10.1016/j.quascirev.2011.11.016")</f>
        <v>http://dx.doi.org/10.1016/j.quascirev.2011.11.016</v>
      </c>
      <c r="BG618" t="s">
        <v>74</v>
      </c>
      <c r="BH618" t="s">
        <v>74</v>
      </c>
      <c r="BI618">
        <v>24</v>
      </c>
      <c r="BJ618" t="s">
        <v>943</v>
      </c>
      <c r="BK618" t="s">
        <v>99</v>
      </c>
      <c r="BL618" t="s">
        <v>944</v>
      </c>
      <c r="BM618" t="s">
        <v>11680</v>
      </c>
      <c r="BN618" t="s">
        <v>74</v>
      </c>
      <c r="BO618" t="s">
        <v>74</v>
      </c>
      <c r="BP618" t="s">
        <v>74</v>
      </c>
      <c r="BQ618" t="s">
        <v>74</v>
      </c>
      <c r="BR618" t="s">
        <v>101</v>
      </c>
      <c r="BS618" t="s">
        <v>11681</v>
      </c>
      <c r="BT618" t="str">
        <f>HYPERLINK("https%3A%2F%2Fwww.webofscience.com%2Fwos%2Fwoscc%2Ffull-record%2FWOS:000301828000001","View Full Record in Web of Science")</f>
        <v>View Full Record in Web of Science</v>
      </c>
    </row>
    <row r="619" spans="1:72" x14ac:dyDescent="0.15">
      <c r="A619" t="s">
        <v>72</v>
      </c>
      <c r="B619" t="s">
        <v>11682</v>
      </c>
      <c r="C619" t="s">
        <v>74</v>
      </c>
      <c r="D619" t="s">
        <v>74</v>
      </c>
      <c r="E619" t="s">
        <v>74</v>
      </c>
      <c r="F619" t="s">
        <v>11683</v>
      </c>
      <c r="G619" t="s">
        <v>74</v>
      </c>
      <c r="H619" t="s">
        <v>74</v>
      </c>
      <c r="I619" t="s">
        <v>11684</v>
      </c>
      <c r="J619" t="s">
        <v>2975</v>
      </c>
      <c r="K619" t="s">
        <v>74</v>
      </c>
      <c r="L619" t="s">
        <v>74</v>
      </c>
      <c r="M619" t="s">
        <v>78</v>
      </c>
      <c r="N619" t="s">
        <v>79</v>
      </c>
      <c r="O619" t="s">
        <v>74</v>
      </c>
      <c r="P619" t="s">
        <v>74</v>
      </c>
      <c r="Q619" t="s">
        <v>74</v>
      </c>
      <c r="R619" t="s">
        <v>74</v>
      </c>
      <c r="S619" t="s">
        <v>74</v>
      </c>
      <c r="T619" t="s">
        <v>11685</v>
      </c>
      <c r="U619" t="s">
        <v>11686</v>
      </c>
      <c r="V619" t="s">
        <v>11687</v>
      </c>
      <c r="W619" t="s">
        <v>11688</v>
      </c>
      <c r="X619" t="s">
        <v>11689</v>
      </c>
      <c r="Y619" t="s">
        <v>11690</v>
      </c>
      <c r="Z619" t="s">
        <v>11691</v>
      </c>
      <c r="AA619" t="s">
        <v>11692</v>
      </c>
      <c r="AB619" t="s">
        <v>11693</v>
      </c>
      <c r="AC619" t="s">
        <v>11694</v>
      </c>
      <c r="AD619" t="s">
        <v>11695</v>
      </c>
      <c r="AE619" t="s">
        <v>11696</v>
      </c>
      <c r="AF619" t="s">
        <v>74</v>
      </c>
      <c r="AG619">
        <v>125</v>
      </c>
      <c r="AH619">
        <v>35</v>
      </c>
      <c r="AI619">
        <v>40</v>
      </c>
      <c r="AJ619">
        <v>2</v>
      </c>
      <c r="AK619">
        <v>16</v>
      </c>
      <c r="AL619" t="s">
        <v>277</v>
      </c>
      <c r="AM619" t="s">
        <v>278</v>
      </c>
      <c r="AN619" t="s">
        <v>279</v>
      </c>
      <c r="AO619" t="s">
        <v>2988</v>
      </c>
      <c r="AP619" t="s">
        <v>74</v>
      </c>
      <c r="AQ619" t="s">
        <v>74</v>
      </c>
      <c r="AR619" t="s">
        <v>2989</v>
      </c>
      <c r="AS619" t="s">
        <v>2990</v>
      </c>
      <c r="AT619" t="s">
        <v>11678</v>
      </c>
      <c r="AU619">
        <v>2012</v>
      </c>
      <c r="AV619">
        <v>32</v>
      </c>
      <c r="AW619" t="s">
        <v>74</v>
      </c>
      <c r="AX619" t="s">
        <v>74</v>
      </c>
      <c r="AY619" t="s">
        <v>74</v>
      </c>
      <c r="AZ619" t="s">
        <v>74</v>
      </c>
      <c r="BA619" t="s">
        <v>74</v>
      </c>
      <c r="BB619">
        <v>25</v>
      </c>
      <c r="BC619">
        <v>47</v>
      </c>
      <c r="BD619" t="s">
        <v>74</v>
      </c>
      <c r="BE619" t="s">
        <v>11697</v>
      </c>
      <c r="BF619" t="str">
        <f>HYPERLINK("http://dx.doi.org/10.1016/j.quascirev.2011.11.017","http://dx.doi.org/10.1016/j.quascirev.2011.11.017")</f>
        <v>http://dx.doi.org/10.1016/j.quascirev.2011.11.017</v>
      </c>
      <c r="BG619" t="s">
        <v>74</v>
      </c>
      <c r="BH619" t="s">
        <v>74</v>
      </c>
      <c r="BI619">
        <v>23</v>
      </c>
      <c r="BJ619" t="s">
        <v>943</v>
      </c>
      <c r="BK619" t="s">
        <v>99</v>
      </c>
      <c r="BL619" t="s">
        <v>944</v>
      </c>
      <c r="BM619" t="s">
        <v>11680</v>
      </c>
      <c r="BN619" t="s">
        <v>74</v>
      </c>
      <c r="BO619" t="s">
        <v>74</v>
      </c>
      <c r="BP619" t="s">
        <v>74</v>
      </c>
      <c r="BQ619" t="s">
        <v>74</v>
      </c>
      <c r="BR619" t="s">
        <v>101</v>
      </c>
      <c r="BS619" t="s">
        <v>11698</v>
      </c>
      <c r="BT619" t="str">
        <f>HYPERLINK("https%3A%2F%2Fwww.webofscience.com%2Fwos%2Fwoscc%2Ffull-record%2FWOS:000301828000002","View Full Record in Web of Science")</f>
        <v>View Full Record in Web of Science</v>
      </c>
    </row>
    <row r="620" spans="1:72" x14ac:dyDescent="0.15">
      <c r="A620" t="s">
        <v>72</v>
      </c>
      <c r="B620" t="s">
        <v>11699</v>
      </c>
      <c r="C620" t="s">
        <v>74</v>
      </c>
      <c r="D620" t="s">
        <v>74</v>
      </c>
      <c r="E620" t="s">
        <v>74</v>
      </c>
      <c r="F620" t="s">
        <v>11700</v>
      </c>
      <c r="G620" t="s">
        <v>74</v>
      </c>
      <c r="H620" t="s">
        <v>74</v>
      </c>
      <c r="I620" t="s">
        <v>11701</v>
      </c>
      <c r="J620" t="s">
        <v>4781</v>
      </c>
      <c r="K620" t="s">
        <v>74</v>
      </c>
      <c r="L620" t="s">
        <v>74</v>
      </c>
      <c r="M620" t="s">
        <v>78</v>
      </c>
      <c r="N620" t="s">
        <v>79</v>
      </c>
      <c r="O620" t="s">
        <v>74</v>
      </c>
      <c r="P620" t="s">
        <v>74</v>
      </c>
      <c r="Q620" t="s">
        <v>74</v>
      </c>
      <c r="R620" t="s">
        <v>74</v>
      </c>
      <c r="S620" t="s">
        <v>74</v>
      </c>
      <c r="T620" t="s">
        <v>11702</v>
      </c>
      <c r="U620" t="s">
        <v>11703</v>
      </c>
      <c r="V620" t="s">
        <v>11704</v>
      </c>
      <c r="W620" t="s">
        <v>11705</v>
      </c>
      <c r="X620" t="s">
        <v>11706</v>
      </c>
      <c r="Y620" t="s">
        <v>11707</v>
      </c>
      <c r="Z620" t="s">
        <v>11708</v>
      </c>
      <c r="AA620" t="s">
        <v>11709</v>
      </c>
      <c r="AB620" t="s">
        <v>11710</v>
      </c>
      <c r="AC620" t="s">
        <v>11711</v>
      </c>
      <c r="AD620" t="s">
        <v>11712</v>
      </c>
      <c r="AE620" t="s">
        <v>11713</v>
      </c>
      <c r="AF620" t="s">
        <v>74</v>
      </c>
      <c r="AG620">
        <v>63</v>
      </c>
      <c r="AH620">
        <v>16</v>
      </c>
      <c r="AI620">
        <v>18</v>
      </c>
      <c r="AJ620">
        <v>0</v>
      </c>
      <c r="AK620">
        <v>18</v>
      </c>
      <c r="AL620" t="s">
        <v>935</v>
      </c>
      <c r="AM620" t="s">
        <v>369</v>
      </c>
      <c r="AN620" t="s">
        <v>936</v>
      </c>
      <c r="AO620" t="s">
        <v>4794</v>
      </c>
      <c r="AP620" t="s">
        <v>4795</v>
      </c>
      <c r="AQ620" t="s">
        <v>74</v>
      </c>
      <c r="AR620" t="s">
        <v>4796</v>
      </c>
      <c r="AS620" t="s">
        <v>4797</v>
      </c>
      <c r="AT620" t="s">
        <v>11714</v>
      </c>
      <c r="AU620">
        <v>2012</v>
      </c>
      <c r="AV620">
        <v>315</v>
      </c>
      <c r="AW620" t="s">
        <v>74</v>
      </c>
      <c r="AX620" t="s">
        <v>74</v>
      </c>
      <c r="AY620" t="s">
        <v>74</v>
      </c>
      <c r="AZ620" t="s">
        <v>1913</v>
      </c>
      <c r="BA620" t="s">
        <v>74</v>
      </c>
      <c r="BB620">
        <v>12</v>
      </c>
      <c r="BC620">
        <v>23</v>
      </c>
      <c r="BD620" t="s">
        <v>74</v>
      </c>
      <c r="BE620" t="s">
        <v>11715</v>
      </c>
      <c r="BF620" t="str">
        <f>HYPERLINK("http://dx.doi.org/10.1016/j.epsl.2011.04.032","http://dx.doi.org/10.1016/j.epsl.2011.04.032")</f>
        <v>http://dx.doi.org/10.1016/j.epsl.2011.04.032</v>
      </c>
      <c r="BG620" t="s">
        <v>74</v>
      </c>
      <c r="BH620" t="s">
        <v>74</v>
      </c>
      <c r="BI620">
        <v>12</v>
      </c>
      <c r="BJ620" t="s">
        <v>1134</v>
      </c>
      <c r="BK620" t="s">
        <v>99</v>
      </c>
      <c r="BL620" t="s">
        <v>1134</v>
      </c>
      <c r="BM620" t="s">
        <v>11716</v>
      </c>
      <c r="BN620" t="s">
        <v>74</v>
      </c>
      <c r="BO620" t="s">
        <v>74</v>
      </c>
      <c r="BP620" t="s">
        <v>74</v>
      </c>
      <c r="BQ620" t="s">
        <v>74</v>
      </c>
      <c r="BR620" t="s">
        <v>101</v>
      </c>
      <c r="BS620" t="s">
        <v>11717</v>
      </c>
      <c r="BT620" t="str">
        <f>HYPERLINK("https%3A%2F%2Fwww.webofscience.com%2Fwos%2Fwoscc%2Ffull-record%2FWOS:000300968600004","View Full Record in Web of Science")</f>
        <v>View Full Record in Web of Science</v>
      </c>
    </row>
    <row r="621" spans="1:72" x14ac:dyDescent="0.15">
      <c r="A621" t="s">
        <v>72</v>
      </c>
      <c r="B621" t="s">
        <v>11718</v>
      </c>
      <c r="C621" t="s">
        <v>74</v>
      </c>
      <c r="D621" t="s">
        <v>74</v>
      </c>
      <c r="E621" t="s">
        <v>74</v>
      </c>
      <c r="F621" t="s">
        <v>11719</v>
      </c>
      <c r="G621" t="s">
        <v>74</v>
      </c>
      <c r="H621" t="s">
        <v>74</v>
      </c>
      <c r="I621" t="s">
        <v>11720</v>
      </c>
      <c r="J621" t="s">
        <v>6319</v>
      </c>
      <c r="K621" t="s">
        <v>74</v>
      </c>
      <c r="L621" t="s">
        <v>74</v>
      </c>
      <c r="M621" t="s">
        <v>78</v>
      </c>
      <c r="N621" t="s">
        <v>79</v>
      </c>
      <c r="O621" t="s">
        <v>74</v>
      </c>
      <c r="P621" t="s">
        <v>74</v>
      </c>
      <c r="Q621" t="s">
        <v>74</v>
      </c>
      <c r="R621" t="s">
        <v>74</v>
      </c>
      <c r="S621" t="s">
        <v>74</v>
      </c>
      <c r="T621" t="s">
        <v>74</v>
      </c>
      <c r="U621" t="s">
        <v>11721</v>
      </c>
      <c r="V621" t="s">
        <v>11722</v>
      </c>
      <c r="W621" t="s">
        <v>11723</v>
      </c>
      <c r="X621" t="s">
        <v>11724</v>
      </c>
      <c r="Y621" t="s">
        <v>11725</v>
      </c>
      <c r="Z621" t="s">
        <v>11726</v>
      </c>
      <c r="AA621" t="s">
        <v>74</v>
      </c>
      <c r="AB621" t="s">
        <v>11727</v>
      </c>
      <c r="AC621" t="s">
        <v>11728</v>
      </c>
      <c r="AD621" t="s">
        <v>11729</v>
      </c>
      <c r="AE621" t="s">
        <v>11730</v>
      </c>
      <c r="AF621" t="s">
        <v>74</v>
      </c>
      <c r="AG621">
        <v>63</v>
      </c>
      <c r="AH621">
        <v>42</v>
      </c>
      <c r="AI621">
        <v>46</v>
      </c>
      <c r="AJ621">
        <v>0</v>
      </c>
      <c r="AK621">
        <v>30</v>
      </c>
      <c r="AL621" t="s">
        <v>277</v>
      </c>
      <c r="AM621" t="s">
        <v>278</v>
      </c>
      <c r="AN621" t="s">
        <v>279</v>
      </c>
      <c r="AO621" t="s">
        <v>6331</v>
      </c>
      <c r="AP621" t="s">
        <v>6332</v>
      </c>
      <c r="AQ621" t="s">
        <v>74</v>
      </c>
      <c r="AR621" t="s">
        <v>6333</v>
      </c>
      <c r="AS621" t="s">
        <v>6334</v>
      </c>
      <c r="AT621" t="s">
        <v>11714</v>
      </c>
      <c r="AU621">
        <v>2012</v>
      </c>
      <c r="AV621">
        <v>77</v>
      </c>
      <c r="AW621" t="s">
        <v>74</v>
      </c>
      <c r="AX621" t="s">
        <v>74</v>
      </c>
      <c r="AY621" t="s">
        <v>74</v>
      </c>
      <c r="AZ621" t="s">
        <v>74</v>
      </c>
      <c r="BA621" t="s">
        <v>74</v>
      </c>
      <c r="BB621">
        <v>383</v>
      </c>
      <c r="BC621">
        <v>395</v>
      </c>
      <c r="BD621" t="s">
        <v>74</v>
      </c>
      <c r="BE621" t="s">
        <v>11731</v>
      </c>
      <c r="BF621" t="str">
        <f>HYPERLINK("http://dx.doi.org/10.1016/j.gca.2011.10.003","http://dx.doi.org/10.1016/j.gca.2011.10.003")</f>
        <v>http://dx.doi.org/10.1016/j.gca.2011.10.003</v>
      </c>
      <c r="BG621" t="s">
        <v>74</v>
      </c>
      <c r="BH621" t="s">
        <v>74</v>
      </c>
      <c r="BI621">
        <v>13</v>
      </c>
      <c r="BJ621" t="s">
        <v>1134</v>
      </c>
      <c r="BK621" t="s">
        <v>99</v>
      </c>
      <c r="BL621" t="s">
        <v>1134</v>
      </c>
      <c r="BM621" t="s">
        <v>11732</v>
      </c>
      <c r="BN621" t="s">
        <v>74</v>
      </c>
      <c r="BO621" t="s">
        <v>74</v>
      </c>
      <c r="BP621" t="s">
        <v>74</v>
      </c>
      <c r="BQ621" t="s">
        <v>74</v>
      </c>
      <c r="BR621" t="s">
        <v>101</v>
      </c>
      <c r="BS621" t="s">
        <v>11733</v>
      </c>
      <c r="BT621" t="str">
        <f>HYPERLINK("https%3A%2F%2Fwww.webofscience.com%2Fwos%2Fwoscc%2Ffull-record%2FWOS:000299010400026","View Full Record in Web of Science")</f>
        <v>View Full Record in Web of Science</v>
      </c>
    </row>
    <row r="622" spans="1:72" x14ac:dyDescent="0.15">
      <c r="A622" t="s">
        <v>72</v>
      </c>
      <c r="B622" t="s">
        <v>11734</v>
      </c>
      <c r="C622" t="s">
        <v>74</v>
      </c>
      <c r="D622" t="s">
        <v>74</v>
      </c>
      <c r="E622" t="s">
        <v>74</v>
      </c>
      <c r="F622" t="s">
        <v>11735</v>
      </c>
      <c r="G622" t="s">
        <v>74</v>
      </c>
      <c r="H622" t="s">
        <v>74</v>
      </c>
      <c r="I622" t="s">
        <v>11736</v>
      </c>
      <c r="J622" t="s">
        <v>4781</v>
      </c>
      <c r="K622" t="s">
        <v>74</v>
      </c>
      <c r="L622" t="s">
        <v>74</v>
      </c>
      <c r="M622" t="s">
        <v>78</v>
      </c>
      <c r="N622" t="s">
        <v>79</v>
      </c>
      <c r="O622" t="s">
        <v>74</v>
      </c>
      <c r="P622" t="s">
        <v>74</v>
      </c>
      <c r="Q622" t="s">
        <v>74</v>
      </c>
      <c r="R622" t="s">
        <v>74</v>
      </c>
      <c r="S622" t="s">
        <v>74</v>
      </c>
      <c r="T622" t="s">
        <v>11737</v>
      </c>
      <c r="U622" t="s">
        <v>11738</v>
      </c>
      <c r="V622" t="s">
        <v>11739</v>
      </c>
      <c r="W622" t="s">
        <v>11740</v>
      </c>
      <c r="X622" t="s">
        <v>11741</v>
      </c>
      <c r="Y622" t="s">
        <v>11742</v>
      </c>
      <c r="Z622" t="s">
        <v>11743</v>
      </c>
      <c r="AA622" t="s">
        <v>11744</v>
      </c>
      <c r="AB622" t="s">
        <v>11745</v>
      </c>
      <c r="AC622" t="s">
        <v>11746</v>
      </c>
      <c r="AD622" t="s">
        <v>11747</v>
      </c>
      <c r="AE622" t="s">
        <v>11748</v>
      </c>
      <c r="AF622" t="s">
        <v>74</v>
      </c>
      <c r="AG622">
        <v>53</v>
      </c>
      <c r="AH622">
        <v>53</v>
      </c>
      <c r="AI622">
        <v>58</v>
      </c>
      <c r="AJ622">
        <v>2</v>
      </c>
      <c r="AK622">
        <v>48</v>
      </c>
      <c r="AL622" t="s">
        <v>935</v>
      </c>
      <c r="AM622" t="s">
        <v>369</v>
      </c>
      <c r="AN622" t="s">
        <v>936</v>
      </c>
      <c r="AO622" t="s">
        <v>4794</v>
      </c>
      <c r="AP622" t="s">
        <v>4795</v>
      </c>
      <c r="AQ622" t="s">
        <v>74</v>
      </c>
      <c r="AR622" t="s">
        <v>4796</v>
      </c>
      <c r="AS622" t="s">
        <v>4797</v>
      </c>
      <c r="AT622" t="s">
        <v>11714</v>
      </c>
      <c r="AU622">
        <v>2012</v>
      </c>
      <c r="AV622">
        <v>315</v>
      </c>
      <c r="AW622" t="s">
        <v>74</v>
      </c>
      <c r="AX622" t="s">
        <v>74</v>
      </c>
      <c r="AY622" t="s">
        <v>74</v>
      </c>
      <c r="AZ622" t="s">
        <v>1913</v>
      </c>
      <c r="BA622" t="s">
        <v>74</v>
      </c>
      <c r="BB622">
        <v>94</v>
      </c>
      <c r="BC622">
        <v>102</v>
      </c>
      <c r="BD622" t="s">
        <v>74</v>
      </c>
      <c r="BE622" t="s">
        <v>11749</v>
      </c>
      <c r="BF622" t="str">
        <f>HYPERLINK("http://dx.doi.org/10.1016/j.epsl.2011.08.046","http://dx.doi.org/10.1016/j.epsl.2011.08.046")</f>
        <v>http://dx.doi.org/10.1016/j.epsl.2011.08.046</v>
      </c>
      <c r="BG622" t="s">
        <v>74</v>
      </c>
      <c r="BH622" t="s">
        <v>74</v>
      </c>
      <c r="BI622">
        <v>9</v>
      </c>
      <c r="BJ622" t="s">
        <v>1134</v>
      </c>
      <c r="BK622" t="s">
        <v>99</v>
      </c>
      <c r="BL622" t="s">
        <v>1134</v>
      </c>
      <c r="BM622" t="s">
        <v>11716</v>
      </c>
      <c r="BN622" t="s">
        <v>74</v>
      </c>
      <c r="BO622" t="s">
        <v>328</v>
      </c>
      <c r="BP622" t="s">
        <v>74</v>
      </c>
      <c r="BQ622" t="s">
        <v>74</v>
      </c>
      <c r="BR622" t="s">
        <v>101</v>
      </c>
      <c r="BS622" t="s">
        <v>11750</v>
      </c>
      <c r="BT622" t="str">
        <f>HYPERLINK("https%3A%2F%2Fwww.webofscience.com%2Fwos%2Fwoscc%2Ffull-record%2FWOS:000300968600012","View Full Record in Web of Science")</f>
        <v>View Full Record in Web of Science</v>
      </c>
    </row>
    <row r="623" spans="1:72" x14ac:dyDescent="0.15">
      <c r="A623" t="s">
        <v>72</v>
      </c>
      <c r="B623" t="s">
        <v>11751</v>
      </c>
      <c r="C623" t="s">
        <v>74</v>
      </c>
      <c r="D623" t="s">
        <v>74</v>
      </c>
      <c r="E623" t="s">
        <v>74</v>
      </c>
      <c r="F623" t="s">
        <v>11752</v>
      </c>
      <c r="G623" t="s">
        <v>74</v>
      </c>
      <c r="H623" t="s">
        <v>74</v>
      </c>
      <c r="I623" t="s">
        <v>11753</v>
      </c>
      <c r="J623" t="s">
        <v>333</v>
      </c>
      <c r="K623" t="s">
        <v>74</v>
      </c>
      <c r="L623" t="s">
        <v>74</v>
      </c>
      <c r="M623" t="s">
        <v>78</v>
      </c>
      <c r="N623" t="s">
        <v>79</v>
      </c>
      <c r="O623" t="s">
        <v>74</v>
      </c>
      <c r="P623" t="s">
        <v>74</v>
      </c>
      <c r="Q623" t="s">
        <v>74</v>
      </c>
      <c r="R623" t="s">
        <v>74</v>
      </c>
      <c r="S623" t="s">
        <v>74</v>
      </c>
      <c r="T623" t="s">
        <v>74</v>
      </c>
      <c r="U623" t="s">
        <v>11754</v>
      </c>
      <c r="V623" t="s">
        <v>11755</v>
      </c>
      <c r="W623" t="s">
        <v>11756</v>
      </c>
      <c r="X623" t="s">
        <v>11757</v>
      </c>
      <c r="Y623" t="s">
        <v>11758</v>
      </c>
      <c r="Z623" t="s">
        <v>11759</v>
      </c>
      <c r="AA623" t="s">
        <v>11760</v>
      </c>
      <c r="AB623" t="s">
        <v>11761</v>
      </c>
      <c r="AC623" t="s">
        <v>11762</v>
      </c>
      <c r="AD623" t="s">
        <v>11763</v>
      </c>
      <c r="AE623" t="s">
        <v>11764</v>
      </c>
      <c r="AF623" t="s">
        <v>74</v>
      </c>
      <c r="AG623">
        <v>69</v>
      </c>
      <c r="AH623">
        <v>66</v>
      </c>
      <c r="AI623">
        <v>78</v>
      </c>
      <c r="AJ623">
        <v>0</v>
      </c>
      <c r="AK623">
        <v>40</v>
      </c>
      <c r="AL623" t="s">
        <v>118</v>
      </c>
      <c r="AM623" t="s">
        <v>119</v>
      </c>
      <c r="AN623" t="s">
        <v>120</v>
      </c>
      <c r="AO623" t="s">
        <v>344</v>
      </c>
      <c r="AP623" t="s">
        <v>345</v>
      </c>
      <c r="AQ623" t="s">
        <v>74</v>
      </c>
      <c r="AR623" t="s">
        <v>346</v>
      </c>
      <c r="AS623" t="s">
        <v>347</v>
      </c>
      <c r="AT623" t="s">
        <v>11765</v>
      </c>
      <c r="AU623">
        <v>2012</v>
      </c>
      <c r="AV623">
        <v>117</v>
      </c>
      <c r="AW623" t="s">
        <v>74</v>
      </c>
      <c r="AX623" t="s">
        <v>74</v>
      </c>
      <c r="AY623" t="s">
        <v>74</v>
      </c>
      <c r="AZ623" t="s">
        <v>74</v>
      </c>
      <c r="BA623" t="s">
        <v>74</v>
      </c>
      <c r="BB623" t="s">
        <v>74</v>
      </c>
      <c r="BC623" t="s">
        <v>74</v>
      </c>
      <c r="BD623" t="s">
        <v>11766</v>
      </c>
      <c r="BE623" t="s">
        <v>11767</v>
      </c>
      <c r="BF623" t="str">
        <f>HYPERLINK("http://dx.doi.org/10.1029/2011JC007046","http://dx.doi.org/10.1029/2011JC007046")</f>
        <v>http://dx.doi.org/10.1029/2011JC007046</v>
      </c>
      <c r="BG623" t="s">
        <v>74</v>
      </c>
      <c r="BH623" t="s">
        <v>74</v>
      </c>
      <c r="BI623">
        <v>19</v>
      </c>
      <c r="BJ623" t="s">
        <v>350</v>
      </c>
      <c r="BK623" t="s">
        <v>99</v>
      </c>
      <c r="BL623" t="s">
        <v>350</v>
      </c>
      <c r="BM623" t="s">
        <v>11768</v>
      </c>
      <c r="BN623" t="s">
        <v>74</v>
      </c>
      <c r="BO623" t="s">
        <v>217</v>
      </c>
      <c r="BP623" t="s">
        <v>74</v>
      </c>
      <c r="BQ623" t="s">
        <v>74</v>
      </c>
      <c r="BR623" t="s">
        <v>101</v>
      </c>
      <c r="BS623" t="s">
        <v>11769</v>
      </c>
      <c r="BT623" t="str">
        <f>HYPERLINK("https%3A%2F%2Fwww.webofscience.com%2Fwos%2Fwoscc%2Ffull-record%2FWOS:000299182400001","View Full Record in Web of Science")</f>
        <v>View Full Record in Web of Science</v>
      </c>
    </row>
    <row r="624" spans="1:72" x14ac:dyDescent="0.15">
      <c r="A624" t="s">
        <v>72</v>
      </c>
      <c r="B624" t="s">
        <v>11770</v>
      </c>
      <c r="C624" t="s">
        <v>74</v>
      </c>
      <c r="D624" t="s">
        <v>74</v>
      </c>
      <c r="E624" t="s">
        <v>74</v>
      </c>
      <c r="F624" t="s">
        <v>11771</v>
      </c>
      <c r="G624" t="s">
        <v>74</v>
      </c>
      <c r="H624" t="s">
        <v>74</v>
      </c>
      <c r="I624" t="s">
        <v>11772</v>
      </c>
      <c r="J624" t="s">
        <v>11303</v>
      </c>
      <c r="K624" t="s">
        <v>74</v>
      </c>
      <c r="L624" t="s">
        <v>74</v>
      </c>
      <c r="M624" t="s">
        <v>78</v>
      </c>
      <c r="N624" t="s">
        <v>887</v>
      </c>
      <c r="O624" t="s">
        <v>74</v>
      </c>
      <c r="P624" t="s">
        <v>74</v>
      </c>
      <c r="Q624" t="s">
        <v>74</v>
      </c>
      <c r="R624" t="s">
        <v>74</v>
      </c>
      <c r="S624" t="s">
        <v>74</v>
      </c>
      <c r="T624" t="s">
        <v>74</v>
      </c>
      <c r="U624" t="s">
        <v>74</v>
      </c>
      <c r="V624" t="s">
        <v>74</v>
      </c>
      <c r="W624" t="s">
        <v>74</v>
      </c>
      <c r="X624" t="s">
        <v>74</v>
      </c>
      <c r="Y624" t="s">
        <v>74</v>
      </c>
      <c r="Z624" t="s">
        <v>74</v>
      </c>
      <c r="AA624" t="s">
        <v>74</v>
      </c>
      <c r="AB624" t="s">
        <v>74</v>
      </c>
      <c r="AC624" t="s">
        <v>74</v>
      </c>
      <c r="AD624" t="s">
        <v>74</v>
      </c>
      <c r="AE624" t="s">
        <v>74</v>
      </c>
      <c r="AF624" t="s">
        <v>74</v>
      </c>
      <c r="AG624">
        <v>0</v>
      </c>
      <c r="AH624">
        <v>0</v>
      </c>
      <c r="AI624">
        <v>0</v>
      </c>
      <c r="AJ624">
        <v>0</v>
      </c>
      <c r="AK624">
        <v>0</v>
      </c>
      <c r="AL624" t="s">
        <v>11304</v>
      </c>
      <c r="AM624" t="s">
        <v>11305</v>
      </c>
      <c r="AN624" t="s">
        <v>11306</v>
      </c>
      <c r="AO624" t="s">
        <v>11307</v>
      </c>
      <c r="AP624" t="s">
        <v>74</v>
      </c>
      <c r="AQ624" t="s">
        <v>74</v>
      </c>
      <c r="AR624" t="s">
        <v>11308</v>
      </c>
      <c r="AS624" t="s">
        <v>11309</v>
      </c>
      <c r="AT624" t="s">
        <v>11765</v>
      </c>
      <c r="AU624">
        <v>2012</v>
      </c>
      <c r="AV624">
        <v>213</v>
      </c>
      <c r="AW624">
        <v>2847</v>
      </c>
      <c r="AX624" t="s">
        <v>74</v>
      </c>
      <c r="AY624" t="s">
        <v>74</v>
      </c>
      <c r="AZ624" t="s">
        <v>74</v>
      </c>
      <c r="BA624" t="s">
        <v>74</v>
      </c>
      <c r="BB624">
        <v>13</v>
      </c>
      <c r="BC624">
        <v>13</v>
      </c>
      <c r="BD624" t="s">
        <v>74</v>
      </c>
      <c r="BE624" t="s">
        <v>74</v>
      </c>
      <c r="BF624" t="s">
        <v>74</v>
      </c>
      <c r="BG624" t="s">
        <v>74</v>
      </c>
      <c r="BH624" t="s">
        <v>74</v>
      </c>
      <c r="BI624">
        <v>1</v>
      </c>
      <c r="BJ624" t="s">
        <v>153</v>
      </c>
      <c r="BK624" t="s">
        <v>99</v>
      </c>
      <c r="BL624" t="s">
        <v>154</v>
      </c>
      <c r="BM624" t="s">
        <v>11773</v>
      </c>
      <c r="BN624" t="s">
        <v>74</v>
      </c>
      <c r="BO624" t="s">
        <v>74</v>
      </c>
      <c r="BP624" t="s">
        <v>74</v>
      </c>
      <c r="BQ624" t="s">
        <v>74</v>
      </c>
      <c r="BR624" t="s">
        <v>101</v>
      </c>
      <c r="BS624" t="s">
        <v>11774</v>
      </c>
      <c r="BT624" t="str">
        <f>HYPERLINK("https%3A%2F%2Fwww.webofscience.com%2Fwos%2Fwoscc%2Ffull-record%2FWOS:000299364500011","View Full Record in Web of Science")</f>
        <v>View Full Record in Web of Science</v>
      </c>
    </row>
    <row r="625" spans="1:72" x14ac:dyDescent="0.15">
      <c r="A625" t="s">
        <v>72</v>
      </c>
      <c r="B625" t="s">
        <v>11775</v>
      </c>
      <c r="C625" t="s">
        <v>74</v>
      </c>
      <c r="D625" t="s">
        <v>74</v>
      </c>
      <c r="E625" t="s">
        <v>74</v>
      </c>
      <c r="F625" t="s">
        <v>11776</v>
      </c>
      <c r="G625" t="s">
        <v>74</v>
      </c>
      <c r="H625" t="s">
        <v>74</v>
      </c>
      <c r="I625" t="s">
        <v>11777</v>
      </c>
      <c r="J625" t="s">
        <v>11303</v>
      </c>
      <c r="K625" t="s">
        <v>74</v>
      </c>
      <c r="L625" t="s">
        <v>74</v>
      </c>
      <c r="M625" t="s">
        <v>78</v>
      </c>
      <c r="N625" t="s">
        <v>2225</v>
      </c>
      <c r="O625" t="s">
        <v>74</v>
      </c>
      <c r="P625" t="s">
        <v>74</v>
      </c>
      <c r="Q625" t="s">
        <v>74</v>
      </c>
      <c r="R625" t="s">
        <v>74</v>
      </c>
      <c r="S625" t="s">
        <v>74</v>
      </c>
      <c r="T625" t="s">
        <v>74</v>
      </c>
      <c r="U625" t="s">
        <v>74</v>
      </c>
      <c r="V625" t="s">
        <v>74</v>
      </c>
      <c r="W625" t="s">
        <v>74</v>
      </c>
      <c r="X625" t="s">
        <v>74</v>
      </c>
      <c r="Y625" t="s">
        <v>74</v>
      </c>
      <c r="Z625" t="s">
        <v>74</v>
      </c>
      <c r="AA625" t="s">
        <v>74</v>
      </c>
      <c r="AB625" t="s">
        <v>74</v>
      </c>
      <c r="AC625" t="s">
        <v>74</v>
      </c>
      <c r="AD625" t="s">
        <v>74</v>
      </c>
      <c r="AE625" t="s">
        <v>74</v>
      </c>
      <c r="AF625" t="s">
        <v>74</v>
      </c>
      <c r="AG625">
        <v>2</v>
      </c>
      <c r="AH625">
        <v>0</v>
      </c>
      <c r="AI625">
        <v>0</v>
      </c>
      <c r="AJ625">
        <v>0</v>
      </c>
      <c r="AK625">
        <v>0</v>
      </c>
      <c r="AL625" t="s">
        <v>11304</v>
      </c>
      <c r="AM625" t="s">
        <v>11305</v>
      </c>
      <c r="AN625" t="s">
        <v>11306</v>
      </c>
      <c r="AO625" t="s">
        <v>11307</v>
      </c>
      <c r="AP625" t="s">
        <v>74</v>
      </c>
      <c r="AQ625" t="s">
        <v>74</v>
      </c>
      <c r="AR625" t="s">
        <v>11308</v>
      </c>
      <c r="AS625" t="s">
        <v>11309</v>
      </c>
      <c r="AT625" t="s">
        <v>11765</v>
      </c>
      <c r="AU625">
        <v>2012</v>
      </c>
      <c r="AV625">
        <v>213</v>
      </c>
      <c r="AW625">
        <v>2847</v>
      </c>
      <c r="AX625" t="s">
        <v>74</v>
      </c>
      <c r="AY625" t="s">
        <v>74</v>
      </c>
      <c r="AZ625" t="s">
        <v>74</v>
      </c>
      <c r="BA625" t="s">
        <v>74</v>
      </c>
      <c r="BB625">
        <v>24</v>
      </c>
      <c r="BC625">
        <v>25</v>
      </c>
      <c r="BD625" t="s">
        <v>74</v>
      </c>
      <c r="BE625" t="s">
        <v>74</v>
      </c>
      <c r="BF625" t="s">
        <v>74</v>
      </c>
      <c r="BG625" t="s">
        <v>74</v>
      </c>
      <c r="BH625" t="s">
        <v>74</v>
      </c>
      <c r="BI625">
        <v>2</v>
      </c>
      <c r="BJ625" t="s">
        <v>153</v>
      </c>
      <c r="BK625" t="s">
        <v>99</v>
      </c>
      <c r="BL625" t="s">
        <v>154</v>
      </c>
      <c r="BM625" t="s">
        <v>11773</v>
      </c>
      <c r="BN625" t="s">
        <v>74</v>
      </c>
      <c r="BO625" t="s">
        <v>74</v>
      </c>
      <c r="BP625" t="s">
        <v>74</v>
      </c>
      <c r="BQ625" t="s">
        <v>74</v>
      </c>
      <c r="BR625" t="s">
        <v>101</v>
      </c>
      <c r="BS625" t="s">
        <v>11778</v>
      </c>
      <c r="BT625" t="str">
        <f>HYPERLINK("https%3A%2F%2Fwww.webofscience.com%2Fwos%2Fwoscc%2Ffull-record%2FWOS:000299364500017","View Full Record in Web of Science")</f>
        <v>View Full Record in Web of Science</v>
      </c>
    </row>
    <row r="626" spans="1:72" x14ac:dyDescent="0.15">
      <c r="A626" t="s">
        <v>72</v>
      </c>
      <c r="B626" t="s">
        <v>11779</v>
      </c>
      <c r="C626" t="s">
        <v>74</v>
      </c>
      <c r="D626" t="s">
        <v>74</v>
      </c>
      <c r="E626" t="s">
        <v>74</v>
      </c>
      <c r="F626" t="s">
        <v>11780</v>
      </c>
      <c r="G626" t="s">
        <v>74</v>
      </c>
      <c r="H626" t="s">
        <v>74</v>
      </c>
      <c r="I626" t="s">
        <v>11781</v>
      </c>
      <c r="J626" t="s">
        <v>176</v>
      </c>
      <c r="K626" t="s">
        <v>74</v>
      </c>
      <c r="L626" t="s">
        <v>74</v>
      </c>
      <c r="M626" t="s">
        <v>78</v>
      </c>
      <c r="N626" t="s">
        <v>79</v>
      </c>
      <c r="O626" t="s">
        <v>74</v>
      </c>
      <c r="P626" t="s">
        <v>74</v>
      </c>
      <c r="Q626" t="s">
        <v>74</v>
      </c>
      <c r="R626" t="s">
        <v>74</v>
      </c>
      <c r="S626" t="s">
        <v>74</v>
      </c>
      <c r="T626" t="s">
        <v>74</v>
      </c>
      <c r="U626" t="s">
        <v>11782</v>
      </c>
      <c r="V626" t="s">
        <v>11783</v>
      </c>
      <c r="W626" t="s">
        <v>11784</v>
      </c>
      <c r="X626" t="s">
        <v>11785</v>
      </c>
      <c r="Y626" t="s">
        <v>11786</v>
      </c>
      <c r="Z626" t="s">
        <v>74</v>
      </c>
      <c r="AA626" t="s">
        <v>11787</v>
      </c>
      <c r="AB626" t="s">
        <v>11788</v>
      </c>
      <c r="AC626" t="s">
        <v>11789</v>
      </c>
      <c r="AD626" t="s">
        <v>11790</v>
      </c>
      <c r="AE626" t="s">
        <v>11791</v>
      </c>
      <c r="AF626" t="s">
        <v>74</v>
      </c>
      <c r="AG626">
        <v>20</v>
      </c>
      <c r="AH626">
        <v>57</v>
      </c>
      <c r="AI626">
        <v>66</v>
      </c>
      <c r="AJ626">
        <v>1</v>
      </c>
      <c r="AK626">
        <v>21</v>
      </c>
      <c r="AL626" t="s">
        <v>118</v>
      </c>
      <c r="AM626" t="s">
        <v>119</v>
      </c>
      <c r="AN626" t="s">
        <v>120</v>
      </c>
      <c r="AO626" t="s">
        <v>187</v>
      </c>
      <c r="AP626" t="s">
        <v>188</v>
      </c>
      <c r="AQ626" t="s">
        <v>74</v>
      </c>
      <c r="AR626" t="s">
        <v>189</v>
      </c>
      <c r="AS626" t="s">
        <v>190</v>
      </c>
      <c r="AT626" t="s">
        <v>11792</v>
      </c>
      <c r="AU626">
        <v>2012</v>
      </c>
      <c r="AV626">
        <v>39</v>
      </c>
      <c r="AW626" t="s">
        <v>74</v>
      </c>
      <c r="AX626" t="s">
        <v>74</v>
      </c>
      <c r="AY626" t="s">
        <v>74</v>
      </c>
      <c r="AZ626" t="s">
        <v>74</v>
      </c>
      <c r="BA626" t="s">
        <v>74</v>
      </c>
      <c r="BB626" t="s">
        <v>74</v>
      </c>
      <c r="BC626" t="s">
        <v>74</v>
      </c>
      <c r="BD626" t="s">
        <v>11793</v>
      </c>
      <c r="BE626" t="s">
        <v>11794</v>
      </c>
      <c r="BF626" t="str">
        <f>HYPERLINK("http://dx.doi.org/10.1029/2011GL050207","http://dx.doi.org/10.1029/2011GL050207")</f>
        <v>http://dx.doi.org/10.1029/2011GL050207</v>
      </c>
      <c r="BG626" t="s">
        <v>74</v>
      </c>
      <c r="BH626" t="s">
        <v>74</v>
      </c>
      <c r="BI626">
        <v>5</v>
      </c>
      <c r="BJ626" t="s">
        <v>194</v>
      </c>
      <c r="BK626" t="s">
        <v>99</v>
      </c>
      <c r="BL626" t="s">
        <v>195</v>
      </c>
      <c r="BM626" t="s">
        <v>11795</v>
      </c>
      <c r="BN626" t="s">
        <v>74</v>
      </c>
      <c r="BO626" t="s">
        <v>822</v>
      </c>
      <c r="BP626" t="s">
        <v>74</v>
      </c>
      <c r="BQ626" t="s">
        <v>74</v>
      </c>
      <c r="BR626" t="s">
        <v>101</v>
      </c>
      <c r="BS626" t="s">
        <v>11796</v>
      </c>
      <c r="BT626" t="str">
        <f>HYPERLINK("https%3A%2F%2Fwww.webofscience.com%2Fwos%2Fwoscc%2Ffull-record%2FWOS:000299178800005","View Full Record in Web of Science")</f>
        <v>View Full Record in Web of Science</v>
      </c>
    </row>
    <row r="627" spans="1:72" x14ac:dyDescent="0.15">
      <c r="A627" t="s">
        <v>72</v>
      </c>
      <c r="B627" t="s">
        <v>11797</v>
      </c>
      <c r="C627" t="s">
        <v>74</v>
      </c>
      <c r="D627" t="s">
        <v>74</v>
      </c>
      <c r="E627" t="s">
        <v>74</v>
      </c>
      <c r="F627" t="s">
        <v>11798</v>
      </c>
      <c r="G627" t="s">
        <v>74</v>
      </c>
      <c r="H627" t="s">
        <v>74</v>
      </c>
      <c r="I627" t="s">
        <v>11799</v>
      </c>
      <c r="J627" t="s">
        <v>2975</v>
      </c>
      <c r="K627" t="s">
        <v>74</v>
      </c>
      <c r="L627" t="s">
        <v>74</v>
      </c>
      <c r="M627" t="s">
        <v>78</v>
      </c>
      <c r="N627" t="s">
        <v>79</v>
      </c>
      <c r="O627" t="s">
        <v>74</v>
      </c>
      <c r="P627" t="s">
        <v>74</v>
      </c>
      <c r="Q627" t="s">
        <v>74</v>
      </c>
      <c r="R627" t="s">
        <v>74</v>
      </c>
      <c r="S627" t="s">
        <v>74</v>
      </c>
      <c r="T627" t="s">
        <v>11800</v>
      </c>
      <c r="U627" t="s">
        <v>11801</v>
      </c>
      <c r="V627" t="s">
        <v>11802</v>
      </c>
      <c r="W627" t="s">
        <v>11803</v>
      </c>
      <c r="X627" t="s">
        <v>11804</v>
      </c>
      <c r="Y627" t="s">
        <v>11805</v>
      </c>
      <c r="Z627" t="s">
        <v>11806</v>
      </c>
      <c r="AA627" t="s">
        <v>3073</v>
      </c>
      <c r="AB627" t="s">
        <v>11807</v>
      </c>
      <c r="AC627" t="s">
        <v>11808</v>
      </c>
      <c r="AD627" t="s">
        <v>11809</v>
      </c>
      <c r="AE627" t="s">
        <v>11810</v>
      </c>
      <c r="AF627" t="s">
        <v>74</v>
      </c>
      <c r="AG627">
        <v>272</v>
      </c>
      <c r="AH627">
        <v>65</v>
      </c>
      <c r="AI627">
        <v>78</v>
      </c>
      <c r="AJ627">
        <v>2</v>
      </c>
      <c r="AK627">
        <v>67</v>
      </c>
      <c r="AL627" t="s">
        <v>277</v>
      </c>
      <c r="AM627" t="s">
        <v>278</v>
      </c>
      <c r="AN627" t="s">
        <v>279</v>
      </c>
      <c r="AO627" t="s">
        <v>2988</v>
      </c>
      <c r="AP627" t="s">
        <v>8972</v>
      </c>
      <c r="AQ627" t="s">
        <v>74</v>
      </c>
      <c r="AR627" t="s">
        <v>2989</v>
      </c>
      <c r="AS627" t="s">
        <v>2990</v>
      </c>
      <c r="AT627" t="s">
        <v>11811</v>
      </c>
      <c r="AU627">
        <v>2012</v>
      </c>
      <c r="AV627">
        <v>31</v>
      </c>
      <c r="AW627" t="s">
        <v>74</v>
      </c>
      <c r="AX627" t="s">
        <v>74</v>
      </c>
      <c r="AY627" t="s">
        <v>74</v>
      </c>
      <c r="AZ627" t="s">
        <v>74</v>
      </c>
      <c r="BA627" t="s">
        <v>74</v>
      </c>
      <c r="BB627">
        <v>30</v>
      </c>
      <c r="BC627">
        <v>66</v>
      </c>
      <c r="BD627" t="s">
        <v>74</v>
      </c>
      <c r="BE627" t="s">
        <v>11812</v>
      </c>
      <c r="BF627" t="str">
        <f>HYPERLINK("http://dx.doi.org/10.1016/j.quascirev.2011.10.012","http://dx.doi.org/10.1016/j.quascirev.2011.10.012")</f>
        <v>http://dx.doi.org/10.1016/j.quascirev.2011.10.012</v>
      </c>
      <c r="BG627" t="s">
        <v>74</v>
      </c>
      <c r="BH627" t="s">
        <v>74</v>
      </c>
      <c r="BI627">
        <v>37</v>
      </c>
      <c r="BJ627" t="s">
        <v>943</v>
      </c>
      <c r="BK627" t="s">
        <v>99</v>
      </c>
      <c r="BL627" t="s">
        <v>944</v>
      </c>
      <c r="BM627" t="s">
        <v>11813</v>
      </c>
      <c r="BN627" t="s">
        <v>74</v>
      </c>
      <c r="BO627" t="s">
        <v>74</v>
      </c>
      <c r="BP627" t="s">
        <v>74</v>
      </c>
      <c r="BQ627" t="s">
        <v>74</v>
      </c>
      <c r="BR627" t="s">
        <v>101</v>
      </c>
      <c r="BS627" t="s">
        <v>11814</v>
      </c>
      <c r="BT627" t="str">
        <f>HYPERLINK("https%3A%2F%2Fwww.webofscience.com%2Fwos%2Fwoscc%2Ffull-record%2FWOS:000300121700003","View Full Record in Web of Science")</f>
        <v>View Full Record in Web of Science</v>
      </c>
    </row>
    <row r="628" spans="1:72" x14ac:dyDescent="0.15">
      <c r="A628" t="s">
        <v>72</v>
      </c>
      <c r="B628" t="s">
        <v>11815</v>
      </c>
      <c r="C628" t="s">
        <v>74</v>
      </c>
      <c r="D628" t="s">
        <v>74</v>
      </c>
      <c r="E628" t="s">
        <v>74</v>
      </c>
      <c r="F628" t="s">
        <v>11816</v>
      </c>
      <c r="G628" t="s">
        <v>74</v>
      </c>
      <c r="H628" t="s">
        <v>74</v>
      </c>
      <c r="I628" t="s">
        <v>11817</v>
      </c>
      <c r="J628" t="s">
        <v>2975</v>
      </c>
      <c r="K628" t="s">
        <v>74</v>
      </c>
      <c r="L628" t="s">
        <v>74</v>
      </c>
      <c r="M628" t="s">
        <v>78</v>
      </c>
      <c r="N628" t="s">
        <v>79</v>
      </c>
      <c r="O628" t="s">
        <v>74</v>
      </c>
      <c r="P628" t="s">
        <v>74</v>
      </c>
      <c r="Q628" t="s">
        <v>74</v>
      </c>
      <c r="R628" t="s">
        <v>74</v>
      </c>
      <c r="S628" t="s">
        <v>74</v>
      </c>
      <c r="T628" t="s">
        <v>11818</v>
      </c>
      <c r="U628" t="s">
        <v>11819</v>
      </c>
      <c r="V628" t="s">
        <v>11820</v>
      </c>
      <c r="W628" t="s">
        <v>11821</v>
      </c>
      <c r="X628" t="s">
        <v>11822</v>
      </c>
      <c r="Y628" t="s">
        <v>11823</v>
      </c>
      <c r="Z628" t="s">
        <v>11824</v>
      </c>
      <c r="AA628" t="s">
        <v>11825</v>
      </c>
      <c r="AB628" t="s">
        <v>11826</v>
      </c>
      <c r="AC628" t="s">
        <v>11827</v>
      </c>
      <c r="AD628" t="s">
        <v>11828</v>
      </c>
      <c r="AE628" t="s">
        <v>11829</v>
      </c>
      <c r="AF628" t="s">
        <v>74</v>
      </c>
      <c r="AG628">
        <v>135</v>
      </c>
      <c r="AH628">
        <v>46</v>
      </c>
      <c r="AI628">
        <v>49</v>
      </c>
      <c r="AJ628">
        <v>4</v>
      </c>
      <c r="AK628">
        <v>43</v>
      </c>
      <c r="AL628" t="s">
        <v>277</v>
      </c>
      <c r="AM628" t="s">
        <v>278</v>
      </c>
      <c r="AN628" t="s">
        <v>279</v>
      </c>
      <c r="AO628" t="s">
        <v>2988</v>
      </c>
      <c r="AP628" t="s">
        <v>74</v>
      </c>
      <c r="AQ628" t="s">
        <v>74</v>
      </c>
      <c r="AR628" t="s">
        <v>2989</v>
      </c>
      <c r="AS628" t="s">
        <v>2990</v>
      </c>
      <c r="AT628" t="s">
        <v>11811</v>
      </c>
      <c r="AU628">
        <v>2012</v>
      </c>
      <c r="AV628">
        <v>31</v>
      </c>
      <c r="AW628" t="s">
        <v>74</v>
      </c>
      <c r="AX628" t="s">
        <v>74</v>
      </c>
      <c r="AY628" t="s">
        <v>74</v>
      </c>
      <c r="AZ628" t="s">
        <v>74</v>
      </c>
      <c r="BA628" t="s">
        <v>74</v>
      </c>
      <c r="BB628">
        <v>93</v>
      </c>
      <c r="BC628">
        <v>111</v>
      </c>
      <c r="BD628" t="s">
        <v>74</v>
      </c>
      <c r="BE628" t="s">
        <v>11830</v>
      </c>
      <c r="BF628" t="str">
        <f>HYPERLINK("http://dx.doi.org/10.1016/j.quascirev.2011.10.017","http://dx.doi.org/10.1016/j.quascirev.2011.10.017")</f>
        <v>http://dx.doi.org/10.1016/j.quascirev.2011.10.017</v>
      </c>
      <c r="BG628" t="s">
        <v>74</v>
      </c>
      <c r="BH628" t="s">
        <v>74</v>
      </c>
      <c r="BI628">
        <v>19</v>
      </c>
      <c r="BJ628" t="s">
        <v>943</v>
      </c>
      <c r="BK628" t="s">
        <v>99</v>
      </c>
      <c r="BL628" t="s">
        <v>944</v>
      </c>
      <c r="BM628" t="s">
        <v>11813</v>
      </c>
      <c r="BN628" t="s">
        <v>74</v>
      </c>
      <c r="BO628" t="s">
        <v>74</v>
      </c>
      <c r="BP628" t="s">
        <v>74</v>
      </c>
      <c r="BQ628" t="s">
        <v>74</v>
      </c>
      <c r="BR628" t="s">
        <v>101</v>
      </c>
      <c r="BS628" t="s">
        <v>11831</v>
      </c>
      <c r="BT628" t="str">
        <f>HYPERLINK("https%3A%2F%2Fwww.webofscience.com%2Fwos%2Fwoscc%2Ffull-record%2FWOS:000300121700006","View Full Record in Web of Science")</f>
        <v>View Full Record in Web of Science</v>
      </c>
    </row>
    <row r="629" spans="1:72" x14ac:dyDescent="0.15">
      <c r="A629" t="s">
        <v>72</v>
      </c>
      <c r="B629" t="s">
        <v>11832</v>
      </c>
      <c r="C629" t="s">
        <v>74</v>
      </c>
      <c r="D629" t="s">
        <v>74</v>
      </c>
      <c r="E629" t="s">
        <v>74</v>
      </c>
      <c r="F629" t="s">
        <v>11833</v>
      </c>
      <c r="G629" t="s">
        <v>74</v>
      </c>
      <c r="H629" t="s">
        <v>74</v>
      </c>
      <c r="I629" t="s">
        <v>11834</v>
      </c>
      <c r="J629" t="s">
        <v>11613</v>
      </c>
      <c r="K629" t="s">
        <v>74</v>
      </c>
      <c r="L629" t="s">
        <v>74</v>
      </c>
      <c r="M629" t="s">
        <v>78</v>
      </c>
      <c r="N629" t="s">
        <v>1073</v>
      </c>
      <c r="O629" t="s">
        <v>74</v>
      </c>
      <c r="P629" t="s">
        <v>74</v>
      </c>
      <c r="Q629" t="s">
        <v>74</v>
      </c>
      <c r="R629" t="s">
        <v>74</v>
      </c>
      <c r="S629" t="s">
        <v>74</v>
      </c>
      <c r="T629" t="s">
        <v>74</v>
      </c>
      <c r="U629" t="s">
        <v>11835</v>
      </c>
      <c r="V629" t="s">
        <v>11836</v>
      </c>
      <c r="W629" t="s">
        <v>11837</v>
      </c>
      <c r="X629" t="s">
        <v>11838</v>
      </c>
      <c r="Y629" t="s">
        <v>11839</v>
      </c>
      <c r="Z629" t="s">
        <v>11840</v>
      </c>
      <c r="AA629" t="s">
        <v>11841</v>
      </c>
      <c r="AB629" t="s">
        <v>11842</v>
      </c>
      <c r="AC629" t="s">
        <v>11843</v>
      </c>
      <c r="AD629" t="s">
        <v>11844</v>
      </c>
      <c r="AE629" t="s">
        <v>11845</v>
      </c>
      <c r="AF629" t="s">
        <v>74</v>
      </c>
      <c r="AG629">
        <v>247</v>
      </c>
      <c r="AH629">
        <v>112</v>
      </c>
      <c r="AI629">
        <v>123</v>
      </c>
      <c r="AJ629">
        <v>0</v>
      </c>
      <c r="AK629">
        <v>71</v>
      </c>
      <c r="AL629" t="s">
        <v>118</v>
      </c>
      <c r="AM629" t="s">
        <v>119</v>
      </c>
      <c r="AN629" t="s">
        <v>120</v>
      </c>
      <c r="AO629" t="s">
        <v>11625</v>
      </c>
      <c r="AP629" t="s">
        <v>11626</v>
      </c>
      <c r="AQ629" t="s">
        <v>74</v>
      </c>
      <c r="AR629" t="s">
        <v>11627</v>
      </c>
      <c r="AS629" t="s">
        <v>11628</v>
      </c>
      <c r="AT629" t="s">
        <v>11811</v>
      </c>
      <c r="AU629">
        <v>2012</v>
      </c>
      <c r="AV629">
        <v>50</v>
      </c>
      <c r="AW629" t="s">
        <v>74</v>
      </c>
      <c r="AX629" t="s">
        <v>74</v>
      </c>
      <c r="AY629" t="s">
        <v>74</v>
      </c>
      <c r="AZ629" t="s">
        <v>74</v>
      </c>
      <c r="BA629" t="s">
        <v>74</v>
      </c>
      <c r="BB629" t="s">
        <v>74</v>
      </c>
      <c r="BC629" t="s">
        <v>74</v>
      </c>
      <c r="BD629" t="s">
        <v>11846</v>
      </c>
      <c r="BE629" t="s">
        <v>11847</v>
      </c>
      <c r="BF629" t="str">
        <f>HYPERLINK("http://dx.doi.org/10.1029/2011RG000363","http://dx.doi.org/10.1029/2011RG000363")</f>
        <v>http://dx.doi.org/10.1029/2011RG000363</v>
      </c>
      <c r="BG629" t="s">
        <v>74</v>
      </c>
      <c r="BH629" t="s">
        <v>74</v>
      </c>
      <c r="BI629">
        <v>40</v>
      </c>
      <c r="BJ629" t="s">
        <v>1134</v>
      </c>
      <c r="BK629" t="s">
        <v>99</v>
      </c>
      <c r="BL629" t="s">
        <v>1134</v>
      </c>
      <c r="BM629" t="s">
        <v>11848</v>
      </c>
      <c r="BN629" t="s">
        <v>74</v>
      </c>
      <c r="BO629" t="s">
        <v>74</v>
      </c>
      <c r="BP629" t="s">
        <v>74</v>
      </c>
      <c r="BQ629" t="s">
        <v>74</v>
      </c>
      <c r="BR629" t="s">
        <v>101</v>
      </c>
      <c r="BS629" t="s">
        <v>11849</v>
      </c>
      <c r="BT629" t="str">
        <f>HYPERLINK("https%3A%2F%2Fwww.webofscience.com%2Fwos%2Fwoscc%2Ffull-record%2FWOS:000299181200001","View Full Record in Web of Science")</f>
        <v>View Full Record in Web of Science</v>
      </c>
    </row>
    <row r="630" spans="1:72" x14ac:dyDescent="0.15">
      <c r="A630" t="s">
        <v>72</v>
      </c>
      <c r="B630" t="s">
        <v>11850</v>
      </c>
      <c r="C630" t="s">
        <v>74</v>
      </c>
      <c r="D630" t="s">
        <v>74</v>
      </c>
      <c r="E630" t="s">
        <v>74</v>
      </c>
      <c r="F630" t="s">
        <v>11851</v>
      </c>
      <c r="G630" t="s">
        <v>74</v>
      </c>
      <c r="H630" t="s">
        <v>11852</v>
      </c>
      <c r="I630" t="s">
        <v>11853</v>
      </c>
      <c r="J630" t="s">
        <v>11854</v>
      </c>
      <c r="K630" t="s">
        <v>74</v>
      </c>
      <c r="L630" t="s">
        <v>74</v>
      </c>
      <c r="M630" t="s">
        <v>78</v>
      </c>
      <c r="N630" t="s">
        <v>2606</v>
      </c>
      <c r="O630" t="s">
        <v>11855</v>
      </c>
      <c r="P630" t="s">
        <v>11856</v>
      </c>
      <c r="Q630" t="s">
        <v>11857</v>
      </c>
      <c r="R630" t="s">
        <v>74</v>
      </c>
      <c r="S630" t="s">
        <v>74</v>
      </c>
      <c r="T630" t="s">
        <v>11858</v>
      </c>
      <c r="U630" t="s">
        <v>74</v>
      </c>
      <c r="V630" t="s">
        <v>11859</v>
      </c>
      <c r="W630" t="s">
        <v>11860</v>
      </c>
      <c r="X630" t="s">
        <v>11861</v>
      </c>
      <c r="Y630" t="s">
        <v>11862</v>
      </c>
      <c r="Z630" t="s">
        <v>11863</v>
      </c>
      <c r="AA630" t="s">
        <v>11864</v>
      </c>
      <c r="AB630" t="s">
        <v>74</v>
      </c>
      <c r="AC630" t="s">
        <v>74</v>
      </c>
      <c r="AD630" t="s">
        <v>74</v>
      </c>
      <c r="AE630" t="s">
        <v>74</v>
      </c>
      <c r="AF630" t="s">
        <v>74</v>
      </c>
      <c r="AG630">
        <v>6</v>
      </c>
      <c r="AH630">
        <v>1</v>
      </c>
      <c r="AI630">
        <v>1</v>
      </c>
      <c r="AJ630">
        <v>0</v>
      </c>
      <c r="AK630">
        <v>2</v>
      </c>
      <c r="AL630" t="s">
        <v>935</v>
      </c>
      <c r="AM630" t="s">
        <v>369</v>
      </c>
      <c r="AN630" t="s">
        <v>936</v>
      </c>
      <c r="AO630" t="s">
        <v>11865</v>
      </c>
      <c r="AP630" t="s">
        <v>11866</v>
      </c>
      <c r="AQ630" t="s">
        <v>74</v>
      </c>
      <c r="AR630" t="s">
        <v>11867</v>
      </c>
      <c r="AS630" t="s">
        <v>11868</v>
      </c>
      <c r="AT630" t="s">
        <v>11869</v>
      </c>
      <c r="AU630">
        <v>2012</v>
      </c>
      <c r="AV630">
        <v>662</v>
      </c>
      <c r="AW630" t="s">
        <v>74</v>
      </c>
      <c r="AX630" t="s">
        <v>74</v>
      </c>
      <c r="AY630">
        <v>1</v>
      </c>
      <c r="AZ630" t="s">
        <v>74</v>
      </c>
      <c r="BA630" t="s">
        <v>74</v>
      </c>
      <c r="BB630" t="s">
        <v>11870</v>
      </c>
      <c r="BC630" t="s">
        <v>11871</v>
      </c>
      <c r="BD630" t="s">
        <v>74</v>
      </c>
      <c r="BE630" t="s">
        <v>11872</v>
      </c>
      <c r="BF630" t="str">
        <f>HYPERLINK("http://dx.doi.org/10.1016/j.nima.2010.11.015","http://dx.doi.org/10.1016/j.nima.2010.11.015")</f>
        <v>http://dx.doi.org/10.1016/j.nima.2010.11.015</v>
      </c>
      <c r="BG630" t="s">
        <v>74</v>
      </c>
      <c r="BH630" t="s">
        <v>74</v>
      </c>
      <c r="BI630">
        <v>4</v>
      </c>
      <c r="BJ630" t="s">
        <v>11873</v>
      </c>
      <c r="BK630" t="s">
        <v>2624</v>
      </c>
      <c r="BL630" t="s">
        <v>11874</v>
      </c>
      <c r="BM630" t="s">
        <v>11875</v>
      </c>
      <c r="BN630" t="s">
        <v>74</v>
      </c>
      <c r="BO630" t="s">
        <v>2083</v>
      </c>
      <c r="BP630" t="s">
        <v>74</v>
      </c>
      <c r="BQ630" t="s">
        <v>74</v>
      </c>
      <c r="BR630" t="s">
        <v>101</v>
      </c>
      <c r="BS630" t="s">
        <v>11876</v>
      </c>
      <c r="BT630" t="str">
        <f>HYPERLINK("https%3A%2F%2Fwww.webofscience.com%2Fwos%2Fwoscc%2Ffull-record%2FWOS:000299363000011","View Full Record in Web of Science")</f>
        <v>View Full Record in Web of Science</v>
      </c>
    </row>
    <row r="631" spans="1:72" x14ac:dyDescent="0.15">
      <c r="A631" t="s">
        <v>72</v>
      </c>
      <c r="B631" t="s">
        <v>11877</v>
      </c>
      <c r="C631" t="s">
        <v>74</v>
      </c>
      <c r="D631" t="s">
        <v>74</v>
      </c>
      <c r="E631" t="s">
        <v>74</v>
      </c>
      <c r="F631" t="s">
        <v>11878</v>
      </c>
      <c r="G631" t="s">
        <v>74</v>
      </c>
      <c r="H631" t="s">
        <v>74</v>
      </c>
      <c r="I631" t="s">
        <v>11879</v>
      </c>
      <c r="J631" t="s">
        <v>11854</v>
      </c>
      <c r="K631" t="s">
        <v>74</v>
      </c>
      <c r="L631" t="s">
        <v>74</v>
      </c>
      <c r="M631" t="s">
        <v>78</v>
      </c>
      <c r="N631" t="s">
        <v>2606</v>
      </c>
      <c r="O631" t="s">
        <v>11855</v>
      </c>
      <c r="P631" t="s">
        <v>11856</v>
      </c>
      <c r="Q631" t="s">
        <v>11857</v>
      </c>
      <c r="R631" t="s">
        <v>74</v>
      </c>
      <c r="S631" t="s">
        <v>74</v>
      </c>
      <c r="T631" t="s">
        <v>11880</v>
      </c>
      <c r="U631" t="s">
        <v>11881</v>
      </c>
      <c r="V631" t="s">
        <v>11882</v>
      </c>
      <c r="W631" t="s">
        <v>11883</v>
      </c>
      <c r="X631" t="s">
        <v>11884</v>
      </c>
      <c r="Y631" t="s">
        <v>5971</v>
      </c>
      <c r="Z631" t="s">
        <v>11885</v>
      </c>
      <c r="AA631" t="s">
        <v>11886</v>
      </c>
      <c r="AB631" t="s">
        <v>11887</v>
      </c>
      <c r="AC631" t="s">
        <v>74</v>
      </c>
      <c r="AD631" t="s">
        <v>74</v>
      </c>
      <c r="AE631" t="s">
        <v>74</v>
      </c>
      <c r="AF631" t="s">
        <v>74</v>
      </c>
      <c r="AG631">
        <v>20</v>
      </c>
      <c r="AH631">
        <v>2</v>
      </c>
      <c r="AI631">
        <v>2</v>
      </c>
      <c r="AJ631">
        <v>0</v>
      </c>
      <c r="AK631">
        <v>0</v>
      </c>
      <c r="AL631" t="s">
        <v>368</v>
      </c>
      <c r="AM631" t="s">
        <v>369</v>
      </c>
      <c r="AN631" t="s">
        <v>370</v>
      </c>
      <c r="AO631" t="s">
        <v>11865</v>
      </c>
      <c r="AP631" t="s">
        <v>74</v>
      </c>
      <c r="AQ631" t="s">
        <v>74</v>
      </c>
      <c r="AR631" t="s">
        <v>11867</v>
      </c>
      <c r="AS631" t="s">
        <v>11868</v>
      </c>
      <c r="AT631" t="s">
        <v>11869</v>
      </c>
      <c r="AU631">
        <v>2012</v>
      </c>
      <c r="AV631">
        <v>662</v>
      </c>
      <c r="AW631" t="s">
        <v>74</v>
      </c>
      <c r="AX631" t="s">
        <v>74</v>
      </c>
      <c r="AY631">
        <v>1</v>
      </c>
      <c r="AZ631" t="s">
        <v>74</v>
      </c>
      <c r="BA631" t="s">
        <v>74</v>
      </c>
      <c r="BB631" t="s">
        <v>11888</v>
      </c>
      <c r="BC631" t="s">
        <v>11889</v>
      </c>
      <c r="BD631" t="s">
        <v>74</v>
      </c>
      <c r="BE631" t="s">
        <v>11890</v>
      </c>
      <c r="BF631" t="str">
        <f>HYPERLINK("http://dx.doi.org/10.1016/j.nima.2010.11.046","http://dx.doi.org/10.1016/j.nima.2010.11.046")</f>
        <v>http://dx.doi.org/10.1016/j.nima.2010.11.046</v>
      </c>
      <c r="BG631" t="s">
        <v>74</v>
      </c>
      <c r="BH631" t="s">
        <v>74</v>
      </c>
      <c r="BI631">
        <v>4</v>
      </c>
      <c r="BJ631" t="s">
        <v>11873</v>
      </c>
      <c r="BK631" t="s">
        <v>2624</v>
      </c>
      <c r="BL631" t="s">
        <v>11874</v>
      </c>
      <c r="BM631" t="s">
        <v>11875</v>
      </c>
      <c r="BN631" t="s">
        <v>74</v>
      </c>
      <c r="BO631" t="s">
        <v>74</v>
      </c>
      <c r="BP631" t="s">
        <v>74</v>
      </c>
      <c r="BQ631" t="s">
        <v>74</v>
      </c>
      <c r="BR631" t="s">
        <v>101</v>
      </c>
      <c r="BS631" t="s">
        <v>11891</v>
      </c>
      <c r="BT631" t="str">
        <f>HYPERLINK("https%3A%2F%2Fwww.webofscience.com%2Fwos%2Fwoscc%2Ffull-record%2FWOS:000299363000012","View Full Record in Web of Science")</f>
        <v>View Full Record in Web of Science</v>
      </c>
    </row>
    <row r="632" spans="1:72" x14ac:dyDescent="0.15">
      <c r="A632" t="s">
        <v>72</v>
      </c>
      <c r="B632" t="s">
        <v>11892</v>
      </c>
      <c r="C632" t="s">
        <v>74</v>
      </c>
      <c r="D632" t="s">
        <v>74</v>
      </c>
      <c r="E632" t="s">
        <v>74</v>
      </c>
      <c r="F632" t="s">
        <v>11893</v>
      </c>
      <c r="G632" t="s">
        <v>74</v>
      </c>
      <c r="H632" t="s">
        <v>11852</v>
      </c>
      <c r="I632" t="s">
        <v>11894</v>
      </c>
      <c r="J632" t="s">
        <v>11854</v>
      </c>
      <c r="K632" t="s">
        <v>74</v>
      </c>
      <c r="L632" t="s">
        <v>74</v>
      </c>
      <c r="M632" t="s">
        <v>78</v>
      </c>
      <c r="N632" t="s">
        <v>2606</v>
      </c>
      <c r="O632" t="s">
        <v>11855</v>
      </c>
      <c r="P632" t="s">
        <v>11856</v>
      </c>
      <c r="Q632" t="s">
        <v>11857</v>
      </c>
      <c r="R632" t="s">
        <v>74</v>
      </c>
      <c r="S632" t="s">
        <v>74</v>
      </c>
      <c r="T632" t="s">
        <v>11895</v>
      </c>
      <c r="U632" t="s">
        <v>11896</v>
      </c>
      <c r="V632" t="s">
        <v>11897</v>
      </c>
      <c r="W632" t="s">
        <v>11898</v>
      </c>
      <c r="X632" t="s">
        <v>11899</v>
      </c>
      <c r="Y632" t="s">
        <v>11900</v>
      </c>
      <c r="Z632" t="s">
        <v>11901</v>
      </c>
      <c r="AA632" t="s">
        <v>11864</v>
      </c>
      <c r="AB632" t="s">
        <v>11902</v>
      </c>
      <c r="AC632" t="s">
        <v>74</v>
      </c>
      <c r="AD632" t="s">
        <v>74</v>
      </c>
      <c r="AE632" t="s">
        <v>74</v>
      </c>
      <c r="AF632" t="s">
        <v>74</v>
      </c>
      <c r="AG632">
        <v>16</v>
      </c>
      <c r="AH632">
        <v>3</v>
      </c>
      <c r="AI632">
        <v>3</v>
      </c>
      <c r="AJ632">
        <v>0</v>
      </c>
      <c r="AK632">
        <v>0</v>
      </c>
      <c r="AL632" t="s">
        <v>368</v>
      </c>
      <c r="AM632" t="s">
        <v>369</v>
      </c>
      <c r="AN632" t="s">
        <v>370</v>
      </c>
      <c r="AO632" t="s">
        <v>11865</v>
      </c>
      <c r="AP632" t="s">
        <v>74</v>
      </c>
      <c r="AQ632" t="s">
        <v>74</v>
      </c>
      <c r="AR632" t="s">
        <v>11867</v>
      </c>
      <c r="AS632" t="s">
        <v>11868</v>
      </c>
      <c r="AT632" t="s">
        <v>11869</v>
      </c>
      <c r="AU632">
        <v>2012</v>
      </c>
      <c r="AV632">
        <v>662</v>
      </c>
      <c r="AW632" t="s">
        <v>74</v>
      </c>
      <c r="AX632" t="s">
        <v>74</v>
      </c>
      <c r="AY632">
        <v>1</v>
      </c>
      <c r="AZ632" t="s">
        <v>74</v>
      </c>
      <c r="BA632" t="s">
        <v>74</v>
      </c>
      <c r="BB632" t="s">
        <v>11903</v>
      </c>
      <c r="BC632" t="s">
        <v>11904</v>
      </c>
      <c r="BD632" t="s">
        <v>74</v>
      </c>
      <c r="BE632" t="s">
        <v>11905</v>
      </c>
      <c r="BF632" t="str">
        <f>HYPERLINK("http://dx.doi.org/10.1016/j.nima.2010.10.122","http://dx.doi.org/10.1016/j.nima.2010.10.122")</f>
        <v>http://dx.doi.org/10.1016/j.nima.2010.10.122</v>
      </c>
      <c r="BG632" t="s">
        <v>74</v>
      </c>
      <c r="BH632" t="s">
        <v>74</v>
      </c>
      <c r="BI632">
        <v>6</v>
      </c>
      <c r="BJ632" t="s">
        <v>11873</v>
      </c>
      <c r="BK632" t="s">
        <v>2624</v>
      </c>
      <c r="BL632" t="s">
        <v>11874</v>
      </c>
      <c r="BM632" t="s">
        <v>11875</v>
      </c>
      <c r="BN632" t="s">
        <v>74</v>
      </c>
      <c r="BO632" t="s">
        <v>156</v>
      </c>
      <c r="BP632" t="s">
        <v>74</v>
      </c>
      <c r="BQ632" t="s">
        <v>74</v>
      </c>
      <c r="BR632" t="s">
        <v>101</v>
      </c>
      <c r="BS632" t="s">
        <v>11906</v>
      </c>
      <c r="BT632" t="str">
        <f>HYPERLINK("https%3A%2F%2Fwww.webofscience.com%2Fwos%2Fwoscc%2Ffull-record%2FWOS:000299363000009","View Full Record in Web of Science")</f>
        <v>View Full Record in Web of Science</v>
      </c>
    </row>
    <row r="633" spans="1:72" x14ac:dyDescent="0.15">
      <c r="A633" t="s">
        <v>72</v>
      </c>
      <c r="B633" t="s">
        <v>11907</v>
      </c>
      <c r="C633" t="s">
        <v>74</v>
      </c>
      <c r="D633" t="s">
        <v>74</v>
      </c>
      <c r="E633" t="s">
        <v>74</v>
      </c>
      <c r="F633" t="s">
        <v>11908</v>
      </c>
      <c r="G633" t="s">
        <v>74</v>
      </c>
      <c r="H633" t="s">
        <v>11909</v>
      </c>
      <c r="I633" t="s">
        <v>11910</v>
      </c>
      <c r="J633" t="s">
        <v>11854</v>
      </c>
      <c r="K633" t="s">
        <v>74</v>
      </c>
      <c r="L633" t="s">
        <v>74</v>
      </c>
      <c r="M633" t="s">
        <v>78</v>
      </c>
      <c r="N633" t="s">
        <v>2606</v>
      </c>
      <c r="O633" t="s">
        <v>11855</v>
      </c>
      <c r="P633" t="s">
        <v>11856</v>
      </c>
      <c r="Q633" t="s">
        <v>11857</v>
      </c>
      <c r="R633" t="s">
        <v>74</v>
      </c>
      <c r="S633" t="s">
        <v>74</v>
      </c>
      <c r="T633" t="s">
        <v>11911</v>
      </c>
      <c r="U633" t="s">
        <v>11912</v>
      </c>
      <c r="V633" t="s">
        <v>11913</v>
      </c>
      <c r="W633" t="s">
        <v>11914</v>
      </c>
      <c r="X633" t="s">
        <v>11915</v>
      </c>
      <c r="Y633" t="s">
        <v>11916</v>
      </c>
      <c r="Z633" t="s">
        <v>11917</v>
      </c>
      <c r="AA633" t="s">
        <v>74</v>
      </c>
      <c r="AB633" t="s">
        <v>74</v>
      </c>
      <c r="AC633" t="s">
        <v>74</v>
      </c>
      <c r="AD633" t="s">
        <v>74</v>
      </c>
      <c r="AE633" t="s">
        <v>74</v>
      </c>
      <c r="AF633" t="s">
        <v>74</v>
      </c>
      <c r="AG633">
        <v>18</v>
      </c>
      <c r="AH633">
        <v>2</v>
      </c>
      <c r="AI633">
        <v>3</v>
      </c>
      <c r="AJ633">
        <v>0</v>
      </c>
      <c r="AK633">
        <v>3</v>
      </c>
      <c r="AL633" t="s">
        <v>368</v>
      </c>
      <c r="AM633" t="s">
        <v>369</v>
      </c>
      <c r="AN633" t="s">
        <v>370</v>
      </c>
      <c r="AO633" t="s">
        <v>11865</v>
      </c>
      <c r="AP633" t="s">
        <v>74</v>
      </c>
      <c r="AQ633" t="s">
        <v>74</v>
      </c>
      <c r="AR633" t="s">
        <v>11867</v>
      </c>
      <c r="AS633" t="s">
        <v>11868</v>
      </c>
      <c r="AT633" t="s">
        <v>11869</v>
      </c>
      <c r="AU633">
        <v>2012</v>
      </c>
      <c r="AV633">
        <v>662</v>
      </c>
      <c r="AW633" t="s">
        <v>74</v>
      </c>
      <c r="AX633" t="s">
        <v>74</v>
      </c>
      <c r="AY633">
        <v>1</v>
      </c>
      <c r="AZ633" t="s">
        <v>74</v>
      </c>
      <c r="BA633" t="s">
        <v>74</v>
      </c>
      <c r="BB633" t="s">
        <v>11918</v>
      </c>
      <c r="BC633" t="s">
        <v>11919</v>
      </c>
      <c r="BD633" t="s">
        <v>74</v>
      </c>
      <c r="BE633" t="s">
        <v>11920</v>
      </c>
      <c r="BF633" t="str">
        <f>HYPERLINK("http://dx.doi.org/10.1016/j.nima.2010.11.158","http://dx.doi.org/10.1016/j.nima.2010.11.158")</f>
        <v>http://dx.doi.org/10.1016/j.nima.2010.11.158</v>
      </c>
      <c r="BG633" t="s">
        <v>74</v>
      </c>
      <c r="BH633" t="s">
        <v>74</v>
      </c>
      <c r="BI633">
        <v>7</v>
      </c>
      <c r="BJ633" t="s">
        <v>11873</v>
      </c>
      <c r="BK633" t="s">
        <v>2624</v>
      </c>
      <c r="BL633" t="s">
        <v>11874</v>
      </c>
      <c r="BM633" t="s">
        <v>11875</v>
      </c>
      <c r="BN633" t="s">
        <v>74</v>
      </c>
      <c r="BO633" t="s">
        <v>74</v>
      </c>
      <c r="BP633" t="s">
        <v>74</v>
      </c>
      <c r="BQ633" t="s">
        <v>74</v>
      </c>
      <c r="BR633" t="s">
        <v>101</v>
      </c>
      <c r="BS633" t="s">
        <v>11921</v>
      </c>
      <c r="BT633" t="str">
        <f>HYPERLINK("https%3A%2F%2Fwww.webofscience.com%2Fwos%2Fwoscc%2Ffull-record%2FWOS:000299363000014","View Full Record in Web of Science")</f>
        <v>View Full Record in Web of Science</v>
      </c>
    </row>
    <row r="634" spans="1:72" x14ac:dyDescent="0.15">
      <c r="A634" t="s">
        <v>72</v>
      </c>
      <c r="B634" t="s">
        <v>11922</v>
      </c>
      <c r="C634" t="s">
        <v>74</v>
      </c>
      <c r="D634" t="s">
        <v>74</v>
      </c>
      <c r="E634" t="s">
        <v>74</v>
      </c>
      <c r="F634" t="s">
        <v>11923</v>
      </c>
      <c r="G634" t="s">
        <v>74</v>
      </c>
      <c r="H634" t="s">
        <v>74</v>
      </c>
      <c r="I634" t="s">
        <v>11924</v>
      </c>
      <c r="J634" t="s">
        <v>11925</v>
      </c>
      <c r="K634" t="s">
        <v>74</v>
      </c>
      <c r="L634" t="s">
        <v>74</v>
      </c>
      <c r="M634" t="s">
        <v>78</v>
      </c>
      <c r="N634" t="s">
        <v>79</v>
      </c>
      <c r="O634" t="s">
        <v>74</v>
      </c>
      <c r="P634" t="s">
        <v>74</v>
      </c>
      <c r="Q634" t="s">
        <v>74</v>
      </c>
      <c r="R634" t="s">
        <v>74</v>
      </c>
      <c r="S634" t="s">
        <v>74</v>
      </c>
      <c r="T634" t="s">
        <v>11926</v>
      </c>
      <c r="U634" t="s">
        <v>11927</v>
      </c>
      <c r="V634" t="s">
        <v>11928</v>
      </c>
      <c r="W634" t="s">
        <v>11929</v>
      </c>
      <c r="X634" t="s">
        <v>11930</v>
      </c>
      <c r="Y634" t="s">
        <v>11931</v>
      </c>
      <c r="Z634" t="s">
        <v>11932</v>
      </c>
      <c r="AA634" t="s">
        <v>11933</v>
      </c>
      <c r="AB634" t="s">
        <v>11934</v>
      </c>
      <c r="AC634" t="s">
        <v>11935</v>
      </c>
      <c r="AD634" t="s">
        <v>11936</v>
      </c>
      <c r="AE634" t="s">
        <v>11937</v>
      </c>
      <c r="AF634" t="s">
        <v>74</v>
      </c>
      <c r="AG634">
        <v>35</v>
      </c>
      <c r="AH634">
        <v>13</v>
      </c>
      <c r="AI634">
        <v>14</v>
      </c>
      <c r="AJ634">
        <v>0</v>
      </c>
      <c r="AK634">
        <v>16</v>
      </c>
      <c r="AL634" t="s">
        <v>1394</v>
      </c>
      <c r="AM634" t="s">
        <v>119</v>
      </c>
      <c r="AN634" t="s">
        <v>1395</v>
      </c>
      <c r="AO634" t="s">
        <v>11938</v>
      </c>
      <c r="AP634" t="s">
        <v>11939</v>
      </c>
      <c r="AQ634" t="s">
        <v>74</v>
      </c>
      <c r="AR634" t="s">
        <v>11940</v>
      </c>
      <c r="AS634" t="s">
        <v>11941</v>
      </c>
      <c r="AT634" t="s">
        <v>11869</v>
      </c>
      <c r="AU634">
        <v>2012</v>
      </c>
      <c r="AV634">
        <v>60</v>
      </c>
      <c r="AW634">
        <v>1</v>
      </c>
      <c r="AX634" t="s">
        <v>74</v>
      </c>
      <c r="AY634" t="s">
        <v>74</v>
      </c>
      <c r="AZ634" t="s">
        <v>74</v>
      </c>
      <c r="BA634" t="s">
        <v>74</v>
      </c>
      <c r="BB634">
        <v>458</v>
      </c>
      <c r="BC634">
        <v>466</v>
      </c>
      <c r="BD634" t="s">
        <v>74</v>
      </c>
      <c r="BE634" t="s">
        <v>11942</v>
      </c>
      <c r="BF634" t="str">
        <f>HYPERLINK("http://dx.doi.org/10.1021/jf203633z","http://dx.doi.org/10.1021/jf203633z")</f>
        <v>http://dx.doi.org/10.1021/jf203633z</v>
      </c>
      <c r="BG634" t="s">
        <v>74</v>
      </c>
      <c r="BH634" t="s">
        <v>74</v>
      </c>
      <c r="BI634">
        <v>9</v>
      </c>
      <c r="BJ634" t="s">
        <v>11943</v>
      </c>
      <c r="BK634" t="s">
        <v>99</v>
      </c>
      <c r="BL634" t="s">
        <v>11944</v>
      </c>
      <c r="BM634" t="s">
        <v>11945</v>
      </c>
      <c r="BN634">
        <v>22128889</v>
      </c>
      <c r="BO634" t="s">
        <v>74</v>
      </c>
      <c r="BP634" t="s">
        <v>74</v>
      </c>
      <c r="BQ634" t="s">
        <v>74</v>
      </c>
      <c r="BR634" t="s">
        <v>101</v>
      </c>
      <c r="BS634" t="s">
        <v>11946</v>
      </c>
      <c r="BT634" t="str">
        <f>HYPERLINK("https%3A%2F%2Fwww.webofscience.com%2Fwos%2Fwoscc%2Ffull-record%2FWOS:000298943000063","View Full Record in Web of Science")</f>
        <v>View Full Record in Web of Science</v>
      </c>
    </row>
    <row r="635" spans="1:72" x14ac:dyDescent="0.15">
      <c r="A635" t="s">
        <v>72</v>
      </c>
      <c r="B635" t="s">
        <v>11947</v>
      </c>
      <c r="C635" t="s">
        <v>74</v>
      </c>
      <c r="D635" t="s">
        <v>74</v>
      </c>
      <c r="E635" t="s">
        <v>74</v>
      </c>
      <c r="F635" t="s">
        <v>11948</v>
      </c>
      <c r="G635" t="s">
        <v>74</v>
      </c>
      <c r="H635" t="s">
        <v>74</v>
      </c>
      <c r="I635" t="s">
        <v>11949</v>
      </c>
      <c r="J635" t="s">
        <v>502</v>
      </c>
      <c r="K635" t="s">
        <v>74</v>
      </c>
      <c r="L635" t="s">
        <v>74</v>
      </c>
      <c r="M635" t="s">
        <v>78</v>
      </c>
      <c r="N635" t="s">
        <v>79</v>
      </c>
      <c r="O635" t="s">
        <v>74</v>
      </c>
      <c r="P635" t="s">
        <v>74</v>
      </c>
      <c r="Q635" t="s">
        <v>74</v>
      </c>
      <c r="R635" t="s">
        <v>74</v>
      </c>
      <c r="S635" t="s">
        <v>74</v>
      </c>
      <c r="T635" t="s">
        <v>74</v>
      </c>
      <c r="U635" t="s">
        <v>11950</v>
      </c>
      <c r="V635" t="s">
        <v>11951</v>
      </c>
      <c r="W635" t="s">
        <v>11952</v>
      </c>
      <c r="X635" t="s">
        <v>2596</v>
      </c>
      <c r="Y635" t="s">
        <v>11953</v>
      </c>
      <c r="Z635" t="s">
        <v>11954</v>
      </c>
      <c r="AA635" t="s">
        <v>11955</v>
      </c>
      <c r="AB635" t="s">
        <v>11956</v>
      </c>
      <c r="AC635" t="s">
        <v>11957</v>
      </c>
      <c r="AD635" t="s">
        <v>11958</v>
      </c>
      <c r="AE635" t="s">
        <v>11959</v>
      </c>
      <c r="AF635" t="s">
        <v>74</v>
      </c>
      <c r="AG635">
        <v>71</v>
      </c>
      <c r="AH635">
        <v>14</v>
      </c>
      <c r="AI635">
        <v>14</v>
      </c>
      <c r="AJ635">
        <v>0</v>
      </c>
      <c r="AK635">
        <v>22</v>
      </c>
      <c r="AL635" t="s">
        <v>513</v>
      </c>
      <c r="AM635" t="s">
        <v>514</v>
      </c>
      <c r="AN635" t="s">
        <v>515</v>
      </c>
      <c r="AO635" t="s">
        <v>516</v>
      </c>
      <c r="AP635" t="s">
        <v>74</v>
      </c>
      <c r="AQ635" t="s">
        <v>74</v>
      </c>
      <c r="AR635" t="s">
        <v>502</v>
      </c>
      <c r="AS635" t="s">
        <v>517</v>
      </c>
      <c r="AT635" t="s">
        <v>11869</v>
      </c>
      <c r="AU635">
        <v>2012</v>
      </c>
      <c r="AV635">
        <v>7</v>
      </c>
      <c r="AW635">
        <v>1</v>
      </c>
      <c r="AX635" t="s">
        <v>74</v>
      </c>
      <c r="AY635" t="s">
        <v>74</v>
      </c>
      <c r="AZ635" t="s">
        <v>74</v>
      </c>
      <c r="BA635" t="s">
        <v>74</v>
      </c>
      <c r="BB635" t="s">
        <v>74</v>
      </c>
      <c r="BC635" t="s">
        <v>74</v>
      </c>
      <c r="BD635" t="s">
        <v>11960</v>
      </c>
      <c r="BE635" t="s">
        <v>11961</v>
      </c>
      <c r="BF635" t="str">
        <f>HYPERLINK("http://dx.doi.org/10.1371/journal.pone.0030138","http://dx.doi.org/10.1371/journal.pone.0030138")</f>
        <v>http://dx.doi.org/10.1371/journal.pone.0030138</v>
      </c>
      <c r="BG635" t="s">
        <v>74</v>
      </c>
      <c r="BH635" t="s">
        <v>74</v>
      </c>
      <c r="BI635">
        <v>16</v>
      </c>
      <c r="BJ635" t="s">
        <v>153</v>
      </c>
      <c r="BK635" t="s">
        <v>99</v>
      </c>
      <c r="BL635" t="s">
        <v>154</v>
      </c>
      <c r="BM635" t="s">
        <v>11962</v>
      </c>
      <c r="BN635">
        <v>22253907</v>
      </c>
      <c r="BO635" t="s">
        <v>6474</v>
      </c>
      <c r="BP635" t="s">
        <v>74</v>
      </c>
      <c r="BQ635" t="s">
        <v>74</v>
      </c>
      <c r="BR635" t="s">
        <v>101</v>
      </c>
      <c r="BS635" t="s">
        <v>11963</v>
      </c>
      <c r="BT635" t="str">
        <f>HYPERLINK("https%3A%2F%2Fwww.webofscience.com%2Fwos%2Fwoscc%2Ffull-record%2FWOS:000301355700093","View Full Record in Web of Science")</f>
        <v>View Full Record in Web of Science</v>
      </c>
    </row>
    <row r="636" spans="1:72" x14ac:dyDescent="0.15">
      <c r="A636" t="s">
        <v>72</v>
      </c>
      <c r="B636" t="s">
        <v>11964</v>
      </c>
      <c r="C636" t="s">
        <v>74</v>
      </c>
      <c r="D636" t="s">
        <v>74</v>
      </c>
      <c r="E636" t="s">
        <v>74</v>
      </c>
      <c r="F636" t="s">
        <v>11965</v>
      </c>
      <c r="G636" t="s">
        <v>74</v>
      </c>
      <c r="H636" t="s">
        <v>74</v>
      </c>
      <c r="I636" t="s">
        <v>11966</v>
      </c>
      <c r="J636" t="s">
        <v>502</v>
      </c>
      <c r="K636" t="s">
        <v>74</v>
      </c>
      <c r="L636" t="s">
        <v>74</v>
      </c>
      <c r="M636" t="s">
        <v>78</v>
      </c>
      <c r="N636" t="s">
        <v>79</v>
      </c>
      <c r="O636" t="s">
        <v>74</v>
      </c>
      <c r="P636" t="s">
        <v>74</v>
      </c>
      <c r="Q636" t="s">
        <v>74</v>
      </c>
      <c r="R636" t="s">
        <v>74</v>
      </c>
      <c r="S636" t="s">
        <v>74</v>
      </c>
      <c r="T636" t="s">
        <v>74</v>
      </c>
      <c r="U636" t="s">
        <v>11967</v>
      </c>
      <c r="V636" t="s">
        <v>11968</v>
      </c>
      <c r="W636" t="s">
        <v>11969</v>
      </c>
      <c r="X636" t="s">
        <v>11970</v>
      </c>
      <c r="Y636" t="s">
        <v>8351</v>
      </c>
      <c r="Z636" t="s">
        <v>8352</v>
      </c>
      <c r="AA636" t="s">
        <v>11971</v>
      </c>
      <c r="AB636" t="s">
        <v>11972</v>
      </c>
      <c r="AC636" t="s">
        <v>11973</v>
      </c>
      <c r="AD636" t="s">
        <v>11973</v>
      </c>
      <c r="AE636" t="s">
        <v>11974</v>
      </c>
      <c r="AF636" t="s">
        <v>74</v>
      </c>
      <c r="AG636">
        <v>39</v>
      </c>
      <c r="AH636">
        <v>156</v>
      </c>
      <c r="AI636">
        <v>166</v>
      </c>
      <c r="AJ636">
        <v>1</v>
      </c>
      <c r="AK636">
        <v>90</v>
      </c>
      <c r="AL636" t="s">
        <v>513</v>
      </c>
      <c r="AM636" t="s">
        <v>514</v>
      </c>
      <c r="AN636" t="s">
        <v>515</v>
      </c>
      <c r="AO636" t="s">
        <v>516</v>
      </c>
      <c r="AP636" t="s">
        <v>74</v>
      </c>
      <c r="AQ636" t="s">
        <v>74</v>
      </c>
      <c r="AR636" t="s">
        <v>502</v>
      </c>
      <c r="AS636" t="s">
        <v>517</v>
      </c>
      <c r="AT636" t="s">
        <v>11869</v>
      </c>
      <c r="AU636">
        <v>2012</v>
      </c>
      <c r="AV636">
        <v>7</v>
      </c>
      <c r="AW636">
        <v>1</v>
      </c>
      <c r="AX636" t="s">
        <v>74</v>
      </c>
      <c r="AY636" t="s">
        <v>74</v>
      </c>
      <c r="AZ636" t="s">
        <v>74</v>
      </c>
      <c r="BA636" t="s">
        <v>74</v>
      </c>
      <c r="BB636" t="s">
        <v>74</v>
      </c>
      <c r="BC636" t="s">
        <v>74</v>
      </c>
      <c r="BD636" t="s">
        <v>11975</v>
      </c>
      <c r="BE636" t="s">
        <v>11976</v>
      </c>
      <c r="BF636" t="str">
        <f>HYPERLINK("http://dx.doi.org/10.1371/journal.pone.0030058","http://dx.doi.org/10.1371/journal.pone.0030058")</f>
        <v>http://dx.doi.org/10.1371/journal.pone.0030058</v>
      </c>
      <c r="BG636" t="s">
        <v>74</v>
      </c>
      <c r="BH636" t="s">
        <v>74</v>
      </c>
      <c r="BI636">
        <v>10</v>
      </c>
      <c r="BJ636" t="s">
        <v>153</v>
      </c>
      <c r="BK636" t="s">
        <v>99</v>
      </c>
      <c r="BL636" t="s">
        <v>154</v>
      </c>
      <c r="BM636" t="s">
        <v>11962</v>
      </c>
      <c r="BN636">
        <v>22253877</v>
      </c>
      <c r="BO636" t="s">
        <v>2787</v>
      </c>
      <c r="BP636" t="s">
        <v>74</v>
      </c>
      <c r="BQ636" t="s">
        <v>74</v>
      </c>
      <c r="BR636" t="s">
        <v>101</v>
      </c>
      <c r="BS636" t="s">
        <v>11977</v>
      </c>
      <c r="BT636" t="str">
        <f>HYPERLINK("https%3A%2F%2Fwww.webofscience.com%2Fwos%2Fwoscc%2Ffull-record%2FWOS:000301355700083","View Full Record in Web of Science")</f>
        <v>View Full Record in Web of Science</v>
      </c>
    </row>
    <row r="637" spans="1:72" x14ac:dyDescent="0.15">
      <c r="A637" t="s">
        <v>72</v>
      </c>
      <c r="B637" t="s">
        <v>11978</v>
      </c>
      <c r="C637" t="s">
        <v>74</v>
      </c>
      <c r="D637" t="s">
        <v>74</v>
      </c>
      <c r="E637" t="s">
        <v>74</v>
      </c>
      <c r="F637" t="s">
        <v>11979</v>
      </c>
      <c r="G637" t="s">
        <v>74</v>
      </c>
      <c r="H637" t="s">
        <v>74</v>
      </c>
      <c r="I637" t="s">
        <v>11980</v>
      </c>
      <c r="J637" t="s">
        <v>502</v>
      </c>
      <c r="K637" t="s">
        <v>74</v>
      </c>
      <c r="L637" t="s">
        <v>74</v>
      </c>
      <c r="M637" t="s">
        <v>78</v>
      </c>
      <c r="N637" t="s">
        <v>79</v>
      </c>
      <c r="O637" t="s">
        <v>74</v>
      </c>
      <c r="P637" t="s">
        <v>74</v>
      </c>
      <c r="Q637" t="s">
        <v>74</v>
      </c>
      <c r="R637" t="s">
        <v>74</v>
      </c>
      <c r="S637" t="s">
        <v>74</v>
      </c>
      <c r="T637" t="s">
        <v>74</v>
      </c>
      <c r="U637" t="s">
        <v>11981</v>
      </c>
      <c r="V637" t="s">
        <v>11982</v>
      </c>
      <c r="W637" t="s">
        <v>11983</v>
      </c>
      <c r="X637" t="s">
        <v>11984</v>
      </c>
      <c r="Y637" t="s">
        <v>11985</v>
      </c>
      <c r="Z637" t="s">
        <v>11986</v>
      </c>
      <c r="AA637" t="s">
        <v>11987</v>
      </c>
      <c r="AB637" t="s">
        <v>11988</v>
      </c>
      <c r="AC637" t="s">
        <v>11989</v>
      </c>
      <c r="AD637" t="s">
        <v>11990</v>
      </c>
      <c r="AE637" t="s">
        <v>11991</v>
      </c>
      <c r="AF637" t="s">
        <v>74</v>
      </c>
      <c r="AG637">
        <v>118</v>
      </c>
      <c r="AH637">
        <v>42</v>
      </c>
      <c r="AI637">
        <v>47</v>
      </c>
      <c r="AJ637">
        <v>4</v>
      </c>
      <c r="AK637">
        <v>28</v>
      </c>
      <c r="AL637" t="s">
        <v>513</v>
      </c>
      <c r="AM637" t="s">
        <v>514</v>
      </c>
      <c r="AN637" t="s">
        <v>515</v>
      </c>
      <c r="AO637" t="s">
        <v>516</v>
      </c>
      <c r="AP637" t="s">
        <v>74</v>
      </c>
      <c r="AQ637" t="s">
        <v>74</v>
      </c>
      <c r="AR637" t="s">
        <v>502</v>
      </c>
      <c r="AS637" t="s">
        <v>517</v>
      </c>
      <c r="AT637" t="s">
        <v>11992</v>
      </c>
      <c r="AU637">
        <v>2012</v>
      </c>
      <c r="AV637">
        <v>7</v>
      </c>
      <c r="AW637">
        <v>1</v>
      </c>
      <c r="AX637" t="s">
        <v>74</v>
      </c>
      <c r="AY637" t="s">
        <v>74</v>
      </c>
      <c r="AZ637" t="s">
        <v>74</v>
      </c>
      <c r="BA637" t="s">
        <v>74</v>
      </c>
      <c r="BB637" t="s">
        <v>74</v>
      </c>
      <c r="BC637" t="s">
        <v>74</v>
      </c>
      <c r="BD637" t="s">
        <v>11993</v>
      </c>
      <c r="BE637" t="s">
        <v>11994</v>
      </c>
      <c r="BF637" t="str">
        <f>HYPERLINK("http://dx.doi.org/10.1371/journal.pone.0029365","http://dx.doi.org/10.1371/journal.pone.0029365")</f>
        <v>http://dx.doi.org/10.1371/journal.pone.0029365</v>
      </c>
      <c r="BG637" t="s">
        <v>74</v>
      </c>
      <c r="BH637" t="s">
        <v>74</v>
      </c>
      <c r="BI637">
        <v>12</v>
      </c>
      <c r="BJ637" t="s">
        <v>153</v>
      </c>
      <c r="BK637" t="s">
        <v>99</v>
      </c>
      <c r="BL637" t="s">
        <v>154</v>
      </c>
      <c r="BM637" t="s">
        <v>11995</v>
      </c>
      <c r="BN637">
        <v>22253713</v>
      </c>
      <c r="BO637" t="s">
        <v>11996</v>
      </c>
      <c r="BP637" t="s">
        <v>74</v>
      </c>
      <c r="BQ637" t="s">
        <v>74</v>
      </c>
      <c r="BR637" t="s">
        <v>101</v>
      </c>
      <c r="BS637" t="s">
        <v>11997</v>
      </c>
      <c r="BT637" t="str">
        <f>HYPERLINK("https%3A%2F%2Fwww.webofscience.com%2Fwos%2Fwoscc%2Ffull-record%2FWOS:000301352400002","View Full Record in Web of Science")</f>
        <v>View Full Record in Web of Science</v>
      </c>
    </row>
    <row r="638" spans="1:72" x14ac:dyDescent="0.15">
      <c r="A638" t="s">
        <v>72</v>
      </c>
      <c r="B638" t="s">
        <v>11998</v>
      </c>
      <c r="C638" t="s">
        <v>74</v>
      </c>
      <c r="D638" t="s">
        <v>74</v>
      </c>
      <c r="E638" t="s">
        <v>74</v>
      </c>
      <c r="F638" t="s">
        <v>11999</v>
      </c>
      <c r="G638" t="s">
        <v>74</v>
      </c>
      <c r="H638" t="s">
        <v>74</v>
      </c>
      <c r="I638" t="s">
        <v>12000</v>
      </c>
      <c r="J638" t="s">
        <v>77</v>
      </c>
      <c r="K638" t="s">
        <v>74</v>
      </c>
      <c r="L638" t="s">
        <v>74</v>
      </c>
      <c r="M638" t="s">
        <v>78</v>
      </c>
      <c r="N638" t="s">
        <v>79</v>
      </c>
      <c r="O638" t="s">
        <v>74</v>
      </c>
      <c r="P638" t="s">
        <v>74</v>
      </c>
      <c r="Q638" t="s">
        <v>74</v>
      </c>
      <c r="R638" t="s">
        <v>74</v>
      </c>
      <c r="S638" t="s">
        <v>74</v>
      </c>
      <c r="T638" t="s">
        <v>12001</v>
      </c>
      <c r="U638" t="s">
        <v>12002</v>
      </c>
      <c r="V638" t="s">
        <v>12003</v>
      </c>
      <c r="W638" t="s">
        <v>12004</v>
      </c>
      <c r="X638" t="s">
        <v>12005</v>
      </c>
      <c r="Y638" t="s">
        <v>12006</v>
      </c>
      <c r="Z638" t="s">
        <v>12007</v>
      </c>
      <c r="AA638" t="s">
        <v>74</v>
      </c>
      <c r="AB638" t="s">
        <v>74</v>
      </c>
      <c r="AC638" t="s">
        <v>12008</v>
      </c>
      <c r="AD638" t="s">
        <v>3893</v>
      </c>
      <c r="AE638" t="s">
        <v>12009</v>
      </c>
      <c r="AF638" t="s">
        <v>74</v>
      </c>
      <c r="AG638">
        <v>36</v>
      </c>
      <c r="AH638">
        <v>16</v>
      </c>
      <c r="AI638">
        <v>18</v>
      </c>
      <c r="AJ638">
        <v>0</v>
      </c>
      <c r="AK638">
        <v>11</v>
      </c>
      <c r="AL638" t="s">
        <v>91</v>
      </c>
      <c r="AM638" t="s">
        <v>92</v>
      </c>
      <c r="AN638" t="s">
        <v>392</v>
      </c>
      <c r="AO638" t="s">
        <v>94</v>
      </c>
      <c r="AP638" t="s">
        <v>95</v>
      </c>
      <c r="AQ638" t="s">
        <v>74</v>
      </c>
      <c r="AR638" t="s">
        <v>77</v>
      </c>
      <c r="AS638" t="s">
        <v>96</v>
      </c>
      <c r="AT638" t="s">
        <v>11992</v>
      </c>
      <c r="AU638">
        <v>2012</v>
      </c>
      <c r="AV638" t="s">
        <v>74</v>
      </c>
      <c r="AW638">
        <v>3154</v>
      </c>
      <c r="AX638" t="s">
        <v>74</v>
      </c>
      <c r="AY638" t="s">
        <v>74</v>
      </c>
      <c r="AZ638" t="s">
        <v>74</v>
      </c>
      <c r="BA638" t="s">
        <v>74</v>
      </c>
      <c r="BB638">
        <v>21</v>
      </c>
      <c r="BC638">
        <v>39</v>
      </c>
      <c r="BD638" t="s">
        <v>74</v>
      </c>
      <c r="BE638" t="s">
        <v>74</v>
      </c>
      <c r="BF638" t="s">
        <v>74</v>
      </c>
      <c r="BG638" t="s">
        <v>74</v>
      </c>
      <c r="BH638" t="s">
        <v>74</v>
      </c>
      <c r="BI638">
        <v>19</v>
      </c>
      <c r="BJ638" t="s">
        <v>98</v>
      </c>
      <c r="BK638" t="s">
        <v>99</v>
      </c>
      <c r="BL638" t="s">
        <v>98</v>
      </c>
      <c r="BM638" t="s">
        <v>12010</v>
      </c>
      <c r="BN638" t="s">
        <v>74</v>
      </c>
      <c r="BO638" t="s">
        <v>74</v>
      </c>
      <c r="BP638" t="s">
        <v>74</v>
      </c>
      <c r="BQ638" t="s">
        <v>74</v>
      </c>
      <c r="BR638" t="s">
        <v>101</v>
      </c>
      <c r="BS638" t="s">
        <v>12011</v>
      </c>
      <c r="BT638" t="str">
        <f>HYPERLINK("https%3A%2F%2Fwww.webofscience.com%2Fwos%2Fwoscc%2Ffull-record%2FWOS:000299943200002","View Full Record in Web of Science")</f>
        <v>View Full Record in Web of Science</v>
      </c>
    </row>
    <row r="639" spans="1:72" x14ac:dyDescent="0.15">
      <c r="A639" t="s">
        <v>72</v>
      </c>
      <c r="B639" t="s">
        <v>12012</v>
      </c>
      <c r="C639" t="s">
        <v>74</v>
      </c>
      <c r="D639" t="s">
        <v>74</v>
      </c>
      <c r="E639" t="s">
        <v>74</v>
      </c>
      <c r="F639" t="s">
        <v>12013</v>
      </c>
      <c r="G639" t="s">
        <v>74</v>
      </c>
      <c r="H639" t="s">
        <v>74</v>
      </c>
      <c r="I639" t="s">
        <v>12014</v>
      </c>
      <c r="J639" t="s">
        <v>3149</v>
      </c>
      <c r="K639" t="s">
        <v>74</v>
      </c>
      <c r="L639" t="s">
        <v>74</v>
      </c>
      <c r="M639" t="s">
        <v>78</v>
      </c>
      <c r="N639" t="s">
        <v>79</v>
      </c>
      <c r="O639" t="s">
        <v>74</v>
      </c>
      <c r="P639" t="s">
        <v>74</v>
      </c>
      <c r="Q639" t="s">
        <v>74</v>
      </c>
      <c r="R639" t="s">
        <v>74</v>
      </c>
      <c r="S639" t="s">
        <v>74</v>
      </c>
      <c r="T639" t="s">
        <v>74</v>
      </c>
      <c r="U639" t="s">
        <v>12015</v>
      </c>
      <c r="V639" t="s">
        <v>12016</v>
      </c>
      <c r="W639" t="s">
        <v>12017</v>
      </c>
      <c r="X639" t="s">
        <v>2228</v>
      </c>
      <c r="Y639" t="s">
        <v>12018</v>
      </c>
      <c r="Z639" t="s">
        <v>12019</v>
      </c>
      <c r="AA639" t="s">
        <v>74</v>
      </c>
      <c r="AB639" t="s">
        <v>12020</v>
      </c>
      <c r="AC639" t="s">
        <v>12021</v>
      </c>
      <c r="AD639" t="s">
        <v>12022</v>
      </c>
      <c r="AE639" t="s">
        <v>12023</v>
      </c>
      <c r="AF639" t="s">
        <v>74</v>
      </c>
      <c r="AG639">
        <v>66</v>
      </c>
      <c r="AH639">
        <v>84</v>
      </c>
      <c r="AI639">
        <v>93</v>
      </c>
      <c r="AJ639">
        <v>0</v>
      </c>
      <c r="AK639">
        <v>30</v>
      </c>
      <c r="AL639" t="s">
        <v>118</v>
      </c>
      <c r="AM639" t="s">
        <v>119</v>
      </c>
      <c r="AN639" t="s">
        <v>120</v>
      </c>
      <c r="AO639" t="s">
        <v>3160</v>
      </c>
      <c r="AP639" t="s">
        <v>3161</v>
      </c>
      <c r="AQ639" t="s">
        <v>74</v>
      </c>
      <c r="AR639" t="s">
        <v>3162</v>
      </c>
      <c r="AS639" t="s">
        <v>3163</v>
      </c>
      <c r="AT639" t="s">
        <v>12024</v>
      </c>
      <c r="AU639">
        <v>2012</v>
      </c>
      <c r="AV639">
        <v>117</v>
      </c>
      <c r="AW639" t="s">
        <v>74</v>
      </c>
      <c r="AX639" t="s">
        <v>74</v>
      </c>
      <c r="AY639" t="s">
        <v>74</v>
      </c>
      <c r="AZ639" t="s">
        <v>74</v>
      </c>
      <c r="BA639" t="s">
        <v>74</v>
      </c>
      <c r="BB639" t="s">
        <v>74</v>
      </c>
      <c r="BC639" t="s">
        <v>74</v>
      </c>
      <c r="BD639" t="s">
        <v>12025</v>
      </c>
      <c r="BE639" t="s">
        <v>12026</v>
      </c>
      <c r="BF639" t="str">
        <f>HYPERLINK("http://dx.doi.org/10.1029/2011JF002064","http://dx.doi.org/10.1029/2011JF002064")</f>
        <v>http://dx.doi.org/10.1029/2011JF002064</v>
      </c>
      <c r="BG639" t="s">
        <v>74</v>
      </c>
      <c r="BH639" t="s">
        <v>74</v>
      </c>
      <c r="BI639">
        <v>15</v>
      </c>
      <c r="BJ639" t="s">
        <v>194</v>
      </c>
      <c r="BK639" t="s">
        <v>99</v>
      </c>
      <c r="BL639" t="s">
        <v>195</v>
      </c>
      <c r="BM639" t="s">
        <v>12027</v>
      </c>
      <c r="BN639" t="s">
        <v>74</v>
      </c>
      <c r="BO639" t="s">
        <v>217</v>
      </c>
      <c r="BP639" t="s">
        <v>74</v>
      </c>
      <c r="BQ639" t="s">
        <v>74</v>
      </c>
      <c r="BR639" t="s">
        <v>101</v>
      </c>
      <c r="BS639" t="s">
        <v>12028</v>
      </c>
      <c r="BT639" t="str">
        <f>HYPERLINK("https%3A%2F%2Fwww.webofscience.com%2Fwos%2Fwoscc%2Ffull-record%2FWOS:000298931600001","View Full Record in Web of Science")</f>
        <v>View Full Record in Web of Science</v>
      </c>
    </row>
    <row r="640" spans="1:72" x14ac:dyDescent="0.15">
      <c r="A640" t="s">
        <v>72</v>
      </c>
      <c r="B640" t="s">
        <v>12029</v>
      </c>
      <c r="C640" t="s">
        <v>74</v>
      </c>
      <c r="D640" t="s">
        <v>74</v>
      </c>
      <c r="E640" t="s">
        <v>74</v>
      </c>
      <c r="F640" t="s">
        <v>12030</v>
      </c>
      <c r="G640" t="s">
        <v>74</v>
      </c>
      <c r="H640" t="s">
        <v>74</v>
      </c>
      <c r="I640" t="s">
        <v>12031</v>
      </c>
      <c r="J640" t="s">
        <v>11613</v>
      </c>
      <c r="K640" t="s">
        <v>74</v>
      </c>
      <c r="L640" t="s">
        <v>74</v>
      </c>
      <c r="M640" t="s">
        <v>78</v>
      </c>
      <c r="N640" t="s">
        <v>1073</v>
      </c>
      <c r="O640" t="s">
        <v>74</v>
      </c>
      <c r="P640" t="s">
        <v>74</v>
      </c>
      <c r="Q640" t="s">
        <v>74</v>
      </c>
      <c r="R640" t="s">
        <v>74</v>
      </c>
      <c r="S640" t="s">
        <v>74</v>
      </c>
      <c r="T640" t="s">
        <v>74</v>
      </c>
      <c r="U640" t="s">
        <v>12032</v>
      </c>
      <c r="V640" t="s">
        <v>12033</v>
      </c>
      <c r="W640" t="s">
        <v>12034</v>
      </c>
      <c r="X640" t="s">
        <v>12035</v>
      </c>
      <c r="Y640" t="s">
        <v>12036</v>
      </c>
      <c r="Z640" t="s">
        <v>12037</v>
      </c>
      <c r="AA640" t="s">
        <v>12038</v>
      </c>
      <c r="AB640" t="s">
        <v>12039</v>
      </c>
      <c r="AC640" t="s">
        <v>12040</v>
      </c>
      <c r="AD640" t="s">
        <v>10714</v>
      </c>
      <c r="AE640" t="s">
        <v>12041</v>
      </c>
      <c r="AF640" t="s">
        <v>74</v>
      </c>
      <c r="AG640">
        <v>82</v>
      </c>
      <c r="AH640">
        <v>39</v>
      </c>
      <c r="AI640">
        <v>39</v>
      </c>
      <c r="AJ640">
        <v>2</v>
      </c>
      <c r="AK640">
        <v>81</v>
      </c>
      <c r="AL640" t="s">
        <v>118</v>
      </c>
      <c r="AM640" t="s">
        <v>119</v>
      </c>
      <c r="AN640" t="s">
        <v>120</v>
      </c>
      <c r="AO640" t="s">
        <v>11625</v>
      </c>
      <c r="AP640" t="s">
        <v>11626</v>
      </c>
      <c r="AQ640" t="s">
        <v>74</v>
      </c>
      <c r="AR640" t="s">
        <v>11627</v>
      </c>
      <c r="AS640" t="s">
        <v>11628</v>
      </c>
      <c r="AT640" t="s">
        <v>12024</v>
      </c>
      <c r="AU640">
        <v>2012</v>
      </c>
      <c r="AV640">
        <v>50</v>
      </c>
      <c r="AW640" t="s">
        <v>74</v>
      </c>
      <c r="AX640" t="s">
        <v>74</v>
      </c>
      <c r="AY640" t="s">
        <v>74</v>
      </c>
      <c r="AZ640" t="s">
        <v>74</v>
      </c>
      <c r="BA640" t="s">
        <v>74</v>
      </c>
      <c r="BB640" t="s">
        <v>74</v>
      </c>
      <c r="BC640" t="s">
        <v>74</v>
      </c>
      <c r="BD640" t="s">
        <v>12042</v>
      </c>
      <c r="BE640" t="s">
        <v>12043</v>
      </c>
      <c r="BF640" t="str">
        <f>HYPERLINK("http://dx.doi.org/10.1029/2011RG000361","http://dx.doi.org/10.1029/2011RG000361")</f>
        <v>http://dx.doi.org/10.1029/2011RG000361</v>
      </c>
      <c r="BG640" t="s">
        <v>74</v>
      </c>
      <c r="BH640" t="s">
        <v>74</v>
      </c>
      <c r="BI640">
        <v>40</v>
      </c>
      <c r="BJ640" t="s">
        <v>1134</v>
      </c>
      <c r="BK640" t="s">
        <v>99</v>
      </c>
      <c r="BL640" t="s">
        <v>1134</v>
      </c>
      <c r="BM640" t="s">
        <v>12044</v>
      </c>
      <c r="BN640" t="s">
        <v>74</v>
      </c>
      <c r="BO640" t="s">
        <v>2692</v>
      </c>
      <c r="BP640" t="s">
        <v>74</v>
      </c>
      <c r="BQ640" t="s">
        <v>74</v>
      </c>
      <c r="BR640" t="s">
        <v>101</v>
      </c>
      <c r="BS640" t="s">
        <v>12045</v>
      </c>
      <c r="BT640" t="str">
        <f>HYPERLINK("https%3A%2F%2Fwww.webofscience.com%2Fwos%2Fwoscc%2Ffull-record%2FWOS:000298945700001","View Full Record in Web of Science")</f>
        <v>View Full Record in Web of Science</v>
      </c>
    </row>
    <row r="641" spans="1:72" x14ac:dyDescent="0.15">
      <c r="A641" t="s">
        <v>72</v>
      </c>
      <c r="B641" t="s">
        <v>1137</v>
      </c>
      <c r="C641" t="s">
        <v>74</v>
      </c>
      <c r="D641" t="s">
        <v>74</v>
      </c>
      <c r="E641" t="s">
        <v>74</v>
      </c>
      <c r="F641" t="s">
        <v>1137</v>
      </c>
      <c r="G641" t="s">
        <v>74</v>
      </c>
      <c r="H641" t="s">
        <v>74</v>
      </c>
      <c r="I641" t="s">
        <v>12046</v>
      </c>
      <c r="J641" t="s">
        <v>2697</v>
      </c>
      <c r="K641" t="s">
        <v>74</v>
      </c>
      <c r="L641" t="s">
        <v>74</v>
      </c>
      <c r="M641" t="s">
        <v>78</v>
      </c>
      <c r="N641" t="s">
        <v>887</v>
      </c>
      <c r="O641" t="s">
        <v>74</v>
      </c>
      <c r="P641" t="s">
        <v>74</v>
      </c>
      <c r="Q641" t="s">
        <v>74</v>
      </c>
      <c r="R641" t="s">
        <v>74</v>
      </c>
      <c r="S641" t="s">
        <v>74</v>
      </c>
      <c r="T641" t="s">
        <v>74</v>
      </c>
      <c r="U641" t="s">
        <v>74</v>
      </c>
      <c r="V641" t="s">
        <v>74</v>
      </c>
      <c r="W641" t="s">
        <v>74</v>
      </c>
      <c r="X641" t="s">
        <v>74</v>
      </c>
      <c r="Y641" t="s">
        <v>74</v>
      </c>
      <c r="Z641" t="s">
        <v>74</v>
      </c>
      <c r="AA641" t="s">
        <v>74</v>
      </c>
      <c r="AB641" t="s">
        <v>74</v>
      </c>
      <c r="AC641" t="s">
        <v>74</v>
      </c>
      <c r="AD641" t="s">
        <v>74</v>
      </c>
      <c r="AE641" t="s">
        <v>74</v>
      </c>
      <c r="AF641" t="s">
        <v>74</v>
      </c>
      <c r="AG641">
        <v>0</v>
      </c>
      <c r="AH641">
        <v>0</v>
      </c>
      <c r="AI641">
        <v>0</v>
      </c>
      <c r="AJ641">
        <v>0</v>
      </c>
      <c r="AK641">
        <v>1</v>
      </c>
      <c r="AL641" t="s">
        <v>2709</v>
      </c>
      <c r="AM641" t="s">
        <v>119</v>
      </c>
      <c r="AN641" t="s">
        <v>2710</v>
      </c>
      <c r="AO641" t="s">
        <v>2711</v>
      </c>
      <c r="AP641" t="s">
        <v>74</v>
      </c>
      <c r="AQ641" t="s">
        <v>74</v>
      </c>
      <c r="AR641" t="s">
        <v>2697</v>
      </c>
      <c r="AS641" t="s">
        <v>2713</v>
      </c>
      <c r="AT641" t="s">
        <v>12047</v>
      </c>
      <c r="AU641">
        <v>2012</v>
      </c>
      <c r="AV641">
        <v>335</v>
      </c>
      <c r="AW641">
        <v>6064</v>
      </c>
      <c r="AX641" t="s">
        <v>74</v>
      </c>
      <c r="AY641" t="s">
        <v>74</v>
      </c>
      <c r="AZ641" t="s">
        <v>74</v>
      </c>
      <c r="BA641" t="s">
        <v>74</v>
      </c>
      <c r="BB641">
        <v>18</v>
      </c>
      <c r="BC641">
        <v>18</v>
      </c>
      <c r="BD641" t="s">
        <v>74</v>
      </c>
      <c r="BE641" t="s">
        <v>74</v>
      </c>
      <c r="BF641" t="s">
        <v>74</v>
      </c>
      <c r="BG641" t="s">
        <v>74</v>
      </c>
      <c r="BH641" t="s">
        <v>74</v>
      </c>
      <c r="BI641">
        <v>1</v>
      </c>
      <c r="BJ641" t="s">
        <v>153</v>
      </c>
      <c r="BK641" t="s">
        <v>99</v>
      </c>
      <c r="BL641" t="s">
        <v>154</v>
      </c>
      <c r="BM641" t="s">
        <v>12048</v>
      </c>
      <c r="BN641" t="s">
        <v>74</v>
      </c>
      <c r="BO641" t="s">
        <v>74</v>
      </c>
      <c r="BP641" t="s">
        <v>74</v>
      </c>
      <c r="BQ641" t="s">
        <v>74</v>
      </c>
      <c r="BR641" t="s">
        <v>101</v>
      </c>
      <c r="BS641" t="s">
        <v>12049</v>
      </c>
      <c r="BT641" t="str">
        <f>HYPERLINK("https%3A%2F%2Fwww.webofscience.com%2Fwos%2Fwoscc%2Ffull-record%2FWOS:000298846200002","View Full Record in Web of Science")</f>
        <v>View Full Record in Web of Science</v>
      </c>
    </row>
    <row r="642" spans="1:72" x14ac:dyDescent="0.15">
      <c r="A642" t="s">
        <v>72</v>
      </c>
      <c r="B642" t="s">
        <v>12050</v>
      </c>
      <c r="C642" t="s">
        <v>74</v>
      </c>
      <c r="D642" t="s">
        <v>74</v>
      </c>
      <c r="E642" t="s">
        <v>74</v>
      </c>
      <c r="F642" t="s">
        <v>12051</v>
      </c>
      <c r="G642" t="s">
        <v>74</v>
      </c>
      <c r="H642" t="s">
        <v>74</v>
      </c>
      <c r="I642" t="s">
        <v>12052</v>
      </c>
      <c r="J642" t="s">
        <v>333</v>
      </c>
      <c r="K642" t="s">
        <v>74</v>
      </c>
      <c r="L642" t="s">
        <v>74</v>
      </c>
      <c r="M642" t="s">
        <v>78</v>
      </c>
      <c r="N642" t="s">
        <v>79</v>
      </c>
      <c r="O642" t="s">
        <v>74</v>
      </c>
      <c r="P642" t="s">
        <v>74</v>
      </c>
      <c r="Q642" t="s">
        <v>74</v>
      </c>
      <c r="R642" t="s">
        <v>74</v>
      </c>
      <c r="S642" t="s">
        <v>74</v>
      </c>
      <c r="T642" t="s">
        <v>74</v>
      </c>
      <c r="U642" t="s">
        <v>12053</v>
      </c>
      <c r="V642" t="s">
        <v>12054</v>
      </c>
      <c r="W642" t="s">
        <v>12055</v>
      </c>
      <c r="X642" t="s">
        <v>12056</v>
      </c>
      <c r="Y642" t="s">
        <v>12057</v>
      </c>
      <c r="Z642" t="s">
        <v>12058</v>
      </c>
      <c r="AA642" t="s">
        <v>12059</v>
      </c>
      <c r="AB642" t="s">
        <v>12060</v>
      </c>
      <c r="AC642" t="s">
        <v>12061</v>
      </c>
      <c r="AD642" t="s">
        <v>12062</v>
      </c>
      <c r="AE642" t="s">
        <v>12063</v>
      </c>
      <c r="AF642" t="s">
        <v>74</v>
      </c>
      <c r="AG642">
        <v>36</v>
      </c>
      <c r="AH642">
        <v>47</v>
      </c>
      <c r="AI642">
        <v>48</v>
      </c>
      <c r="AJ642">
        <v>1</v>
      </c>
      <c r="AK642">
        <v>8</v>
      </c>
      <c r="AL642" t="s">
        <v>118</v>
      </c>
      <c r="AM642" t="s">
        <v>119</v>
      </c>
      <c r="AN642" t="s">
        <v>120</v>
      </c>
      <c r="AO642" t="s">
        <v>344</v>
      </c>
      <c r="AP642" t="s">
        <v>345</v>
      </c>
      <c r="AQ642" t="s">
        <v>74</v>
      </c>
      <c r="AR642" t="s">
        <v>346</v>
      </c>
      <c r="AS642" t="s">
        <v>347</v>
      </c>
      <c r="AT642" t="s">
        <v>12064</v>
      </c>
      <c r="AU642">
        <v>2012</v>
      </c>
      <c r="AV642">
        <v>117</v>
      </c>
      <c r="AW642" t="s">
        <v>74</v>
      </c>
      <c r="AX642" t="s">
        <v>74</v>
      </c>
      <c r="AY642" t="s">
        <v>74</v>
      </c>
      <c r="AZ642" t="s">
        <v>74</v>
      </c>
      <c r="BA642" t="s">
        <v>74</v>
      </c>
      <c r="BB642" t="s">
        <v>74</v>
      </c>
      <c r="BC642" t="s">
        <v>74</v>
      </c>
      <c r="BD642" t="s">
        <v>12065</v>
      </c>
      <c r="BE642" t="s">
        <v>12066</v>
      </c>
      <c r="BF642" t="str">
        <f>HYPERLINK("http://dx.doi.org/10.1029/2011JC006961","http://dx.doi.org/10.1029/2011JC006961")</f>
        <v>http://dx.doi.org/10.1029/2011JC006961</v>
      </c>
      <c r="BG642" t="s">
        <v>74</v>
      </c>
      <c r="BH642" t="s">
        <v>74</v>
      </c>
      <c r="BI642">
        <v>16</v>
      </c>
      <c r="BJ642" t="s">
        <v>350</v>
      </c>
      <c r="BK642" t="s">
        <v>99</v>
      </c>
      <c r="BL642" t="s">
        <v>350</v>
      </c>
      <c r="BM642" t="s">
        <v>12067</v>
      </c>
      <c r="BN642" t="s">
        <v>74</v>
      </c>
      <c r="BO642" t="s">
        <v>74</v>
      </c>
      <c r="BP642" t="s">
        <v>74</v>
      </c>
      <c r="BQ642" t="s">
        <v>74</v>
      </c>
      <c r="BR642" t="s">
        <v>101</v>
      </c>
      <c r="BS642" t="s">
        <v>12068</v>
      </c>
      <c r="BT642" t="str">
        <f>HYPERLINK("https%3A%2F%2Fwww.webofscience.com%2Fwos%2Fwoscc%2Ffull-record%2FWOS:000298931700001","View Full Record in Web of Science")</f>
        <v>View Full Record in Web of Science</v>
      </c>
    </row>
    <row r="643" spans="1:72" x14ac:dyDescent="0.15">
      <c r="A643" t="s">
        <v>72</v>
      </c>
      <c r="B643" t="s">
        <v>12069</v>
      </c>
      <c r="C643" t="s">
        <v>74</v>
      </c>
      <c r="D643" t="s">
        <v>74</v>
      </c>
      <c r="E643" t="s">
        <v>74</v>
      </c>
      <c r="F643" t="s">
        <v>12070</v>
      </c>
      <c r="G643" t="s">
        <v>74</v>
      </c>
      <c r="H643" t="s">
        <v>74</v>
      </c>
      <c r="I643" t="s">
        <v>12071</v>
      </c>
      <c r="J643" t="s">
        <v>1382</v>
      </c>
      <c r="K643" t="s">
        <v>74</v>
      </c>
      <c r="L643" t="s">
        <v>74</v>
      </c>
      <c r="M643" t="s">
        <v>78</v>
      </c>
      <c r="N643" t="s">
        <v>79</v>
      </c>
      <c r="O643" t="s">
        <v>74</v>
      </c>
      <c r="P643" t="s">
        <v>74</v>
      </c>
      <c r="Q643" t="s">
        <v>74</v>
      </c>
      <c r="R643" t="s">
        <v>74</v>
      </c>
      <c r="S643" t="s">
        <v>74</v>
      </c>
      <c r="T643" t="s">
        <v>74</v>
      </c>
      <c r="U643" t="s">
        <v>12072</v>
      </c>
      <c r="V643" t="s">
        <v>12073</v>
      </c>
      <c r="W643" t="s">
        <v>12074</v>
      </c>
      <c r="X643" t="s">
        <v>12075</v>
      </c>
      <c r="Y643" t="s">
        <v>12076</v>
      </c>
      <c r="Z643" t="s">
        <v>12077</v>
      </c>
      <c r="AA643" t="s">
        <v>12078</v>
      </c>
      <c r="AB643" t="s">
        <v>12079</v>
      </c>
      <c r="AC643" t="s">
        <v>12080</v>
      </c>
      <c r="AD643" t="s">
        <v>12080</v>
      </c>
      <c r="AE643" t="s">
        <v>12081</v>
      </c>
      <c r="AF643" t="s">
        <v>74</v>
      </c>
      <c r="AG643">
        <v>71</v>
      </c>
      <c r="AH643">
        <v>72</v>
      </c>
      <c r="AI643">
        <v>77</v>
      </c>
      <c r="AJ643">
        <v>5</v>
      </c>
      <c r="AK643">
        <v>144</v>
      </c>
      <c r="AL643" t="s">
        <v>1394</v>
      </c>
      <c r="AM643" t="s">
        <v>119</v>
      </c>
      <c r="AN643" t="s">
        <v>1395</v>
      </c>
      <c r="AO643" t="s">
        <v>1396</v>
      </c>
      <c r="AP643" t="s">
        <v>1397</v>
      </c>
      <c r="AQ643" t="s">
        <v>74</v>
      </c>
      <c r="AR643" t="s">
        <v>1398</v>
      </c>
      <c r="AS643" t="s">
        <v>1399</v>
      </c>
      <c r="AT643" t="s">
        <v>12082</v>
      </c>
      <c r="AU643">
        <v>2012</v>
      </c>
      <c r="AV643">
        <v>46</v>
      </c>
      <c r="AW643">
        <v>1</v>
      </c>
      <c r="AX643" t="s">
        <v>74</v>
      </c>
      <c r="AY643" t="s">
        <v>74</v>
      </c>
      <c r="AZ643" t="s">
        <v>74</v>
      </c>
      <c r="BA643" t="s">
        <v>74</v>
      </c>
      <c r="BB643">
        <v>259</v>
      </c>
      <c r="BC643">
        <v>267</v>
      </c>
      <c r="BD643" t="s">
        <v>74</v>
      </c>
      <c r="BE643" t="s">
        <v>12083</v>
      </c>
      <c r="BF643" t="str">
        <f>HYPERLINK("http://dx.doi.org/10.1021/es202655k","http://dx.doi.org/10.1021/es202655k")</f>
        <v>http://dx.doi.org/10.1021/es202655k</v>
      </c>
      <c r="BG643" t="s">
        <v>74</v>
      </c>
      <c r="BH643" t="s">
        <v>74</v>
      </c>
      <c r="BI643">
        <v>9</v>
      </c>
      <c r="BJ643" t="s">
        <v>1401</v>
      </c>
      <c r="BK643" t="s">
        <v>99</v>
      </c>
      <c r="BL643" t="s">
        <v>1402</v>
      </c>
      <c r="BM643" t="s">
        <v>12084</v>
      </c>
      <c r="BN643">
        <v>22103582</v>
      </c>
      <c r="BO643" t="s">
        <v>74</v>
      </c>
      <c r="BP643" t="s">
        <v>74</v>
      </c>
      <c r="BQ643" t="s">
        <v>74</v>
      </c>
      <c r="BR643" t="s">
        <v>101</v>
      </c>
      <c r="BS643" t="s">
        <v>12085</v>
      </c>
      <c r="BT643" t="str">
        <f>HYPERLINK("https%3A%2F%2Fwww.webofscience.com%2Fwos%2Fwoscc%2Ffull-record%2FWOS:000298762900036","View Full Record in Web of Science")</f>
        <v>View Full Record in Web of Science</v>
      </c>
    </row>
    <row r="644" spans="1:72" x14ac:dyDescent="0.15">
      <c r="A644" t="s">
        <v>12086</v>
      </c>
      <c r="B644" t="s">
        <v>12087</v>
      </c>
      <c r="C644" t="s">
        <v>74</v>
      </c>
      <c r="D644" t="s">
        <v>74</v>
      </c>
      <c r="E644" t="s">
        <v>12088</v>
      </c>
      <c r="F644" t="s">
        <v>12089</v>
      </c>
      <c r="G644" t="s">
        <v>74</v>
      </c>
      <c r="H644" t="s">
        <v>74</v>
      </c>
      <c r="I644" t="s">
        <v>12090</v>
      </c>
      <c r="J644" t="s">
        <v>12091</v>
      </c>
      <c r="K644" t="s">
        <v>12092</v>
      </c>
      <c r="L644" t="s">
        <v>74</v>
      </c>
      <c r="M644" t="s">
        <v>78</v>
      </c>
      <c r="N644" t="s">
        <v>12093</v>
      </c>
      <c r="O644" t="s">
        <v>12094</v>
      </c>
      <c r="P644" t="s">
        <v>12095</v>
      </c>
      <c r="Q644" t="s">
        <v>12096</v>
      </c>
      <c r="R644" t="s">
        <v>74</v>
      </c>
      <c r="S644" t="s">
        <v>74</v>
      </c>
      <c r="T644" t="s">
        <v>12097</v>
      </c>
      <c r="U644" t="s">
        <v>12098</v>
      </c>
      <c r="V644" t="s">
        <v>12099</v>
      </c>
      <c r="W644" t="s">
        <v>12100</v>
      </c>
      <c r="X644" t="s">
        <v>12101</v>
      </c>
      <c r="Y644" t="s">
        <v>12102</v>
      </c>
      <c r="Z644" t="s">
        <v>12103</v>
      </c>
      <c r="AA644" t="s">
        <v>74</v>
      </c>
      <c r="AB644" t="s">
        <v>74</v>
      </c>
      <c r="AC644" t="s">
        <v>74</v>
      </c>
      <c r="AD644" t="s">
        <v>74</v>
      </c>
      <c r="AE644" t="s">
        <v>74</v>
      </c>
      <c r="AF644" t="s">
        <v>74</v>
      </c>
      <c r="AG644">
        <v>25</v>
      </c>
      <c r="AH644">
        <v>1</v>
      </c>
      <c r="AI644">
        <v>1</v>
      </c>
      <c r="AJ644">
        <v>0</v>
      </c>
      <c r="AK644">
        <v>1</v>
      </c>
      <c r="AL644" t="s">
        <v>12088</v>
      </c>
      <c r="AM644" t="s">
        <v>656</v>
      </c>
      <c r="AN644" t="s">
        <v>12104</v>
      </c>
      <c r="AO644" t="s">
        <v>12105</v>
      </c>
      <c r="AP644" t="s">
        <v>74</v>
      </c>
      <c r="AQ644" t="s">
        <v>12106</v>
      </c>
      <c r="AR644" t="s">
        <v>12107</v>
      </c>
      <c r="AS644" t="s">
        <v>74</v>
      </c>
      <c r="AT644" t="s">
        <v>74</v>
      </c>
      <c r="AU644">
        <v>2012</v>
      </c>
      <c r="AV644" t="s">
        <v>74</v>
      </c>
      <c r="AW644" t="s">
        <v>74</v>
      </c>
      <c r="AX644" t="s">
        <v>74</v>
      </c>
      <c r="AY644" t="s">
        <v>74</v>
      </c>
      <c r="AZ644" t="s">
        <v>74</v>
      </c>
      <c r="BA644" t="s">
        <v>74</v>
      </c>
      <c r="BB644">
        <v>1343</v>
      </c>
      <c r="BC644">
        <v>1346</v>
      </c>
      <c r="BD644" t="s">
        <v>74</v>
      </c>
      <c r="BE644" t="s">
        <v>74</v>
      </c>
      <c r="BF644" t="s">
        <v>74</v>
      </c>
      <c r="BG644" t="s">
        <v>74</v>
      </c>
      <c r="BH644" t="s">
        <v>74</v>
      </c>
      <c r="BI644">
        <v>4</v>
      </c>
      <c r="BJ644" t="s">
        <v>12108</v>
      </c>
      <c r="BK644" t="s">
        <v>12109</v>
      </c>
      <c r="BL644" t="s">
        <v>12110</v>
      </c>
      <c r="BM644" t="s">
        <v>12111</v>
      </c>
      <c r="BN644" t="s">
        <v>74</v>
      </c>
      <c r="BO644" t="s">
        <v>74</v>
      </c>
      <c r="BP644" t="s">
        <v>74</v>
      </c>
      <c r="BQ644" t="s">
        <v>74</v>
      </c>
      <c r="BR644" t="s">
        <v>101</v>
      </c>
      <c r="BS644" t="s">
        <v>12112</v>
      </c>
      <c r="BT644" t="str">
        <f>HYPERLINK("https%3A%2F%2Fwww.webofscience.com%2Fwos%2Fwoscc%2Ffull-record%2FWOS:000325100700337","View Full Record in Web of Science")</f>
        <v>View Full Record in Web of Science</v>
      </c>
    </row>
    <row r="645" spans="1:72" x14ac:dyDescent="0.15">
      <c r="A645" t="s">
        <v>12086</v>
      </c>
      <c r="B645" t="s">
        <v>12113</v>
      </c>
      <c r="C645" t="s">
        <v>74</v>
      </c>
      <c r="D645" t="s">
        <v>12114</v>
      </c>
      <c r="E645" t="s">
        <v>74</v>
      </c>
      <c r="F645" t="s">
        <v>12115</v>
      </c>
      <c r="G645" t="s">
        <v>74</v>
      </c>
      <c r="H645" t="s">
        <v>12116</v>
      </c>
      <c r="I645" t="s">
        <v>12117</v>
      </c>
      <c r="J645" t="s">
        <v>12118</v>
      </c>
      <c r="K645" t="s">
        <v>12119</v>
      </c>
      <c r="L645" t="s">
        <v>74</v>
      </c>
      <c r="M645" t="s">
        <v>78</v>
      </c>
      <c r="N645" t="s">
        <v>12093</v>
      </c>
      <c r="O645" t="s">
        <v>12120</v>
      </c>
      <c r="P645" t="s">
        <v>12121</v>
      </c>
      <c r="Q645" t="s">
        <v>12122</v>
      </c>
      <c r="R645" t="s">
        <v>74</v>
      </c>
      <c r="S645" t="s">
        <v>74</v>
      </c>
      <c r="T645" t="s">
        <v>12123</v>
      </c>
      <c r="U645" t="s">
        <v>74</v>
      </c>
      <c r="V645" t="s">
        <v>12124</v>
      </c>
      <c r="W645" t="s">
        <v>12125</v>
      </c>
      <c r="X645" t="s">
        <v>12126</v>
      </c>
      <c r="Y645" t="s">
        <v>12127</v>
      </c>
      <c r="Z645" t="s">
        <v>12128</v>
      </c>
      <c r="AA645" t="s">
        <v>74</v>
      </c>
      <c r="AB645" t="s">
        <v>74</v>
      </c>
      <c r="AC645" t="s">
        <v>74</v>
      </c>
      <c r="AD645" t="s">
        <v>74</v>
      </c>
      <c r="AE645" t="s">
        <v>74</v>
      </c>
      <c r="AF645" t="s">
        <v>74</v>
      </c>
      <c r="AG645">
        <v>12</v>
      </c>
      <c r="AH645">
        <v>0</v>
      </c>
      <c r="AI645">
        <v>1</v>
      </c>
      <c r="AJ645">
        <v>0</v>
      </c>
      <c r="AK645">
        <v>1</v>
      </c>
      <c r="AL645" t="s">
        <v>12088</v>
      </c>
      <c r="AM645" t="s">
        <v>656</v>
      </c>
      <c r="AN645" t="s">
        <v>12104</v>
      </c>
      <c r="AO645" t="s">
        <v>12129</v>
      </c>
      <c r="AP645" t="s">
        <v>74</v>
      </c>
      <c r="AQ645" t="s">
        <v>12130</v>
      </c>
      <c r="AR645" t="s">
        <v>12131</v>
      </c>
      <c r="AS645" t="s">
        <v>74</v>
      </c>
      <c r="AT645" t="s">
        <v>74</v>
      </c>
      <c r="AU645">
        <v>2012</v>
      </c>
      <c r="AV645" t="s">
        <v>74</v>
      </c>
      <c r="AW645" t="s">
        <v>74</v>
      </c>
      <c r="AX645" t="s">
        <v>74</v>
      </c>
      <c r="AY645" t="s">
        <v>74</v>
      </c>
      <c r="AZ645" t="s">
        <v>74</v>
      </c>
      <c r="BA645" t="s">
        <v>74</v>
      </c>
      <c r="BB645">
        <v>1600</v>
      </c>
      <c r="BC645">
        <v>1606</v>
      </c>
      <c r="BD645" t="s">
        <v>74</v>
      </c>
      <c r="BE645" t="s">
        <v>74</v>
      </c>
      <c r="BF645" t="s">
        <v>74</v>
      </c>
      <c r="BG645" t="s">
        <v>74</v>
      </c>
      <c r="BH645" t="s">
        <v>74</v>
      </c>
      <c r="BI645">
        <v>7</v>
      </c>
      <c r="BJ645" t="s">
        <v>12108</v>
      </c>
      <c r="BK645" t="s">
        <v>12109</v>
      </c>
      <c r="BL645" t="s">
        <v>12110</v>
      </c>
      <c r="BM645" t="s">
        <v>12132</v>
      </c>
      <c r="BN645" t="s">
        <v>74</v>
      </c>
      <c r="BO645" t="s">
        <v>74</v>
      </c>
      <c r="BP645" t="s">
        <v>74</v>
      </c>
      <c r="BQ645" t="s">
        <v>74</v>
      </c>
      <c r="BR645" t="s">
        <v>101</v>
      </c>
      <c r="BS645" t="s">
        <v>12133</v>
      </c>
      <c r="BT645" t="str">
        <f>HYPERLINK("https%3A%2F%2Fwww.webofscience.com%2Fwos%2Fwoscc%2Ffull-record%2FWOS:000326814201153","View Full Record in Web of Science")</f>
        <v>View Full Record in Web of Science</v>
      </c>
    </row>
    <row r="646" spans="1:72" x14ac:dyDescent="0.15">
      <c r="A646" t="s">
        <v>12134</v>
      </c>
      <c r="B646" t="s">
        <v>12135</v>
      </c>
      <c r="C646" t="s">
        <v>74</v>
      </c>
      <c r="D646" t="s">
        <v>12136</v>
      </c>
      <c r="E646" t="s">
        <v>74</v>
      </c>
      <c r="F646" t="s">
        <v>12137</v>
      </c>
      <c r="G646" t="s">
        <v>74</v>
      </c>
      <c r="H646" t="s">
        <v>74</v>
      </c>
      <c r="I646" t="s">
        <v>12138</v>
      </c>
      <c r="J646" t="s">
        <v>12139</v>
      </c>
      <c r="K646" t="s">
        <v>12140</v>
      </c>
      <c r="L646" t="s">
        <v>74</v>
      </c>
      <c r="M646" t="s">
        <v>78</v>
      </c>
      <c r="N646" t="s">
        <v>12141</v>
      </c>
      <c r="O646" t="s">
        <v>74</v>
      </c>
      <c r="P646" t="s">
        <v>74</v>
      </c>
      <c r="Q646" t="s">
        <v>74</v>
      </c>
      <c r="R646" t="s">
        <v>74</v>
      </c>
      <c r="S646" t="s">
        <v>74</v>
      </c>
      <c r="T646" t="s">
        <v>74</v>
      </c>
      <c r="U646" t="s">
        <v>12142</v>
      </c>
      <c r="V646" t="s">
        <v>12143</v>
      </c>
      <c r="W646" t="s">
        <v>12144</v>
      </c>
      <c r="X646" t="s">
        <v>12145</v>
      </c>
      <c r="Y646" t="s">
        <v>12146</v>
      </c>
      <c r="Z646" t="s">
        <v>74</v>
      </c>
      <c r="AA646" t="s">
        <v>74</v>
      </c>
      <c r="AB646" t="s">
        <v>12147</v>
      </c>
      <c r="AC646" t="s">
        <v>74</v>
      </c>
      <c r="AD646" t="s">
        <v>74</v>
      </c>
      <c r="AE646" t="s">
        <v>74</v>
      </c>
      <c r="AF646" t="s">
        <v>74</v>
      </c>
      <c r="AG646">
        <v>42</v>
      </c>
      <c r="AH646">
        <v>23</v>
      </c>
      <c r="AI646">
        <v>24</v>
      </c>
      <c r="AJ646">
        <v>0</v>
      </c>
      <c r="AK646">
        <v>8</v>
      </c>
      <c r="AL646" t="s">
        <v>12148</v>
      </c>
      <c r="AM646" t="s">
        <v>737</v>
      </c>
      <c r="AN646" t="s">
        <v>12149</v>
      </c>
      <c r="AO646" t="s">
        <v>12150</v>
      </c>
      <c r="AP646" t="s">
        <v>74</v>
      </c>
      <c r="AQ646" t="s">
        <v>12151</v>
      </c>
      <c r="AR646" t="s">
        <v>12152</v>
      </c>
      <c r="AS646" t="s">
        <v>74</v>
      </c>
      <c r="AT646" t="s">
        <v>74</v>
      </c>
      <c r="AU646">
        <v>2012</v>
      </c>
      <c r="AV646">
        <v>487</v>
      </c>
      <c r="AW646" t="s">
        <v>74</v>
      </c>
      <c r="AX646" t="s">
        <v>74</v>
      </c>
      <c r="AY646" t="s">
        <v>74</v>
      </c>
      <c r="AZ646" t="s">
        <v>74</v>
      </c>
      <c r="BA646" t="s">
        <v>74</v>
      </c>
      <c r="BB646">
        <v>97</v>
      </c>
      <c r="BC646">
        <v>104</v>
      </c>
      <c r="BD646" t="s">
        <v>74</v>
      </c>
      <c r="BE646" t="s">
        <v>12153</v>
      </c>
      <c r="BF646" t="str">
        <f>HYPERLINK("http://dx.doi.org/10.1130/2012.2487(05)","http://dx.doi.org/10.1130/2012.2487(05)")</f>
        <v>http://dx.doi.org/10.1130/2012.2487(05)</v>
      </c>
      <c r="BG646" t="s">
        <v>12154</v>
      </c>
      <c r="BH646" t="s">
        <v>74</v>
      </c>
      <c r="BI646">
        <v>8</v>
      </c>
      <c r="BJ646" t="s">
        <v>1134</v>
      </c>
      <c r="BK646" t="s">
        <v>12155</v>
      </c>
      <c r="BL646" t="s">
        <v>1134</v>
      </c>
      <c r="BM646" t="s">
        <v>12156</v>
      </c>
      <c r="BN646" t="s">
        <v>74</v>
      </c>
      <c r="BO646" t="s">
        <v>74</v>
      </c>
      <c r="BP646" t="s">
        <v>74</v>
      </c>
      <c r="BQ646" t="s">
        <v>74</v>
      </c>
      <c r="BR646" t="s">
        <v>101</v>
      </c>
      <c r="BS646" t="s">
        <v>12157</v>
      </c>
      <c r="BT646" t="str">
        <f>HYPERLINK("https%3A%2F%2Fwww.webofscience.com%2Fwos%2Fwoscc%2Ffull-record%2FWOS:000326811400006","View Full Record in Web of Science")</f>
        <v>View Full Record in Web of Science</v>
      </c>
    </row>
    <row r="647" spans="1:72" x14ac:dyDescent="0.15">
      <c r="A647" t="s">
        <v>12086</v>
      </c>
      <c r="B647" t="s">
        <v>12158</v>
      </c>
      <c r="C647" t="s">
        <v>74</v>
      </c>
      <c r="D647" t="s">
        <v>74</v>
      </c>
      <c r="E647" t="s">
        <v>12088</v>
      </c>
      <c r="F647" t="s">
        <v>12159</v>
      </c>
      <c r="G647" t="s">
        <v>74</v>
      </c>
      <c r="H647" t="s">
        <v>74</v>
      </c>
      <c r="I647" t="s">
        <v>12160</v>
      </c>
      <c r="J647" t="s">
        <v>12161</v>
      </c>
      <c r="K647" t="s">
        <v>74</v>
      </c>
      <c r="L647" t="s">
        <v>74</v>
      </c>
      <c r="M647" t="s">
        <v>78</v>
      </c>
      <c r="N647" t="s">
        <v>12093</v>
      </c>
      <c r="O647" t="s">
        <v>12162</v>
      </c>
      <c r="P647" t="s">
        <v>12163</v>
      </c>
      <c r="Q647" t="s">
        <v>12164</v>
      </c>
      <c r="R647" t="s">
        <v>74</v>
      </c>
      <c r="S647" t="s">
        <v>74</v>
      </c>
      <c r="T647" t="s">
        <v>74</v>
      </c>
      <c r="U647" t="s">
        <v>12165</v>
      </c>
      <c r="V647" t="s">
        <v>12166</v>
      </c>
      <c r="W647" t="s">
        <v>12167</v>
      </c>
      <c r="X647" t="s">
        <v>12168</v>
      </c>
      <c r="Y647" t="s">
        <v>12169</v>
      </c>
      <c r="Z647" t="s">
        <v>12170</v>
      </c>
      <c r="AA647" t="s">
        <v>12171</v>
      </c>
      <c r="AB647" t="s">
        <v>12172</v>
      </c>
      <c r="AC647" t="s">
        <v>12173</v>
      </c>
      <c r="AD647" t="s">
        <v>12174</v>
      </c>
      <c r="AE647" t="s">
        <v>12175</v>
      </c>
      <c r="AF647" t="s">
        <v>74</v>
      </c>
      <c r="AG647">
        <v>11</v>
      </c>
      <c r="AH647">
        <v>0</v>
      </c>
      <c r="AI647">
        <v>0</v>
      </c>
      <c r="AJ647">
        <v>0</v>
      </c>
      <c r="AK647">
        <v>3</v>
      </c>
      <c r="AL647" t="s">
        <v>12088</v>
      </c>
      <c r="AM647" t="s">
        <v>656</v>
      </c>
      <c r="AN647" t="s">
        <v>12104</v>
      </c>
      <c r="AO647" t="s">
        <v>74</v>
      </c>
      <c r="AP647" t="s">
        <v>74</v>
      </c>
      <c r="AQ647" t="s">
        <v>12176</v>
      </c>
      <c r="AR647" t="s">
        <v>74</v>
      </c>
      <c r="AS647" t="s">
        <v>74</v>
      </c>
      <c r="AT647" t="s">
        <v>74</v>
      </c>
      <c r="AU647">
        <v>2012</v>
      </c>
      <c r="AV647" t="s">
        <v>74</v>
      </c>
      <c r="AW647" t="s">
        <v>74</v>
      </c>
      <c r="AX647" t="s">
        <v>74</v>
      </c>
      <c r="AY647" t="s">
        <v>74</v>
      </c>
      <c r="AZ647" t="s">
        <v>74</v>
      </c>
      <c r="BA647" t="s">
        <v>74</v>
      </c>
      <c r="BB647" t="s">
        <v>74</v>
      </c>
      <c r="BC647" t="s">
        <v>74</v>
      </c>
      <c r="BD647" t="s">
        <v>74</v>
      </c>
      <c r="BE647" t="s">
        <v>74</v>
      </c>
      <c r="BF647" t="s">
        <v>74</v>
      </c>
      <c r="BG647" t="s">
        <v>74</v>
      </c>
      <c r="BH647" t="s">
        <v>74</v>
      </c>
      <c r="BI647">
        <v>6</v>
      </c>
      <c r="BJ647" t="s">
        <v>12177</v>
      </c>
      <c r="BK647" t="s">
        <v>12109</v>
      </c>
      <c r="BL647" t="s">
        <v>12177</v>
      </c>
      <c r="BM647" t="s">
        <v>12178</v>
      </c>
      <c r="BN647" t="s">
        <v>74</v>
      </c>
      <c r="BO647" t="s">
        <v>74</v>
      </c>
      <c r="BP647" t="s">
        <v>74</v>
      </c>
      <c r="BQ647" t="s">
        <v>74</v>
      </c>
      <c r="BR647" t="s">
        <v>101</v>
      </c>
      <c r="BS647" t="s">
        <v>12179</v>
      </c>
      <c r="BT647" t="str">
        <f>HYPERLINK("https%3A%2F%2Fwww.webofscience.com%2Fwos%2Fwoscc%2Ffull-record%2FWOS:000321004000360","View Full Record in Web of Science")</f>
        <v>View Full Record in Web of Science</v>
      </c>
    </row>
    <row r="648" spans="1:72" x14ac:dyDescent="0.15">
      <c r="A648" t="s">
        <v>12086</v>
      </c>
      <c r="B648" t="s">
        <v>12180</v>
      </c>
      <c r="C648" t="s">
        <v>74</v>
      </c>
      <c r="D648" t="s">
        <v>74</v>
      </c>
      <c r="E648" t="s">
        <v>12181</v>
      </c>
      <c r="F648" t="s">
        <v>12182</v>
      </c>
      <c r="G648" t="s">
        <v>74</v>
      </c>
      <c r="H648" t="s">
        <v>74</v>
      </c>
      <c r="I648" t="s">
        <v>12183</v>
      </c>
      <c r="J648" t="s">
        <v>12184</v>
      </c>
      <c r="K648" t="s">
        <v>74</v>
      </c>
      <c r="L648" t="s">
        <v>74</v>
      </c>
      <c r="M648" t="s">
        <v>78</v>
      </c>
      <c r="N648" t="s">
        <v>12093</v>
      </c>
      <c r="O648" t="s">
        <v>12185</v>
      </c>
      <c r="P648" t="s">
        <v>12186</v>
      </c>
      <c r="Q648" t="s">
        <v>12187</v>
      </c>
      <c r="R648" t="s">
        <v>74</v>
      </c>
      <c r="S648" t="s">
        <v>74</v>
      </c>
      <c r="T648" t="s">
        <v>74</v>
      </c>
      <c r="U648" t="s">
        <v>74</v>
      </c>
      <c r="V648" t="s">
        <v>12188</v>
      </c>
      <c r="W648" t="s">
        <v>12189</v>
      </c>
      <c r="X648" t="s">
        <v>74</v>
      </c>
      <c r="Y648" t="s">
        <v>12190</v>
      </c>
      <c r="Z648" t="s">
        <v>74</v>
      </c>
      <c r="AA648" t="s">
        <v>74</v>
      </c>
      <c r="AB648" t="s">
        <v>12191</v>
      </c>
      <c r="AC648" t="s">
        <v>74</v>
      </c>
      <c r="AD648" t="s">
        <v>74</v>
      </c>
      <c r="AE648" t="s">
        <v>74</v>
      </c>
      <c r="AF648" t="s">
        <v>74</v>
      </c>
      <c r="AG648">
        <v>11</v>
      </c>
      <c r="AH648">
        <v>1</v>
      </c>
      <c r="AI648">
        <v>1</v>
      </c>
      <c r="AJ648">
        <v>0</v>
      </c>
      <c r="AK648">
        <v>1</v>
      </c>
      <c r="AL648" t="s">
        <v>12192</v>
      </c>
      <c r="AM648" t="s">
        <v>656</v>
      </c>
      <c r="AN648" t="s">
        <v>12193</v>
      </c>
      <c r="AO648" t="s">
        <v>74</v>
      </c>
      <c r="AP648" t="s">
        <v>74</v>
      </c>
      <c r="AQ648" t="s">
        <v>12194</v>
      </c>
      <c r="AR648" t="s">
        <v>74</v>
      </c>
      <c r="AS648" t="s">
        <v>74</v>
      </c>
      <c r="AT648" t="s">
        <v>74</v>
      </c>
      <c r="AU648">
        <v>2012</v>
      </c>
      <c r="AV648" t="s">
        <v>74</v>
      </c>
      <c r="AW648" t="s">
        <v>74</v>
      </c>
      <c r="AX648" t="s">
        <v>74</v>
      </c>
      <c r="AY648" t="s">
        <v>74</v>
      </c>
      <c r="AZ648" t="s">
        <v>74</v>
      </c>
      <c r="BA648" t="s">
        <v>74</v>
      </c>
      <c r="BB648">
        <v>65</v>
      </c>
      <c r="BC648">
        <v>72</v>
      </c>
      <c r="BD648" t="s">
        <v>74</v>
      </c>
      <c r="BE648" t="s">
        <v>74</v>
      </c>
      <c r="BF648" t="s">
        <v>74</v>
      </c>
      <c r="BG648" t="s">
        <v>74</v>
      </c>
      <c r="BH648" t="s">
        <v>74</v>
      </c>
      <c r="BI648">
        <v>8</v>
      </c>
      <c r="BJ648" t="s">
        <v>12195</v>
      </c>
      <c r="BK648" t="s">
        <v>12109</v>
      </c>
      <c r="BL648" t="s">
        <v>6941</v>
      </c>
      <c r="BM648" t="s">
        <v>12196</v>
      </c>
      <c r="BN648" t="s">
        <v>74</v>
      </c>
      <c r="BO648" t="s">
        <v>74</v>
      </c>
      <c r="BP648" t="s">
        <v>74</v>
      </c>
      <c r="BQ648" t="s">
        <v>74</v>
      </c>
      <c r="BR648" t="s">
        <v>101</v>
      </c>
      <c r="BS648" t="s">
        <v>12197</v>
      </c>
      <c r="BT648" t="str">
        <f>HYPERLINK("https%3A%2F%2Fwww.webofscience.com%2Fwos%2Fwoscc%2Ffull-record%2FWOS:000324655900008","View Full Record in Web of Science")</f>
        <v>View Full Record in Web of Science</v>
      </c>
    </row>
    <row r="649" spans="1:72" x14ac:dyDescent="0.15">
      <c r="A649" t="s">
        <v>12086</v>
      </c>
      <c r="B649" t="s">
        <v>12198</v>
      </c>
      <c r="C649" t="s">
        <v>74</v>
      </c>
      <c r="D649" t="s">
        <v>74</v>
      </c>
      <c r="E649" t="s">
        <v>12181</v>
      </c>
      <c r="F649" t="s">
        <v>12199</v>
      </c>
      <c r="G649" t="s">
        <v>74</v>
      </c>
      <c r="H649" t="s">
        <v>74</v>
      </c>
      <c r="I649" t="s">
        <v>12200</v>
      </c>
      <c r="J649" t="s">
        <v>12184</v>
      </c>
      <c r="K649" t="s">
        <v>74</v>
      </c>
      <c r="L649" t="s">
        <v>74</v>
      </c>
      <c r="M649" t="s">
        <v>78</v>
      </c>
      <c r="N649" t="s">
        <v>12093</v>
      </c>
      <c r="O649" t="s">
        <v>12185</v>
      </c>
      <c r="P649" t="s">
        <v>12186</v>
      </c>
      <c r="Q649" t="s">
        <v>12187</v>
      </c>
      <c r="R649" t="s">
        <v>74</v>
      </c>
      <c r="S649" t="s">
        <v>74</v>
      </c>
      <c r="T649" t="s">
        <v>74</v>
      </c>
      <c r="U649" t="s">
        <v>12201</v>
      </c>
      <c r="V649" t="s">
        <v>12202</v>
      </c>
      <c r="W649" t="s">
        <v>12203</v>
      </c>
      <c r="X649" t="s">
        <v>74</v>
      </c>
      <c r="Y649" t="s">
        <v>12204</v>
      </c>
      <c r="Z649" t="s">
        <v>74</v>
      </c>
      <c r="AA649" t="s">
        <v>74</v>
      </c>
      <c r="AB649" t="s">
        <v>12191</v>
      </c>
      <c r="AC649" t="s">
        <v>74</v>
      </c>
      <c r="AD649" t="s">
        <v>74</v>
      </c>
      <c r="AE649" t="s">
        <v>74</v>
      </c>
      <c r="AF649" t="s">
        <v>74</v>
      </c>
      <c r="AG649">
        <v>16</v>
      </c>
      <c r="AH649">
        <v>1</v>
      </c>
      <c r="AI649">
        <v>1</v>
      </c>
      <c r="AJ649">
        <v>0</v>
      </c>
      <c r="AK649">
        <v>2</v>
      </c>
      <c r="AL649" t="s">
        <v>12192</v>
      </c>
      <c r="AM649" t="s">
        <v>656</v>
      </c>
      <c r="AN649" t="s">
        <v>12193</v>
      </c>
      <c r="AO649" t="s">
        <v>74</v>
      </c>
      <c r="AP649" t="s">
        <v>74</v>
      </c>
      <c r="AQ649" t="s">
        <v>12194</v>
      </c>
      <c r="AR649" t="s">
        <v>74</v>
      </c>
      <c r="AS649" t="s">
        <v>74</v>
      </c>
      <c r="AT649" t="s">
        <v>74</v>
      </c>
      <c r="AU649">
        <v>2012</v>
      </c>
      <c r="AV649" t="s">
        <v>74</v>
      </c>
      <c r="AW649" t="s">
        <v>74</v>
      </c>
      <c r="AX649" t="s">
        <v>74</v>
      </c>
      <c r="AY649" t="s">
        <v>74</v>
      </c>
      <c r="AZ649" t="s">
        <v>74</v>
      </c>
      <c r="BA649" t="s">
        <v>74</v>
      </c>
      <c r="BB649">
        <v>73</v>
      </c>
      <c r="BC649">
        <v>78</v>
      </c>
      <c r="BD649" t="s">
        <v>74</v>
      </c>
      <c r="BE649" t="s">
        <v>74</v>
      </c>
      <c r="BF649" t="s">
        <v>74</v>
      </c>
      <c r="BG649" t="s">
        <v>74</v>
      </c>
      <c r="BH649" t="s">
        <v>74</v>
      </c>
      <c r="BI649">
        <v>6</v>
      </c>
      <c r="BJ649" t="s">
        <v>12195</v>
      </c>
      <c r="BK649" t="s">
        <v>12109</v>
      </c>
      <c r="BL649" t="s">
        <v>6941</v>
      </c>
      <c r="BM649" t="s">
        <v>12196</v>
      </c>
      <c r="BN649" t="s">
        <v>74</v>
      </c>
      <c r="BO649" t="s">
        <v>74</v>
      </c>
      <c r="BP649" t="s">
        <v>74</v>
      </c>
      <c r="BQ649" t="s">
        <v>74</v>
      </c>
      <c r="BR649" t="s">
        <v>101</v>
      </c>
      <c r="BS649" t="s">
        <v>12205</v>
      </c>
      <c r="BT649" t="str">
        <f>HYPERLINK("https%3A%2F%2Fwww.webofscience.com%2Fwos%2Fwoscc%2Ffull-record%2FWOS:000324655900009","View Full Record in Web of Science")</f>
        <v>View Full Record in Web of Science</v>
      </c>
    </row>
    <row r="650" spans="1:72" x14ac:dyDescent="0.15">
      <c r="A650" t="s">
        <v>12086</v>
      </c>
      <c r="B650" t="s">
        <v>12206</v>
      </c>
      <c r="C650" t="s">
        <v>74</v>
      </c>
      <c r="D650" t="s">
        <v>12207</v>
      </c>
      <c r="E650" t="s">
        <v>74</v>
      </c>
      <c r="F650" t="s">
        <v>12208</v>
      </c>
      <c r="G650" t="s">
        <v>74</v>
      </c>
      <c r="H650" t="s">
        <v>74</v>
      </c>
      <c r="I650" t="s">
        <v>12209</v>
      </c>
      <c r="J650" t="s">
        <v>12210</v>
      </c>
      <c r="K650" t="s">
        <v>12211</v>
      </c>
      <c r="L650" t="s">
        <v>74</v>
      </c>
      <c r="M650" t="s">
        <v>78</v>
      </c>
      <c r="N650" t="s">
        <v>12093</v>
      </c>
      <c r="O650" t="s">
        <v>12212</v>
      </c>
      <c r="P650" t="s">
        <v>12213</v>
      </c>
      <c r="Q650" t="s">
        <v>12214</v>
      </c>
      <c r="R650" t="s">
        <v>74</v>
      </c>
      <c r="S650" t="s">
        <v>12215</v>
      </c>
      <c r="T650" t="s">
        <v>12216</v>
      </c>
      <c r="U650" t="s">
        <v>12217</v>
      </c>
      <c r="V650" t="s">
        <v>12218</v>
      </c>
      <c r="W650" t="s">
        <v>12219</v>
      </c>
      <c r="X650" t="s">
        <v>12220</v>
      </c>
      <c r="Y650" t="s">
        <v>74</v>
      </c>
      <c r="Z650" t="s">
        <v>12221</v>
      </c>
      <c r="AA650" t="s">
        <v>12222</v>
      </c>
      <c r="AB650" t="s">
        <v>12223</v>
      </c>
      <c r="AC650" t="s">
        <v>74</v>
      </c>
      <c r="AD650" t="s">
        <v>74</v>
      </c>
      <c r="AE650" t="s">
        <v>74</v>
      </c>
      <c r="AF650" t="s">
        <v>74</v>
      </c>
      <c r="AG650">
        <v>40</v>
      </c>
      <c r="AH650">
        <v>18</v>
      </c>
      <c r="AI650">
        <v>18</v>
      </c>
      <c r="AJ650">
        <v>0</v>
      </c>
      <c r="AK650">
        <v>24</v>
      </c>
      <c r="AL650" t="s">
        <v>368</v>
      </c>
      <c r="AM650" t="s">
        <v>369</v>
      </c>
      <c r="AN650" t="s">
        <v>12224</v>
      </c>
      <c r="AO650" t="s">
        <v>12225</v>
      </c>
      <c r="AP650" t="s">
        <v>74</v>
      </c>
      <c r="AQ650" t="s">
        <v>74</v>
      </c>
      <c r="AR650" t="s">
        <v>12226</v>
      </c>
      <c r="AS650" t="s">
        <v>74</v>
      </c>
      <c r="AT650" t="s">
        <v>74</v>
      </c>
      <c r="AU650">
        <v>2012</v>
      </c>
      <c r="AV650">
        <v>68</v>
      </c>
      <c r="AW650" t="s">
        <v>74</v>
      </c>
      <c r="AX650" t="s">
        <v>74</v>
      </c>
      <c r="AY650" t="s">
        <v>74</v>
      </c>
      <c r="AZ650" t="s">
        <v>74</v>
      </c>
      <c r="BA650" t="s">
        <v>74</v>
      </c>
      <c r="BB650">
        <v>723</v>
      </c>
      <c r="BC650">
        <v>734</v>
      </c>
      <c r="BD650" t="s">
        <v>74</v>
      </c>
      <c r="BE650" t="s">
        <v>12227</v>
      </c>
      <c r="BF650" t="str">
        <f>HYPERLINK("http://dx.doi.org/10.1016/j.sbspro.2012.12.262","http://dx.doi.org/10.1016/j.sbspro.2012.12.262")</f>
        <v>http://dx.doi.org/10.1016/j.sbspro.2012.12.262</v>
      </c>
      <c r="BG650" t="s">
        <v>74</v>
      </c>
      <c r="BH650" t="s">
        <v>74</v>
      </c>
      <c r="BI650">
        <v>12</v>
      </c>
      <c r="BJ650" t="s">
        <v>12228</v>
      </c>
      <c r="BK650" t="s">
        <v>12229</v>
      </c>
      <c r="BL650" t="s">
        <v>12230</v>
      </c>
      <c r="BM650" t="s">
        <v>12231</v>
      </c>
      <c r="BN650" t="s">
        <v>74</v>
      </c>
      <c r="BO650" t="s">
        <v>9400</v>
      </c>
      <c r="BP650" t="s">
        <v>74</v>
      </c>
      <c r="BQ650" t="s">
        <v>74</v>
      </c>
      <c r="BR650" t="s">
        <v>101</v>
      </c>
      <c r="BS650" t="s">
        <v>12232</v>
      </c>
      <c r="BT650" t="str">
        <f>HYPERLINK("https%3A%2F%2Fwww.webofscience.com%2Fwos%2Fwoscc%2Ffull-record%2FWOS:000323429000061","View Full Record in Web of Science")</f>
        <v>View Full Record in Web of Science</v>
      </c>
    </row>
    <row r="651" spans="1:72" x14ac:dyDescent="0.15">
      <c r="A651" t="s">
        <v>12086</v>
      </c>
      <c r="B651" t="s">
        <v>12233</v>
      </c>
      <c r="C651" t="s">
        <v>74</v>
      </c>
      <c r="D651" t="s">
        <v>12234</v>
      </c>
      <c r="E651" t="s">
        <v>74</v>
      </c>
      <c r="F651" t="s">
        <v>12235</v>
      </c>
      <c r="G651" t="s">
        <v>74</v>
      </c>
      <c r="H651" t="s">
        <v>74</v>
      </c>
      <c r="I651" t="s">
        <v>12236</v>
      </c>
      <c r="J651" t="s">
        <v>12237</v>
      </c>
      <c r="K651" t="s">
        <v>74</v>
      </c>
      <c r="L651" t="s">
        <v>74</v>
      </c>
      <c r="M651" t="s">
        <v>78</v>
      </c>
      <c r="N651" t="s">
        <v>12093</v>
      </c>
      <c r="O651" t="s">
        <v>12238</v>
      </c>
      <c r="P651" t="s">
        <v>12239</v>
      </c>
      <c r="Q651" t="s">
        <v>12240</v>
      </c>
      <c r="R651" t="s">
        <v>74</v>
      </c>
      <c r="S651" t="s">
        <v>12241</v>
      </c>
      <c r="T651" t="s">
        <v>74</v>
      </c>
      <c r="U651" t="s">
        <v>12242</v>
      </c>
      <c r="V651" t="s">
        <v>12243</v>
      </c>
      <c r="W651" t="s">
        <v>12244</v>
      </c>
      <c r="X651" t="s">
        <v>12245</v>
      </c>
      <c r="Y651" t="s">
        <v>12246</v>
      </c>
      <c r="Z651" t="s">
        <v>12247</v>
      </c>
      <c r="AA651" t="s">
        <v>12248</v>
      </c>
      <c r="AB651" t="s">
        <v>74</v>
      </c>
      <c r="AC651" t="s">
        <v>74</v>
      </c>
      <c r="AD651" t="s">
        <v>74</v>
      </c>
      <c r="AE651" t="s">
        <v>74</v>
      </c>
      <c r="AF651" t="s">
        <v>74</v>
      </c>
      <c r="AG651">
        <v>16</v>
      </c>
      <c r="AH651">
        <v>0</v>
      </c>
      <c r="AI651">
        <v>0</v>
      </c>
      <c r="AJ651">
        <v>0</v>
      </c>
      <c r="AK651">
        <v>1</v>
      </c>
      <c r="AL651" t="s">
        <v>12249</v>
      </c>
      <c r="AM651" t="s">
        <v>12250</v>
      </c>
      <c r="AN651" t="s">
        <v>12251</v>
      </c>
      <c r="AO651" t="s">
        <v>74</v>
      </c>
      <c r="AP651" t="s">
        <v>74</v>
      </c>
      <c r="AQ651" t="s">
        <v>12252</v>
      </c>
      <c r="AR651" t="s">
        <v>74</v>
      </c>
      <c r="AS651" t="s">
        <v>74</v>
      </c>
      <c r="AT651" t="s">
        <v>74</v>
      </c>
      <c r="AU651">
        <v>2012</v>
      </c>
      <c r="AV651" t="s">
        <v>74</v>
      </c>
      <c r="AW651" t="s">
        <v>74</v>
      </c>
      <c r="AX651" t="s">
        <v>74</v>
      </c>
      <c r="AY651" t="s">
        <v>74</v>
      </c>
      <c r="AZ651" t="s">
        <v>74</v>
      </c>
      <c r="BA651" t="s">
        <v>74</v>
      </c>
      <c r="BB651">
        <v>350</v>
      </c>
      <c r="BC651">
        <v>356</v>
      </c>
      <c r="BD651" t="s">
        <v>74</v>
      </c>
      <c r="BE651" t="s">
        <v>74</v>
      </c>
      <c r="BF651" t="s">
        <v>74</v>
      </c>
      <c r="BG651" t="s">
        <v>74</v>
      </c>
      <c r="BH651" t="s">
        <v>74</v>
      </c>
      <c r="BI651">
        <v>7</v>
      </c>
      <c r="BJ651" t="s">
        <v>12253</v>
      </c>
      <c r="BK651" t="s">
        <v>12109</v>
      </c>
      <c r="BL651" t="s">
        <v>7849</v>
      </c>
      <c r="BM651" t="s">
        <v>12254</v>
      </c>
      <c r="BN651" t="s">
        <v>74</v>
      </c>
      <c r="BO651" t="s">
        <v>74</v>
      </c>
      <c r="BP651" t="s">
        <v>74</v>
      </c>
      <c r="BQ651" t="s">
        <v>74</v>
      </c>
      <c r="BR651" t="s">
        <v>101</v>
      </c>
      <c r="BS651" t="s">
        <v>12255</v>
      </c>
      <c r="BT651" t="str">
        <f>HYPERLINK("https%3A%2F%2Fwww.webofscience.com%2Fwos%2Fwoscc%2Ffull-record%2FWOS:000324782800063","View Full Record in Web of Science")</f>
        <v>View Full Record in Web of Science</v>
      </c>
    </row>
    <row r="652" spans="1:72" x14ac:dyDescent="0.15">
      <c r="A652" t="s">
        <v>12256</v>
      </c>
      <c r="B652" t="s">
        <v>12257</v>
      </c>
      <c r="C652" t="s">
        <v>74</v>
      </c>
      <c r="D652" t="s">
        <v>12258</v>
      </c>
      <c r="E652" t="s">
        <v>74</v>
      </c>
      <c r="F652" t="s">
        <v>12259</v>
      </c>
      <c r="G652" t="s">
        <v>74</v>
      </c>
      <c r="H652" t="s">
        <v>74</v>
      </c>
      <c r="I652" t="s">
        <v>12260</v>
      </c>
      <c r="J652" t="s">
        <v>12261</v>
      </c>
      <c r="K652" t="s">
        <v>12262</v>
      </c>
      <c r="L652" t="s">
        <v>74</v>
      </c>
      <c r="M652" t="s">
        <v>78</v>
      </c>
      <c r="N652" t="s">
        <v>12141</v>
      </c>
      <c r="O652" t="s">
        <v>74</v>
      </c>
      <c r="P652" t="s">
        <v>74</v>
      </c>
      <c r="Q652" t="s">
        <v>74</v>
      </c>
      <c r="R652" t="s">
        <v>74</v>
      </c>
      <c r="S652" t="s">
        <v>74</v>
      </c>
      <c r="T652" t="s">
        <v>12263</v>
      </c>
      <c r="U652" t="s">
        <v>12264</v>
      </c>
      <c r="V652" t="s">
        <v>12265</v>
      </c>
      <c r="W652" t="s">
        <v>12266</v>
      </c>
      <c r="X652" t="s">
        <v>12267</v>
      </c>
      <c r="Y652" t="s">
        <v>12268</v>
      </c>
      <c r="Z652" t="s">
        <v>74</v>
      </c>
      <c r="AA652" t="s">
        <v>12269</v>
      </c>
      <c r="AB652" t="s">
        <v>12270</v>
      </c>
      <c r="AC652" t="s">
        <v>74</v>
      </c>
      <c r="AD652" t="s">
        <v>74</v>
      </c>
      <c r="AE652" t="s">
        <v>74</v>
      </c>
      <c r="AF652" t="s">
        <v>74</v>
      </c>
      <c r="AG652">
        <v>6</v>
      </c>
      <c r="AH652">
        <v>2</v>
      </c>
      <c r="AI652">
        <v>2</v>
      </c>
      <c r="AJ652">
        <v>0</v>
      </c>
      <c r="AK652">
        <v>3</v>
      </c>
      <c r="AL652" t="s">
        <v>368</v>
      </c>
      <c r="AM652" t="s">
        <v>369</v>
      </c>
      <c r="AN652" t="s">
        <v>12224</v>
      </c>
      <c r="AO652" t="s">
        <v>74</v>
      </c>
      <c r="AP652" t="s">
        <v>74</v>
      </c>
      <c r="AQ652" t="s">
        <v>12271</v>
      </c>
      <c r="AR652" t="s">
        <v>12272</v>
      </c>
      <c r="AS652" t="s">
        <v>74</v>
      </c>
      <c r="AT652" t="s">
        <v>74</v>
      </c>
      <c r="AU652">
        <v>2012</v>
      </c>
      <c r="AV652" t="s">
        <v>74</v>
      </c>
      <c r="AW652" t="s">
        <v>74</v>
      </c>
      <c r="AX652" t="s">
        <v>74</v>
      </c>
      <c r="AY652" t="s">
        <v>74</v>
      </c>
      <c r="AZ652" t="s">
        <v>74</v>
      </c>
      <c r="BA652" t="s">
        <v>74</v>
      </c>
      <c r="BB652">
        <v>329</v>
      </c>
      <c r="BC652">
        <v>337</v>
      </c>
      <c r="BD652" t="s">
        <v>74</v>
      </c>
      <c r="BE652" t="s">
        <v>12273</v>
      </c>
      <c r="BF652" t="str">
        <f>HYPERLINK("http://dx.doi.org/10.1016/B978-0-12-385140-6.00020-7","http://dx.doi.org/10.1016/B978-0-12-385140-6.00020-7")</f>
        <v>http://dx.doi.org/10.1016/B978-0-12-385140-6.00020-7</v>
      </c>
      <c r="BG652" t="s">
        <v>74</v>
      </c>
      <c r="BH652" t="s">
        <v>74</v>
      </c>
      <c r="BI652">
        <v>9</v>
      </c>
      <c r="BJ652" t="s">
        <v>194</v>
      </c>
      <c r="BK652" t="s">
        <v>12155</v>
      </c>
      <c r="BL652" t="s">
        <v>195</v>
      </c>
      <c r="BM652" t="s">
        <v>12274</v>
      </c>
      <c r="BN652" t="s">
        <v>74</v>
      </c>
      <c r="BO652" t="s">
        <v>74</v>
      </c>
      <c r="BP652" t="s">
        <v>74</v>
      </c>
      <c r="BQ652" t="s">
        <v>74</v>
      </c>
      <c r="BR652" t="s">
        <v>101</v>
      </c>
      <c r="BS652" t="s">
        <v>12275</v>
      </c>
      <c r="BT652" t="str">
        <f>HYPERLINK("https%3A%2F%2Fwww.webofscience.com%2Fwos%2Fwoscc%2Ffull-record%2FWOS:000322237000022","View Full Record in Web of Science")</f>
        <v>View Full Record in Web of Science</v>
      </c>
    </row>
    <row r="653" spans="1:72" x14ac:dyDescent="0.15">
      <c r="A653" t="s">
        <v>12256</v>
      </c>
      <c r="B653" t="s">
        <v>12276</v>
      </c>
      <c r="C653" t="s">
        <v>74</v>
      </c>
      <c r="D653" t="s">
        <v>12258</v>
      </c>
      <c r="E653" t="s">
        <v>74</v>
      </c>
      <c r="F653" t="s">
        <v>12277</v>
      </c>
      <c r="G653" t="s">
        <v>74</v>
      </c>
      <c r="H653" t="s">
        <v>74</v>
      </c>
      <c r="I653" t="s">
        <v>12278</v>
      </c>
      <c r="J653" t="s">
        <v>12261</v>
      </c>
      <c r="K653" t="s">
        <v>12262</v>
      </c>
      <c r="L653" t="s">
        <v>74</v>
      </c>
      <c r="M653" t="s">
        <v>78</v>
      </c>
      <c r="N653" t="s">
        <v>12141</v>
      </c>
      <c r="O653" t="s">
        <v>74</v>
      </c>
      <c r="P653" t="s">
        <v>74</v>
      </c>
      <c r="Q653" t="s">
        <v>74</v>
      </c>
      <c r="R653" t="s">
        <v>74</v>
      </c>
      <c r="S653" t="s">
        <v>74</v>
      </c>
      <c r="T653" t="s">
        <v>12279</v>
      </c>
      <c r="U653" t="s">
        <v>74</v>
      </c>
      <c r="V653" t="s">
        <v>12280</v>
      </c>
      <c r="W653" t="s">
        <v>12281</v>
      </c>
      <c r="X653" t="s">
        <v>12282</v>
      </c>
      <c r="Y653" t="s">
        <v>12283</v>
      </c>
      <c r="Z653" t="s">
        <v>74</v>
      </c>
      <c r="AA653" t="s">
        <v>12284</v>
      </c>
      <c r="AB653" t="s">
        <v>12285</v>
      </c>
      <c r="AC653" t="s">
        <v>74</v>
      </c>
      <c r="AD653" t="s">
        <v>74</v>
      </c>
      <c r="AE653" t="s">
        <v>74</v>
      </c>
      <c r="AF653" t="s">
        <v>74</v>
      </c>
      <c r="AG653">
        <v>8</v>
      </c>
      <c r="AH653">
        <v>7</v>
      </c>
      <c r="AI653">
        <v>7</v>
      </c>
      <c r="AJ653">
        <v>0</v>
      </c>
      <c r="AK653">
        <v>1</v>
      </c>
      <c r="AL653" t="s">
        <v>368</v>
      </c>
      <c r="AM653" t="s">
        <v>369</v>
      </c>
      <c r="AN653" t="s">
        <v>12224</v>
      </c>
      <c r="AO653" t="s">
        <v>74</v>
      </c>
      <c r="AP653" t="s">
        <v>74</v>
      </c>
      <c r="AQ653" t="s">
        <v>12271</v>
      </c>
      <c r="AR653" t="s">
        <v>12272</v>
      </c>
      <c r="AS653" t="s">
        <v>74</v>
      </c>
      <c r="AT653" t="s">
        <v>74</v>
      </c>
      <c r="AU653">
        <v>2012</v>
      </c>
      <c r="AV653" t="s">
        <v>74</v>
      </c>
      <c r="AW653" t="s">
        <v>74</v>
      </c>
      <c r="AX653" t="s">
        <v>74</v>
      </c>
      <c r="AY653" t="s">
        <v>74</v>
      </c>
      <c r="AZ653" t="s">
        <v>74</v>
      </c>
      <c r="BA653" t="s">
        <v>74</v>
      </c>
      <c r="BB653">
        <v>481</v>
      </c>
      <c r="BC653">
        <v>492</v>
      </c>
      <c r="BD653" t="s">
        <v>74</v>
      </c>
      <c r="BE653" t="s">
        <v>12286</v>
      </c>
      <c r="BF653" t="str">
        <f>HYPERLINK("http://dx.doi.org/10.1016/B978-0-12-385140-6.00034-7","http://dx.doi.org/10.1016/B978-0-12-385140-6.00034-7")</f>
        <v>http://dx.doi.org/10.1016/B978-0-12-385140-6.00034-7</v>
      </c>
      <c r="BG653" t="s">
        <v>74</v>
      </c>
      <c r="BH653" t="s">
        <v>74</v>
      </c>
      <c r="BI653">
        <v>12</v>
      </c>
      <c r="BJ653" t="s">
        <v>194</v>
      </c>
      <c r="BK653" t="s">
        <v>12155</v>
      </c>
      <c r="BL653" t="s">
        <v>195</v>
      </c>
      <c r="BM653" t="s">
        <v>12274</v>
      </c>
      <c r="BN653" t="s">
        <v>74</v>
      </c>
      <c r="BO653" t="s">
        <v>74</v>
      </c>
      <c r="BP653" t="s">
        <v>74</v>
      </c>
      <c r="BQ653" t="s">
        <v>74</v>
      </c>
      <c r="BR653" t="s">
        <v>101</v>
      </c>
      <c r="BS653" t="s">
        <v>12287</v>
      </c>
      <c r="BT653" t="str">
        <f>HYPERLINK("https%3A%2F%2Fwww.webofscience.com%2Fwos%2Fwoscc%2Ffull-record%2FWOS:000322237000036","View Full Record in Web of Science")</f>
        <v>View Full Record in Web of Science</v>
      </c>
    </row>
    <row r="654" spans="1:72" x14ac:dyDescent="0.15">
      <c r="A654" t="s">
        <v>12256</v>
      </c>
      <c r="B654" t="s">
        <v>12288</v>
      </c>
      <c r="C654" t="s">
        <v>74</v>
      </c>
      <c r="D654" t="s">
        <v>12258</v>
      </c>
      <c r="E654" t="s">
        <v>74</v>
      </c>
      <c r="F654" t="s">
        <v>12289</v>
      </c>
      <c r="G654" t="s">
        <v>74</v>
      </c>
      <c r="H654" t="s">
        <v>74</v>
      </c>
      <c r="I654" t="s">
        <v>12290</v>
      </c>
      <c r="J654" t="s">
        <v>12261</v>
      </c>
      <c r="K654" t="s">
        <v>12262</v>
      </c>
      <c r="L654" t="s">
        <v>74</v>
      </c>
      <c r="M654" t="s">
        <v>78</v>
      </c>
      <c r="N654" t="s">
        <v>12141</v>
      </c>
      <c r="O654" t="s">
        <v>74</v>
      </c>
      <c r="P654" t="s">
        <v>74</v>
      </c>
      <c r="Q654" t="s">
        <v>74</v>
      </c>
      <c r="R654" t="s">
        <v>74</v>
      </c>
      <c r="S654" t="s">
        <v>74</v>
      </c>
      <c r="T654" t="s">
        <v>12291</v>
      </c>
      <c r="U654" t="s">
        <v>12292</v>
      </c>
      <c r="V654" t="s">
        <v>12293</v>
      </c>
      <c r="W654" t="s">
        <v>12294</v>
      </c>
      <c r="X654" t="s">
        <v>12295</v>
      </c>
      <c r="Y654" t="s">
        <v>12296</v>
      </c>
      <c r="Z654" t="s">
        <v>74</v>
      </c>
      <c r="AA654" t="s">
        <v>12297</v>
      </c>
      <c r="AB654" t="s">
        <v>12298</v>
      </c>
      <c r="AC654" t="s">
        <v>74</v>
      </c>
      <c r="AD654" t="s">
        <v>74</v>
      </c>
      <c r="AE654" t="s">
        <v>74</v>
      </c>
      <c r="AF654" t="s">
        <v>74</v>
      </c>
      <c r="AG654">
        <v>21</v>
      </c>
      <c r="AH654">
        <v>4</v>
      </c>
      <c r="AI654">
        <v>4</v>
      </c>
      <c r="AJ654">
        <v>0</v>
      </c>
      <c r="AK654">
        <v>3</v>
      </c>
      <c r="AL654" t="s">
        <v>368</v>
      </c>
      <c r="AM654" t="s">
        <v>369</v>
      </c>
      <c r="AN654" t="s">
        <v>12224</v>
      </c>
      <c r="AO654" t="s">
        <v>74</v>
      </c>
      <c r="AP654" t="s">
        <v>74</v>
      </c>
      <c r="AQ654" t="s">
        <v>12271</v>
      </c>
      <c r="AR654" t="s">
        <v>12272</v>
      </c>
      <c r="AS654" t="s">
        <v>74</v>
      </c>
      <c r="AT654" t="s">
        <v>74</v>
      </c>
      <c r="AU654">
        <v>2012</v>
      </c>
      <c r="AV654" t="s">
        <v>74</v>
      </c>
      <c r="AW654" t="s">
        <v>74</v>
      </c>
      <c r="AX654" t="s">
        <v>74</v>
      </c>
      <c r="AY654" t="s">
        <v>74</v>
      </c>
      <c r="AZ654" t="s">
        <v>74</v>
      </c>
      <c r="BA654" t="s">
        <v>74</v>
      </c>
      <c r="BB654">
        <v>717</v>
      </c>
      <c r="BC654">
        <v>726</v>
      </c>
      <c r="BD654" t="s">
        <v>74</v>
      </c>
      <c r="BE654" t="s">
        <v>12299</v>
      </c>
      <c r="BF654" t="str">
        <f>HYPERLINK("http://dx.doi.org/10.1016/B978-0-12-385140-6.00052-9","http://dx.doi.org/10.1016/B978-0-12-385140-6.00052-9")</f>
        <v>http://dx.doi.org/10.1016/B978-0-12-385140-6.00052-9</v>
      </c>
      <c r="BG654" t="s">
        <v>74</v>
      </c>
      <c r="BH654" t="s">
        <v>74</v>
      </c>
      <c r="BI654">
        <v>10</v>
      </c>
      <c r="BJ654" t="s">
        <v>194</v>
      </c>
      <c r="BK654" t="s">
        <v>12155</v>
      </c>
      <c r="BL654" t="s">
        <v>195</v>
      </c>
      <c r="BM654" t="s">
        <v>12274</v>
      </c>
      <c r="BN654" t="s">
        <v>74</v>
      </c>
      <c r="BO654" t="s">
        <v>74</v>
      </c>
      <c r="BP654" t="s">
        <v>74</v>
      </c>
      <c r="BQ654" t="s">
        <v>74</v>
      </c>
      <c r="BR654" t="s">
        <v>101</v>
      </c>
      <c r="BS654" t="s">
        <v>12300</v>
      </c>
      <c r="BT654" t="str">
        <f>HYPERLINK("https%3A%2F%2Fwww.webofscience.com%2Fwos%2Fwoscc%2Ffull-record%2FWOS:000322237000054","View Full Record in Web of Science")</f>
        <v>View Full Record in Web of Science</v>
      </c>
    </row>
    <row r="655" spans="1:72" x14ac:dyDescent="0.15">
      <c r="A655" t="s">
        <v>12256</v>
      </c>
      <c r="B655" t="s">
        <v>12301</v>
      </c>
      <c r="C655" t="s">
        <v>74</v>
      </c>
      <c r="D655" t="s">
        <v>12302</v>
      </c>
      <c r="E655" t="s">
        <v>74</v>
      </c>
      <c r="F655" t="s">
        <v>12303</v>
      </c>
      <c r="G655" t="s">
        <v>74</v>
      </c>
      <c r="H655" t="s">
        <v>74</v>
      </c>
      <c r="I655" t="s">
        <v>12304</v>
      </c>
      <c r="J655" t="s">
        <v>12305</v>
      </c>
      <c r="K655" t="s">
        <v>74</v>
      </c>
      <c r="L655" t="s">
        <v>74</v>
      </c>
      <c r="M655" t="s">
        <v>78</v>
      </c>
      <c r="N655" t="s">
        <v>12141</v>
      </c>
      <c r="O655" t="s">
        <v>74</v>
      </c>
      <c r="P655" t="s">
        <v>74</v>
      </c>
      <c r="Q655" t="s">
        <v>74</v>
      </c>
      <c r="R655" t="s">
        <v>74</v>
      </c>
      <c r="S655" t="s">
        <v>74</v>
      </c>
      <c r="T655" t="s">
        <v>74</v>
      </c>
      <c r="U655" t="s">
        <v>74</v>
      </c>
      <c r="V655" t="s">
        <v>12306</v>
      </c>
      <c r="W655" t="s">
        <v>12307</v>
      </c>
      <c r="X655" t="s">
        <v>1245</v>
      </c>
      <c r="Y655" t="s">
        <v>12308</v>
      </c>
      <c r="Z655" t="s">
        <v>12309</v>
      </c>
      <c r="AA655" t="s">
        <v>12310</v>
      </c>
      <c r="AB655" t="s">
        <v>12311</v>
      </c>
      <c r="AC655" t="s">
        <v>74</v>
      </c>
      <c r="AD655" t="s">
        <v>74</v>
      </c>
      <c r="AE655" t="s">
        <v>74</v>
      </c>
      <c r="AF655" t="s">
        <v>74</v>
      </c>
      <c r="AG655">
        <v>7</v>
      </c>
      <c r="AH655">
        <v>1</v>
      </c>
      <c r="AI655">
        <v>1</v>
      </c>
      <c r="AJ655">
        <v>0</v>
      </c>
      <c r="AK655">
        <v>2</v>
      </c>
      <c r="AL655" t="s">
        <v>12312</v>
      </c>
      <c r="AM655" t="s">
        <v>12313</v>
      </c>
      <c r="AN655" t="s">
        <v>12314</v>
      </c>
      <c r="AO655" t="s">
        <v>74</v>
      </c>
      <c r="AP655" t="s">
        <v>74</v>
      </c>
      <c r="AQ655" t="s">
        <v>12315</v>
      </c>
      <c r="AR655" t="s">
        <v>74</v>
      </c>
      <c r="AS655" t="s">
        <v>74</v>
      </c>
      <c r="AT655" t="s">
        <v>74</v>
      </c>
      <c r="AU655">
        <v>2012</v>
      </c>
      <c r="AV655" t="s">
        <v>74</v>
      </c>
      <c r="AW655" t="s">
        <v>74</v>
      </c>
      <c r="AX655" t="s">
        <v>74</v>
      </c>
      <c r="AY655" t="s">
        <v>74</v>
      </c>
      <c r="AZ655" t="s">
        <v>74</v>
      </c>
      <c r="BA655" t="s">
        <v>74</v>
      </c>
      <c r="BB655">
        <v>39</v>
      </c>
      <c r="BC655">
        <v>50</v>
      </c>
      <c r="BD655" t="s">
        <v>74</v>
      </c>
      <c r="BE655" t="s">
        <v>74</v>
      </c>
      <c r="BF655" t="s">
        <v>74</v>
      </c>
      <c r="BG655" t="s">
        <v>74</v>
      </c>
      <c r="BH655" t="s">
        <v>74</v>
      </c>
      <c r="BI655">
        <v>12</v>
      </c>
      <c r="BJ655" t="s">
        <v>3749</v>
      </c>
      <c r="BK655" t="s">
        <v>12155</v>
      </c>
      <c r="BL655" t="s">
        <v>1259</v>
      </c>
      <c r="BM655" t="s">
        <v>12316</v>
      </c>
      <c r="BN655" t="s">
        <v>74</v>
      </c>
      <c r="BO655" t="s">
        <v>74</v>
      </c>
      <c r="BP655" t="s">
        <v>74</v>
      </c>
      <c r="BQ655" t="s">
        <v>74</v>
      </c>
      <c r="BR655" t="s">
        <v>101</v>
      </c>
      <c r="BS655" t="s">
        <v>12317</v>
      </c>
      <c r="BT655" t="str">
        <f>HYPERLINK("https%3A%2F%2Fwww.webofscience.com%2Fwos%2Fwoscc%2Ffull-record%2FWOS:000320996500005","View Full Record in Web of Science")</f>
        <v>View Full Record in Web of Science</v>
      </c>
    </row>
    <row r="656" spans="1:72" x14ac:dyDescent="0.15">
      <c r="A656" t="s">
        <v>12256</v>
      </c>
      <c r="B656" t="s">
        <v>12318</v>
      </c>
      <c r="C656" t="s">
        <v>74</v>
      </c>
      <c r="D656" t="s">
        <v>12302</v>
      </c>
      <c r="E656" t="s">
        <v>74</v>
      </c>
      <c r="F656" t="s">
        <v>12319</v>
      </c>
      <c r="G656" t="s">
        <v>74</v>
      </c>
      <c r="H656" t="s">
        <v>74</v>
      </c>
      <c r="I656" t="s">
        <v>12320</v>
      </c>
      <c r="J656" t="s">
        <v>12305</v>
      </c>
      <c r="K656" t="s">
        <v>74</v>
      </c>
      <c r="L656" t="s">
        <v>74</v>
      </c>
      <c r="M656" t="s">
        <v>78</v>
      </c>
      <c r="N656" t="s">
        <v>12141</v>
      </c>
      <c r="O656" t="s">
        <v>74</v>
      </c>
      <c r="P656" t="s">
        <v>74</v>
      </c>
      <c r="Q656" t="s">
        <v>74</v>
      </c>
      <c r="R656" t="s">
        <v>74</v>
      </c>
      <c r="S656" t="s">
        <v>74</v>
      </c>
      <c r="T656" t="s">
        <v>74</v>
      </c>
      <c r="U656" t="s">
        <v>12321</v>
      </c>
      <c r="V656" t="s">
        <v>12322</v>
      </c>
      <c r="W656" t="s">
        <v>12323</v>
      </c>
      <c r="X656" t="s">
        <v>12324</v>
      </c>
      <c r="Y656" t="s">
        <v>12325</v>
      </c>
      <c r="Z656" t="s">
        <v>12326</v>
      </c>
      <c r="AA656" t="s">
        <v>12327</v>
      </c>
      <c r="AB656" t="s">
        <v>74</v>
      </c>
      <c r="AC656" t="s">
        <v>74</v>
      </c>
      <c r="AD656" t="s">
        <v>74</v>
      </c>
      <c r="AE656" t="s">
        <v>74</v>
      </c>
      <c r="AF656" t="s">
        <v>74</v>
      </c>
      <c r="AG656">
        <v>32</v>
      </c>
      <c r="AH656">
        <v>3</v>
      </c>
      <c r="AI656">
        <v>3</v>
      </c>
      <c r="AJ656">
        <v>0</v>
      </c>
      <c r="AK656">
        <v>7</v>
      </c>
      <c r="AL656" t="s">
        <v>12312</v>
      </c>
      <c r="AM656" t="s">
        <v>12328</v>
      </c>
      <c r="AN656" t="s">
        <v>12329</v>
      </c>
      <c r="AO656" t="s">
        <v>74</v>
      </c>
      <c r="AP656" t="s">
        <v>74</v>
      </c>
      <c r="AQ656" t="s">
        <v>12330</v>
      </c>
      <c r="AR656" t="s">
        <v>74</v>
      </c>
      <c r="AS656" t="s">
        <v>74</v>
      </c>
      <c r="AT656" t="s">
        <v>74</v>
      </c>
      <c r="AU656">
        <v>2012</v>
      </c>
      <c r="AV656" t="s">
        <v>74</v>
      </c>
      <c r="AW656" t="s">
        <v>74</v>
      </c>
      <c r="AX656" t="s">
        <v>74</v>
      </c>
      <c r="AY656" t="s">
        <v>74</v>
      </c>
      <c r="AZ656" t="s">
        <v>74</v>
      </c>
      <c r="BA656" t="s">
        <v>74</v>
      </c>
      <c r="BB656">
        <v>83</v>
      </c>
      <c r="BC656">
        <v>102</v>
      </c>
      <c r="BD656" t="s">
        <v>74</v>
      </c>
      <c r="BE656" t="s">
        <v>74</v>
      </c>
      <c r="BF656" t="s">
        <v>74</v>
      </c>
      <c r="BG656" t="s">
        <v>74</v>
      </c>
      <c r="BH656" t="s">
        <v>74</v>
      </c>
      <c r="BI656">
        <v>20</v>
      </c>
      <c r="BJ656" t="s">
        <v>3749</v>
      </c>
      <c r="BK656" t="s">
        <v>12155</v>
      </c>
      <c r="BL656" t="s">
        <v>1259</v>
      </c>
      <c r="BM656" t="s">
        <v>12316</v>
      </c>
      <c r="BN656" t="s">
        <v>74</v>
      </c>
      <c r="BO656" t="s">
        <v>74</v>
      </c>
      <c r="BP656" t="s">
        <v>74</v>
      </c>
      <c r="BQ656" t="s">
        <v>74</v>
      </c>
      <c r="BR656" t="s">
        <v>101</v>
      </c>
      <c r="BS656" t="s">
        <v>12331</v>
      </c>
      <c r="BT656" t="str">
        <f>HYPERLINK("https%3A%2F%2Fwww.webofscience.com%2Fwos%2Fwoscc%2Ffull-record%2FWOS:000320996500008","View Full Record in Web of Science")</f>
        <v>View Full Record in Web of Science</v>
      </c>
    </row>
    <row r="657" spans="1:72" x14ac:dyDescent="0.15">
      <c r="A657" t="s">
        <v>12086</v>
      </c>
      <c r="B657" t="s">
        <v>12332</v>
      </c>
      <c r="C657" t="s">
        <v>74</v>
      </c>
      <c r="D657" t="s">
        <v>74</v>
      </c>
      <c r="E657" t="s">
        <v>12088</v>
      </c>
      <c r="F657" t="s">
        <v>12333</v>
      </c>
      <c r="G657" t="s">
        <v>74</v>
      </c>
      <c r="H657" t="s">
        <v>74</v>
      </c>
      <c r="I657" t="s">
        <v>12334</v>
      </c>
      <c r="J657" t="s">
        <v>12335</v>
      </c>
      <c r="K657" t="s">
        <v>74</v>
      </c>
      <c r="L657" t="s">
        <v>74</v>
      </c>
      <c r="M657" t="s">
        <v>78</v>
      </c>
      <c r="N657" t="s">
        <v>12093</v>
      </c>
      <c r="O657" t="s">
        <v>12336</v>
      </c>
      <c r="P657" t="s">
        <v>12337</v>
      </c>
      <c r="Q657" t="s">
        <v>12338</v>
      </c>
      <c r="R657" t="s">
        <v>74</v>
      </c>
      <c r="S657" t="s">
        <v>74</v>
      </c>
      <c r="T657" t="s">
        <v>12339</v>
      </c>
      <c r="U657" t="s">
        <v>12340</v>
      </c>
      <c r="V657" t="s">
        <v>12341</v>
      </c>
      <c r="W657" t="s">
        <v>12342</v>
      </c>
      <c r="X657" t="s">
        <v>12220</v>
      </c>
      <c r="Y657" t="s">
        <v>12343</v>
      </c>
      <c r="Z657" t="s">
        <v>12344</v>
      </c>
      <c r="AA657" t="s">
        <v>12345</v>
      </c>
      <c r="AB657" t="s">
        <v>12346</v>
      </c>
      <c r="AC657" t="s">
        <v>74</v>
      </c>
      <c r="AD657" t="s">
        <v>74</v>
      </c>
      <c r="AE657" t="s">
        <v>74</v>
      </c>
      <c r="AF657" t="s">
        <v>74</v>
      </c>
      <c r="AG657">
        <v>41</v>
      </c>
      <c r="AH657">
        <v>0</v>
      </c>
      <c r="AI657">
        <v>0</v>
      </c>
      <c r="AJ657">
        <v>0</v>
      </c>
      <c r="AK657">
        <v>1</v>
      </c>
      <c r="AL657" t="s">
        <v>12088</v>
      </c>
      <c r="AM657" t="s">
        <v>656</v>
      </c>
      <c r="AN657" t="s">
        <v>12104</v>
      </c>
      <c r="AO657" t="s">
        <v>74</v>
      </c>
      <c r="AP657" t="s">
        <v>74</v>
      </c>
      <c r="AQ657" t="s">
        <v>12347</v>
      </c>
      <c r="AR657" t="s">
        <v>74</v>
      </c>
      <c r="AS657" t="s">
        <v>74</v>
      </c>
      <c r="AT657" t="s">
        <v>74</v>
      </c>
      <c r="AU657">
        <v>2012</v>
      </c>
      <c r="AV657" t="s">
        <v>74</v>
      </c>
      <c r="AW657" t="s">
        <v>74</v>
      </c>
      <c r="AX657" t="s">
        <v>74</v>
      </c>
      <c r="AY657" t="s">
        <v>74</v>
      </c>
      <c r="AZ657" t="s">
        <v>74</v>
      </c>
      <c r="BA657" t="s">
        <v>74</v>
      </c>
      <c r="BB657" t="s">
        <v>74</v>
      </c>
      <c r="BC657" t="s">
        <v>74</v>
      </c>
      <c r="BD657" t="s">
        <v>74</v>
      </c>
      <c r="BE657" t="s">
        <v>74</v>
      </c>
      <c r="BF657" t="s">
        <v>74</v>
      </c>
      <c r="BG657" t="s">
        <v>74</v>
      </c>
      <c r="BH657" t="s">
        <v>74</v>
      </c>
      <c r="BI657">
        <v>6</v>
      </c>
      <c r="BJ657" t="s">
        <v>12348</v>
      </c>
      <c r="BK657" t="s">
        <v>12109</v>
      </c>
      <c r="BL657" t="s">
        <v>12349</v>
      </c>
      <c r="BM657" t="s">
        <v>12350</v>
      </c>
      <c r="BN657" t="s">
        <v>74</v>
      </c>
      <c r="BO657" t="s">
        <v>74</v>
      </c>
      <c r="BP657" t="s">
        <v>74</v>
      </c>
      <c r="BQ657" t="s">
        <v>74</v>
      </c>
      <c r="BR657" t="s">
        <v>101</v>
      </c>
      <c r="BS657" t="s">
        <v>12351</v>
      </c>
      <c r="BT657" t="str">
        <f>HYPERLINK("https%3A%2F%2Fwww.webofscience.com%2Fwos%2Fwoscc%2Ffull-record%2FWOS:000319211300008","View Full Record in Web of Science")</f>
        <v>View Full Record in Web of Science</v>
      </c>
    </row>
    <row r="658" spans="1:72" x14ac:dyDescent="0.15">
      <c r="A658" t="s">
        <v>12134</v>
      </c>
      <c r="B658" t="s">
        <v>12352</v>
      </c>
      <c r="C658" t="s">
        <v>74</v>
      </c>
      <c r="D658" t="s">
        <v>12353</v>
      </c>
      <c r="E658" t="s">
        <v>74</v>
      </c>
      <c r="F658" t="s">
        <v>12354</v>
      </c>
      <c r="G658" t="s">
        <v>74</v>
      </c>
      <c r="H658" t="s">
        <v>74</v>
      </c>
      <c r="I658" t="s">
        <v>12355</v>
      </c>
      <c r="J658" t="s">
        <v>12356</v>
      </c>
      <c r="K658" t="s">
        <v>12357</v>
      </c>
      <c r="L658" t="s">
        <v>74</v>
      </c>
      <c r="M658" t="s">
        <v>78</v>
      </c>
      <c r="N658" t="s">
        <v>79</v>
      </c>
      <c r="O658" t="s">
        <v>74</v>
      </c>
      <c r="P658" t="s">
        <v>74</v>
      </c>
      <c r="Q658" t="s">
        <v>74</v>
      </c>
      <c r="R658" t="s">
        <v>74</v>
      </c>
      <c r="S658" t="s">
        <v>74</v>
      </c>
      <c r="T658" t="s">
        <v>74</v>
      </c>
      <c r="U658" t="s">
        <v>74</v>
      </c>
      <c r="V658" t="s">
        <v>74</v>
      </c>
      <c r="W658" t="s">
        <v>12358</v>
      </c>
      <c r="X658" t="s">
        <v>205</v>
      </c>
      <c r="Y658" t="s">
        <v>12359</v>
      </c>
      <c r="Z658" t="s">
        <v>12360</v>
      </c>
      <c r="AA658" t="s">
        <v>74</v>
      </c>
      <c r="AB658" t="s">
        <v>12361</v>
      </c>
      <c r="AC658" t="s">
        <v>74</v>
      </c>
      <c r="AD658" t="s">
        <v>74</v>
      </c>
      <c r="AE658" t="s">
        <v>74</v>
      </c>
      <c r="AF658" t="s">
        <v>74</v>
      </c>
      <c r="AG658">
        <v>5</v>
      </c>
      <c r="AH658">
        <v>1</v>
      </c>
      <c r="AI658">
        <v>1</v>
      </c>
      <c r="AJ658">
        <v>0</v>
      </c>
      <c r="AK658">
        <v>3</v>
      </c>
      <c r="AL658" t="s">
        <v>655</v>
      </c>
      <c r="AM658" t="s">
        <v>656</v>
      </c>
      <c r="AN658" t="s">
        <v>12362</v>
      </c>
      <c r="AO658" t="s">
        <v>12363</v>
      </c>
      <c r="AP658" t="s">
        <v>12364</v>
      </c>
      <c r="AQ658" t="s">
        <v>12365</v>
      </c>
      <c r="AR658" t="s">
        <v>12366</v>
      </c>
      <c r="AS658" t="s">
        <v>12367</v>
      </c>
      <c r="AT658" t="s">
        <v>74</v>
      </c>
      <c r="AU658">
        <v>2012</v>
      </c>
      <c r="AV658">
        <v>730</v>
      </c>
      <c r="AW658" t="s">
        <v>74</v>
      </c>
      <c r="AX658" t="s">
        <v>74</v>
      </c>
      <c r="AY658" t="s">
        <v>74</v>
      </c>
      <c r="AZ658" t="s">
        <v>74</v>
      </c>
      <c r="BA658" t="s">
        <v>74</v>
      </c>
      <c r="BB658">
        <v>529</v>
      </c>
      <c r="BC658">
        <v>531</v>
      </c>
      <c r="BD658" t="s">
        <v>74</v>
      </c>
      <c r="BE658" t="s">
        <v>12368</v>
      </c>
      <c r="BF658" t="str">
        <f>HYPERLINK("http://dx.doi.org/10.1007/978-1-4419-7311-5_120","http://dx.doi.org/10.1007/978-1-4419-7311-5_120")</f>
        <v>http://dx.doi.org/10.1007/978-1-4419-7311-5_120</v>
      </c>
      <c r="BG658" t="s">
        <v>74</v>
      </c>
      <c r="BH658" t="s">
        <v>74</v>
      </c>
      <c r="BI658">
        <v>3</v>
      </c>
      <c r="BJ658" t="s">
        <v>12369</v>
      </c>
      <c r="BK658" t="s">
        <v>99</v>
      </c>
      <c r="BL658" t="s">
        <v>12370</v>
      </c>
      <c r="BM658" t="s">
        <v>12371</v>
      </c>
      <c r="BN658">
        <v>22278557</v>
      </c>
      <c r="BO658" t="s">
        <v>74</v>
      </c>
      <c r="BP658" t="s">
        <v>74</v>
      </c>
      <c r="BQ658" t="s">
        <v>74</v>
      </c>
      <c r="BR658" t="s">
        <v>101</v>
      </c>
      <c r="BS658" t="s">
        <v>12372</v>
      </c>
      <c r="BT658" t="str">
        <f>HYPERLINK("https%3A%2F%2Fwww.webofscience.com%2Fwos%2Fwoscc%2Ffull-record%2FWOS:000321592700120","View Full Record in Web of Science")</f>
        <v>View Full Record in Web of Science</v>
      </c>
    </row>
    <row r="659" spans="1:72" x14ac:dyDescent="0.15">
      <c r="A659" t="s">
        <v>12134</v>
      </c>
      <c r="B659" t="s">
        <v>12373</v>
      </c>
      <c r="C659" t="s">
        <v>74</v>
      </c>
      <c r="D659" t="s">
        <v>12353</v>
      </c>
      <c r="E659" t="s">
        <v>74</v>
      </c>
      <c r="F659" t="s">
        <v>12374</v>
      </c>
      <c r="G659" t="s">
        <v>74</v>
      </c>
      <c r="H659" t="s">
        <v>74</v>
      </c>
      <c r="I659" t="s">
        <v>12375</v>
      </c>
      <c r="J659" t="s">
        <v>12356</v>
      </c>
      <c r="K659" t="s">
        <v>12357</v>
      </c>
      <c r="L659" t="s">
        <v>74</v>
      </c>
      <c r="M659" t="s">
        <v>78</v>
      </c>
      <c r="N659" t="s">
        <v>79</v>
      </c>
      <c r="O659" t="s">
        <v>74</v>
      </c>
      <c r="P659" t="s">
        <v>74</v>
      </c>
      <c r="Q659" t="s">
        <v>74</v>
      </c>
      <c r="R659" t="s">
        <v>74</v>
      </c>
      <c r="S659" t="s">
        <v>74</v>
      </c>
      <c r="T659" t="s">
        <v>74</v>
      </c>
      <c r="U659" t="s">
        <v>74</v>
      </c>
      <c r="V659" t="s">
        <v>74</v>
      </c>
      <c r="W659" t="s">
        <v>12376</v>
      </c>
      <c r="X659" t="s">
        <v>12377</v>
      </c>
      <c r="Y659" t="s">
        <v>12378</v>
      </c>
      <c r="Z659" t="s">
        <v>12379</v>
      </c>
      <c r="AA659" t="s">
        <v>74</v>
      </c>
      <c r="AB659" t="s">
        <v>12361</v>
      </c>
      <c r="AC659" t="s">
        <v>74</v>
      </c>
      <c r="AD659" t="s">
        <v>74</v>
      </c>
      <c r="AE659" t="s">
        <v>74</v>
      </c>
      <c r="AF659" t="s">
        <v>74</v>
      </c>
      <c r="AG659">
        <v>3</v>
      </c>
      <c r="AH659">
        <v>1</v>
      </c>
      <c r="AI659">
        <v>1</v>
      </c>
      <c r="AJ659">
        <v>0</v>
      </c>
      <c r="AK659">
        <v>10</v>
      </c>
      <c r="AL659" t="s">
        <v>655</v>
      </c>
      <c r="AM659" t="s">
        <v>656</v>
      </c>
      <c r="AN659" t="s">
        <v>12362</v>
      </c>
      <c r="AO659" t="s">
        <v>12363</v>
      </c>
      <c r="AP659" t="s">
        <v>74</v>
      </c>
      <c r="AQ659" t="s">
        <v>12365</v>
      </c>
      <c r="AR659" t="s">
        <v>12366</v>
      </c>
      <c r="AS659" t="s">
        <v>12367</v>
      </c>
      <c r="AT659" t="s">
        <v>74</v>
      </c>
      <c r="AU659">
        <v>2012</v>
      </c>
      <c r="AV659">
        <v>730</v>
      </c>
      <c r="AW659" t="s">
        <v>74</v>
      </c>
      <c r="AX659" t="s">
        <v>74</v>
      </c>
      <c r="AY659" t="s">
        <v>74</v>
      </c>
      <c r="AZ659" t="s">
        <v>74</v>
      </c>
      <c r="BA659" t="s">
        <v>74</v>
      </c>
      <c r="BB659">
        <v>609</v>
      </c>
      <c r="BC659">
        <v>611</v>
      </c>
      <c r="BD659" t="s">
        <v>74</v>
      </c>
      <c r="BE659" t="s">
        <v>12380</v>
      </c>
      <c r="BF659" t="str">
        <f>HYPERLINK("http://dx.doi.org/10.1007/978-1-4419-7311-5_138","http://dx.doi.org/10.1007/978-1-4419-7311-5_138")</f>
        <v>http://dx.doi.org/10.1007/978-1-4419-7311-5_138</v>
      </c>
      <c r="BG659" t="s">
        <v>74</v>
      </c>
      <c r="BH659" t="s">
        <v>74</v>
      </c>
      <c r="BI659">
        <v>3</v>
      </c>
      <c r="BJ659" t="s">
        <v>12369</v>
      </c>
      <c r="BK659" t="s">
        <v>99</v>
      </c>
      <c r="BL659" t="s">
        <v>12370</v>
      </c>
      <c r="BM659" t="s">
        <v>12371</v>
      </c>
      <c r="BN659">
        <v>22278575</v>
      </c>
      <c r="BO659" t="s">
        <v>74</v>
      </c>
      <c r="BP659" t="s">
        <v>74</v>
      </c>
      <c r="BQ659" t="s">
        <v>74</v>
      </c>
      <c r="BR659" t="s">
        <v>101</v>
      </c>
      <c r="BS659" t="s">
        <v>12381</v>
      </c>
      <c r="BT659" t="str">
        <f>HYPERLINK("https%3A%2F%2Fwww.webofscience.com%2Fwos%2Fwoscc%2Ffull-record%2FWOS:000321592700138","View Full Record in Web of Science")</f>
        <v>View Full Record in Web of Science</v>
      </c>
    </row>
    <row r="660" spans="1:72" x14ac:dyDescent="0.15">
      <c r="A660" t="s">
        <v>12086</v>
      </c>
      <c r="B660" t="s">
        <v>12382</v>
      </c>
      <c r="C660" t="s">
        <v>74</v>
      </c>
      <c r="D660" t="s">
        <v>12383</v>
      </c>
      <c r="E660" t="s">
        <v>74</v>
      </c>
      <c r="F660" t="s">
        <v>12384</v>
      </c>
      <c r="G660" t="s">
        <v>74</v>
      </c>
      <c r="H660" t="s">
        <v>74</v>
      </c>
      <c r="I660" t="s">
        <v>12385</v>
      </c>
      <c r="J660" t="s">
        <v>12386</v>
      </c>
      <c r="K660" t="s">
        <v>12387</v>
      </c>
      <c r="L660" t="s">
        <v>74</v>
      </c>
      <c r="M660" t="s">
        <v>78</v>
      </c>
      <c r="N660" t="s">
        <v>12093</v>
      </c>
      <c r="O660" t="s">
        <v>12388</v>
      </c>
      <c r="P660" t="s">
        <v>12389</v>
      </c>
      <c r="Q660" t="s">
        <v>12390</v>
      </c>
      <c r="R660" t="s">
        <v>74</v>
      </c>
      <c r="S660" t="s">
        <v>12391</v>
      </c>
      <c r="T660" t="s">
        <v>74</v>
      </c>
      <c r="U660" t="s">
        <v>12392</v>
      </c>
      <c r="V660" t="s">
        <v>12393</v>
      </c>
      <c r="W660" t="s">
        <v>12394</v>
      </c>
      <c r="X660" t="s">
        <v>3176</v>
      </c>
      <c r="Y660" t="s">
        <v>12395</v>
      </c>
      <c r="Z660" t="s">
        <v>12396</v>
      </c>
      <c r="AA660" t="s">
        <v>12397</v>
      </c>
      <c r="AB660" t="s">
        <v>12398</v>
      </c>
      <c r="AC660" t="s">
        <v>12399</v>
      </c>
      <c r="AD660" t="s">
        <v>12400</v>
      </c>
      <c r="AE660" t="s">
        <v>74</v>
      </c>
      <c r="AF660" t="s">
        <v>74</v>
      </c>
      <c r="AG660">
        <v>63</v>
      </c>
      <c r="AH660">
        <v>1</v>
      </c>
      <c r="AI660">
        <v>1</v>
      </c>
      <c r="AJ660">
        <v>0</v>
      </c>
      <c r="AK660">
        <v>3</v>
      </c>
      <c r="AL660" t="s">
        <v>118</v>
      </c>
      <c r="AM660" t="s">
        <v>119</v>
      </c>
      <c r="AN660" t="s">
        <v>120</v>
      </c>
      <c r="AO660" t="s">
        <v>12401</v>
      </c>
      <c r="AP660" t="s">
        <v>74</v>
      </c>
      <c r="AQ660" t="s">
        <v>12402</v>
      </c>
      <c r="AR660" t="s">
        <v>12403</v>
      </c>
      <c r="AS660" t="s">
        <v>74</v>
      </c>
      <c r="AT660" t="s">
        <v>74</v>
      </c>
      <c r="AU660">
        <v>2012</v>
      </c>
      <c r="AV660">
        <v>196</v>
      </c>
      <c r="AW660" t="s">
        <v>74</v>
      </c>
      <c r="AX660" t="s">
        <v>74</v>
      </c>
      <c r="AY660" t="s">
        <v>74</v>
      </c>
      <c r="AZ660" t="s">
        <v>74</v>
      </c>
      <c r="BA660" t="s">
        <v>74</v>
      </c>
      <c r="BB660">
        <v>299</v>
      </c>
      <c r="BC660">
        <v>313</v>
      </c>
      <c r="BD660" t="s">
        <v>74</v>
      </c>
      <c r="BE660" t="s">
        <v>12404</v>
      </c>
      <c r="BF660" t="str">
        <f>HYPERLINK("http://dx.doi.org/10.1029/2011GM001084","http://dx.doi.org/10.1029/2011GM001084")</f>
        <v>http://dx.doi.org/10.1029/2011GM001084</v>
      </c>
      <c r="BG660" t="s">
        <v>74</v>
      </c>
      <c r="BH660" t="s">
        <v>74</v>
      </c>
      <c r="BI660">
        <v>15</v>
      </c>
      <c r="BJ660" t="s">
        <v>12405</v>
      </c>
      <c r="BK660" t="s">
        <v>12109</v>
      </c>
      <c r="BL660" t="s">
        <v>9559</v>
      </c>
      <c r="BM660" t="s">
        <v>12406</v>
      </c>
      <c r="BN660" t="s">
        <v>74</v>
      </c>
      <c r="BO660" t="s">
        <v>74</v>
      </c>
      <c r="BP660" t="s">
        <v>74</v>
      </c>
      <c r="BQ660" t="s">
        <v>74</v>
      </c>
      <c r="BR660" t="s">
        <v>101</v>
      </c>
      <c r="BS660" t="s">
        <v>12407</v>
      </c>
      <c r="BT660" t="str">
        <f>HYPERLINK("https%3A%2F%2Fwww.webofscience.com%2Fwos%2Fwoscc%2Ffull-record%2FWOS:000321935100022","View Full Record in Web of Science")</f>
        <v>View Full Record in Web of Science</v>
      </c>
    </row>
    <row r="661" spans="1:72" x14ac:dyDescent="0.15">
      <c r="A661" t="s">
        <v>12256</v>
      </c>
      <c r="B661" t="s">
        <v>12408</v>
      </c>
      <c r="C661" t="s">
        <v>74</v>
      </c>
      <c r="D661" t="s">
        <v>12409</v>
      </c>
      <c r="E661" t="s">
        <v>74</v>
      </c>
      <c r="F661" t="s">
        <v>12410</v>
      </c>
      <c r="G661" t="s">
        <v>74</v>
      </c>
      <c r="H661" t="s">
        <v>74</v>
      </c>
      <c r="I661" t="s">
        <v>12411</v>
      </c>
      <c r="J661" t="s">
        <v>12412</v>
      </c>
      <c r="K661" t="s">
        <v>74</v>
      </c>
      <c r="L661" t="s">
        <v>74</v>
      </c>
      <c r="M661" t="s">
        <v>78</v>
      </c>
      <c r="N661" t="s">
        <v>12141</v>
      </c>
      <c r="O661" t="s">
        <v>74</v>
      </c>
      <c r="P661" t="s">
        <v>74</v>
      </c>
      <c r="Q661" t="s">
        <v>74</v>
      </c>
      <c r="R661" t="s">
        <v>74</v>
      </c>
      <c r="S661" t="s">
        <v>74</v>
      </c>
      <c r="T661" t="s">
        <v>74</v>
      </c>
      <c r="U661" t="s">
        <v>74</v>
      </c>
      <c r="V661" t="s">
        <v>74</v>
      </c>
      <c r="W661" t="s">
        <v>12413</v>
      </c>
      <c r="X661" t="s">
        <v>546</v>
      </c>
      <c r="Y661" t="s">
        <v>12414</v>
      </c>
      <c r="Z661" t="s">
        <v>74</v>
      </c>
      <c r="AA661" t="s">
        <v>74</v>
      </c>
      <c r="AB661" t="s">
        <v>74</v>
      </c>
      <c r="AC661" t="s">
        <v>74</v>
      </c>
      <c r="AD661" t="s">
        <v>74</v>
      </c>
      <c r="AE661" t="s">
        <v>74</v>
      </c>
      <c r="AF661" t="s">
        <v>74</v>
      </c>
      <c r="AG661">
        <v>0</v>
      </c>
      <c r="AH661">
        <v>0</v>
      </c>
      <c r="AI661">
        <v>0</v>
      </c>
      <c r="AJ661">
        <v>0</v>
      </c>
      <c r="AK661">
        <v>0</v>
      </c>
      <c r="AL661" t="s">
        <v>12312</v>
      </c>
      <c r="AM661" t="s">
        <v>12313</v>
      </c>
      <c r="AN661" t="s">
        <v>12314</v>
      </c>
      <c r="AO661" t="s">
        <v>74</v>
      </c>
      <c r="AP661" t="s">
        <v>74</v>
      </c>
      <c r="AQ661" t="s">
        <v>12415</v>
      </c>
      <c r="AR661" t="s">
        <v>74</v>
      </c>
      <c r="AS661" t="s">
        <v>74</v>
      </c>
      <c r="AT661" t="s">
        <v>74</v>
      </c>
      <c r="AU661">
        <v>2012</v>
      </c>
      <c r="AV661" t="s">
        <v>74</v>
      </c>
      <c r="AW661" t="s">
        <v>74</v>
      </c>
      <c r="AX661" t="s">
        <v>74</v>
      </c>
      <c r="AY661" t="s">
        <v>74</v>
      </c>
      <c r="AZ661" t="s">
        <v>74</v>
      </c>
      <c r="BA661" t="s">
        <v>74</v>
      </c>
      <c r="BB661">
        <v>79</v>
      </c>
      <c r="BC661" t="s">
        <v>1734</v>
      </c>
      <c r="BD661" t="s">
        <v>74</v>
      </c>
      <c r="BE661" t="s">
        <v>74</v>
      </c>
      <c r="BF661" t="s">
        <v>74</v>
      </c>
      <c r="BG661" t="s">
        <v>74</v>
      </c>
      <c r="BH661" t="s">
        <v>74</v>
      </c>
      <c r="BI661">
        <v>11</v>
      </c>
      <c r="BJ661" t="s">
        <v>12416</v>
      </c>
      <c r="BK661" t="s">
        <v>12417</v>
      </c>
      <c r="BL661" t="s">
        <v>12418</v>
      </c>
      <c r="BM661" t="s">
        <v>12419</v>
      </c>
      <c r="BN661" t="s">
        <v>74</v>
      </c>
      <c r="BO661" t="s">
        <v>74</v>
      </c>
      <c r="BP661" t="s">
        <v>74</v>
      </c>
      <c r="BQ661" t="s">
        <v>74</v>
      </c>
      <c r="BR661" t="s">
        <v>101</v>
      </c>
      <c r="BS661" t="s">
        <v>12420</v>
      </c>
      <c r="BT661" t="str">
        <f>HYPERLINK("https%3A%2F%2Fwww.webofscience.com%2Fwos%2Fwoscc%2Ffull-record%2FWOS:000321009300010","View Full Record in Web of Science")</f>
        <v>View Full Record in Web of Science</v>
      </c>
    </row>
    <row r="662" spans="1:72" x14ac:dyDescent="0.15">
      <c r="A662" t="s">
        <v>12256</v>
      </c>
      <c r="B662" t="s">
        <v>12421</v>
      </c>
      <c r="C662" t="s">
        <v>74</v>
      </c>
      <c r="D662" t="s">
        <v>12409</v>
      </c>
      <c r="E662" t="s">
        <v>74</v>
      </c>
      <c r="F662" t="s">
        <v>12422</v>
      </c>
      <c r="G662" t="s">
        <v>74</v>
      </c>
      <c r="H662" t="s">
        <v>74</v>
      </c>
      <c r="I662" t="s">
        <v>12423</v>
      </c>
      <c r="J662" t="s">
        <v>12412</v>
      </c>
      <c r="K662" t="s">
        <v>74</v>
      </c>
      <c r="L662" t="s">
        <v>74</v>
      </c>
      <c r="M662" t="s">
        <v>78</v>
      </c>
      <c r="N662" t="s">
        <v>12141</v>
      </c>
      <c r="O662" t="s">
        <v>74</v>
      </c>
      <c r="P662" t="s">
        <v>74</v>
      </c>
      <c r="Q662" t="s">
        <v>74</v>
      </c>
      <c r="R662" t="s">
        <v>74</v>
      </c>
      <c r="S662" t="s">
        <v>74</v>
      </c>
      <c r="T662" t="s">
        <v>74</v>
      </c>
      <c r="U662" t="s">
        <v>74</v>
      </c>
      <c r="V662" t="s">
        <v>74</v>
      </c>
      <c r="W662" t="s">
        <v>12424</v>
      </c>
      <c r="X662" t="s">
        <v>546</v>
      </c>
      <c r="Y662" t="s">
        <v>12414</v>
      </c>
      <c r="Z662" t="s">
        <v>74</v>
      </c>
      <c r="AA662" t="s">
        <v>74</v>
      </c>
      <c r="AB662" t="s">
        <v>74</v>
      </c>
      <c r="AC662" t="s">
        <v>74</v>
      </c>
      <c r="AD662" t="s">
        <v>74</v>
      </c>
      <c r="AE662" t="s">
        <v>74</v>
      </c>
      <c r="AF662" t="s">
        <v>74</v>
      </c>
      <c r="AG662">
        <v>0</v>
      </c>
      <c r="AH662">
        <v>0</v>
      </c>
      <c r="AI662">
        <v>0</v>
      </c>
      <c r="AJ662">
        <v>0</v>
      </c>
      <c r="AK662">
        <v>0</v>
      </c>
      <c r="AL662" t="s">
        <v>12312</v>
      </c>
      <c r="AM662" t="s">
        <v>12313</v>
      </c>
      <c r="AN662" t="s">
        <v>12314</v>
      </c>
      <c r="AO662" t="s">
        <v>74</v>
      </c>
      <c r="AP662" t="s">
        <v>74</v>
      </c>
      <c r="AQ662" t="s">
        <v>12415</v>
      </c>
      <c r="AR662" t="s">
        <v>74</v>
      </c>
      <c r="AS662" t="s">
        <v>74</v>
      </c>
      <c r="AT662" t="s">
        <v>74</v>
      </c>
      <c r="AU662">
        <v>2012</v>
      </c>
      <c r="AV662" t="s">
        <v>74</v>
      </c>
      <c r="AW662" t="s">
        <v>74</v>
      </c>
      <c r="AX662" t="s">
        <v>74</v>
      </c>
      <c r="AY662" t="s">
        <v>74</v>
      </c>
      <c r="AZ662" t="s">
        <v>74</v>
      </c>
      <c r="BA662" t="s">
        <v>74</v>
      </c>
      <c r="BB662">
        <v>89</v>
      </c>
      <c r="BC662" t="s">
        <v>1734</v>
      </c>
      <c r="BD662" t="s">
        <v>74</v>
      </c>
      <c r="BE662" t="s">
        <v>74</v>
      </c>
      <c r="BF662" t="s">
        <v>74</v>
      </c>
      <c r="BG662" t="s">
        <v>74</v>
      </c>
      <c r="BH662" t="s">
        <v>74</v>
      </c>
      <c r="BI662">
        <v>10</v>
      </c>
      <c r="BJ662" t="s">
        <v>12416</v>
      </c>
      <c r="BK662" t="s">
        <v>12417</v>
      </c>
      <c r="BL662" t="s">
        <v>12418</v>
      </c>
      <c r="BM662" t="s">
        <v>12419</v>
      </c>
      <c r="BN662" t="s">
        <v>74</v>
      </c>
      <c r="BO662" t="s">
        <v>74</v>
      </c>
      <c r="BP662" t="s">
        <v>74</v>
      </c>
      <c r="BQ662" t="s">
        <v>74</v>
      </c>
      <c r="BR662" t="s">
        <v>101</v>
      </c>
      <c r="BS662" t="s">
        <v>12425</v>
      </c>
      <c r="BT662" t="str">
        <f>HYPERLINK("https%3A%2F%2Fwww.webofscience.com%2Fwos%2Fwoscc%2Ffull-record%2FWOS:000321009300011","View Full Record in Web of Science")</f>
        <v>View Full Record in Web of Science</v>
      </c>
    </row>
    <row r="663" spans="1:72" x14ac:dyDescent="0.15">
      <c r="A663" t="s">
        <v>12256</v>
      </c>
      <c r="B663" t="s">
        <v>12426</v>
      </c>
      <c r="C663" t="s">
        <v>74</v>
      </c>
      <c r="D663" t="s">
        <v>12409</v>
      </c>
      <c r="E663" t="s">
        <v>74</v>
      </c>
      <c r="F663" t="s">
        <v>12427</v>
      </c>
      <c r="G663" t="s">
        <v>74</v>
      </c>
      <c r="H663" t="s">
        <v>74</v>
      </c>
      <c r="I663" t="s">
        <v>12428</v>
      </c>
      <c r="J663" t="s">
        <v>12412</v>
      </c>
      <c r="K663" t="s">
        <v>74</v>
      </c>
      <c r="L663" t="s">
        <v>74</v>
      </c>
      <c r="M663" t="s">
        <v>78</v>
      </c>
      <c r="N663" t="s">
        <v>12141</v>
      </c>
      <c r="O663" t="s">
        <v>74</v>
      </c>
      <c r="P663" t="s">
        <v>74</v>
      </c>
      <c r="Q663" t="s">
        <v>74</v>
      </c>
      <c r="R663" t="s">
        <v>74</v>
      </c>
      <c r="S663" t="s">
        <v>74</v>
      </c>
      <c r="T663" t="s">
        <v>74</v>
      </c>
      <c r="U663" t="s">
        <v>74</v>
      </c>
      <c r="V663" t="s">
        <v>74</v>
      </c>
      <c r="W663" t="s">
        <v>12413</v>
      </c>
      <c r="X663" t="s">
        <v>546</v>
      </c>
      <c r="Y663" t="s">
        <v>12429</v>
      </c>
      <c r="Z663" t="s">
        <v>74</v>
      </c>
      <c r="AA663" t="s">
        <v>12310</v>
      </c>
      <c r="AB663" t="s">
        <v>12311</v>
      </c>
      <c r="AC663" t="s">
        <v>74</v>
      </c>
      <c r="AD663" t="s">
        <v>74</v>
      </c>
      <c r="AE663" t="s">
        <v>74</v>
      </c>
      <c r="AF663" t="s">
        <v>74</v>
      </c>
      <c r="AG663">
        <v>0</v>
      </c>
      <c r="AH663">
        <v>0</v>
      </c>
      <c r="AI663">
        <v>0</v>
      </c>
      <c r="AJ663">
        <v>0</v>
      </c>
      <c r="AK663">
        <v>2</v>
      </c>
      <c r="AL663" t="s">
        <v>12312</v>
      </c>
      <c r="AM663" t="s">
        <v>12313</v>
      </c>
      <c r="AN663" t="s">
        <v>12314</v>
      </c>
      <c r="AO663" t="s">
        <v>74</v>
      </c>
      <c r="AP663" t="s">
        <v>74</v>
      </c>
      <c r="AQ663" t="s">
        <v>12415</v>
      </c>
      <c r="AR663" t="s">
        <v>74</v>
      </c>
      <c r="AS663" t="s">
        <v>74</v>
      </c>
      <c r="AT663" t="s">
        <v>74</v>
      </c>
      <c r="AU663">
        <v>2012</v>
      </c>
      <c r="AV663" t="s">
        <v>74</v>
      </c>
      <c r="AW663" t="s">
        <v>74</v>
      </c>
      <c r="AX663" t="s">
        <v>74</v>
      </c>
      <c r="AY663" t="s">
        <v>74</v>
      </c>
      <c r="AZ663" t="s">
        <v>74</v>
      </c>
      <c r="BA663" t="s">
        <v>74</v>
      </c>
      <c r="BB663">
        <v>99</v>
      </c>
      <c r="BC663" t="s">
        <v>1734</v>
      </c>
      <c r="BD663" t="s">
        <v>74</v>
      </c>
      <c r="BE663" t="s">
        <v>74</v>
      </c>
      <c r="BF663" t="s">
        <v>74</v>
      </c>
      <c r="BG663" t="s">
        <v>74</v>
      </c>
      <c r="BH663" t="s">
        <v>74</v>
      </c>
      <c r="BI663">
        <v>20</v>
      </c>
      <c r="BJ663" t="s">
        <v>12416</v>
      </c>
      <c r="BK663" t="s">
        <v>12417</v>
      </c>
      <c r="BL663" t="s">
        <v>12418</v>
      </c>
      <c r="BM663" t="s">
        <v>12419</v>
      </c>
      <c r="BN663" t="s">
        <v>74</v>
      </c>
      <c r="BO663" t="s">
        <v>74</v>
      </c>
      <c r="BP663" t="s">
        <v>74</v>
      </c>
      <c r="BQ663" t="s">
        <v>74</v>
      </c>
      <c r="BR663" t="s">
        <v>101</v>
      </c>
      <c r="BS663" t="s">
        <v>12430</v>
      </c>
      <c r="BT663" t="str">
        <f>HYPERLINK("https%3A%2F%2Fwww.webofscience.com%2Fwos%2Fwoscc%2Ffull-record%2FWOS:000321009300012","View Full Record in Web of Science")</f>
        <v>View Full Record in Web of Science</v>
      </c>
    </row>
    <row r="664" spans="1:72" x14ac:dyDescent="0.15">
      <c r="A664" t="s">
        <v>12256</v>
      </c>
      <c r="B664" t="s">
        <v>12431</v>
      </c>
      <c r="C664" t="s">
        <v>74</v>
      </c>
      <c r="D664" t="s">
        <v>12409</v>
      </c>
      <c r="E664" t="s">
        <v>74</v>
      </c>
      <c r="F664" t="s">
        <v>12432</v>
      </c>
      <c r="G664" t="s">
        <v>74</v>
      </c>
      <c r="H664" t="s">
        <v>74</v>
      </c>
      <c r="I664" t="s">
        <v>12433</v>
      </c>
      <c r="J664" t="s">
        <v>12412</v>
      </c>
      <c r="K664" t="s">
        <v>74</v>
      </c>
      <c r="L664" t="s">
        <v>74</v>
      </c>
      <c r="M664" t="s">
        <v>78</v>
      </c>
      <c r="N664" t="s">
        <v>12141</v>
      </c>
      <c r="O664" t="s">
        <v>74</v>
      </c>
      <c r="P664" t="s">
        <v>74</v>
      </c>
      <c r="Q664" t="s">
        <v>74</v>
      </c>
      <c r="R664" t="s">
        <v>74</v>
      </c>
      <c r="S664" t="s">
        <v>74</v>
      </c>
      <c r="T664" t="s">
        <v>74</v>
      </c>
      <c r="U664" t="s">
        <v>74</v>
      </c>
      <c r="V664" t="s">
        <v>74</v>
      </c>
      <c r="W664" t="s">
        <v>12434</v>
      </c>
      <c r="X664" t="s">
        <v>12435</v>
      </c>
      <c r="Y664" t="s">
        <v>12436</v>
      </c>
      <c r="Z664" t="s">
        <v>74</v>
      </c>
      <c r="AA664" t="s">
        <v>74</v>
      </c>
      <c r="AB664" t="s">
        <v>74</v>
      </c>
      <c r="AC664" t="s">
        <v>74</v>
      </c>
      <c r="AD664" t="s">
        <v>74</v>
      </c>
      <c r="AE664" t="s">
        <v>74</v>
      </c>
      <c r="AF664" t="s">
        <v>74</v>
      </c>
      <c r="AG664">
        <v>0</v>
      </c>
      <c r="AH664">
        <v>0</v>
      </c>
      <c r="AI664">
        <v>0</v>
      </c>
      <c r="AJ664">
        <v>0</v>
      </c>
      <c r="AK664">
        <v>0</v>
      </c>
      <c r="AL664" t="s">
        <v>12312</v>
      </c>
      <c r="AM664" t="s">
        <v>12313</v>
      </c>
      <c r="AN664" t="s">
        <v>12314</v>
      </c>
      <c r="AO664" t="s">
        <v>74</v>
      </c>
      <c r="AP664" t="s">
        <v>74</v>
      </c>
      <c r="AQ664" t="s">
        <v>12415</v>
      </c>
      <c r="AR664" t="s">
        <v>74</v>
      </c>
      <c r="AS664" t="s">
        <v>74</v>
      </c>
      <c r="AT664" t="s">
        <v>74</v>
      </c>
      <c r="AU664">
        <v>2012</v>
      </c>
      <c r="AV664" t="s">
        <v>74</v>
      </c>
      <c r="AW664" t="s">
        <v>74</v>
      </c>
      <c r="AX664" t="s">
        <v>74</v>
      </c>
      <c r="AY664" t="s">
        <v>74</v>
      </c>
      <c r="AZ664" t="s">
        <v>74</v>
      </c>
      <c r="BA664" t="s">
        <v>74</v>
      </c>
      <c r="BB664">
        <v>135</v>
      </c>
      <c r="BC664" t="s">
        <v>1734</v>
      </c>
      <c r="BD664" t="s">
        <v>74</v>
      </c>
      <c r="BE664" t="s">
        <v>74</v>
      </c>
      <c r="BF664" t="s">
        <v>74</v>
      </c>
      <c r="BG664" t="s">
        <v>74</v>
      </c>
      <c r="BH664" t="s">
        <v>74</v>
      </c>
      <c r="BI664">
        <v>14</v>
      </c>
      <c r="BJ664" t="s">
        <v>12416</v>
      </c>
      <c r="BK664" t="s">
        <v>12417</v>
      </c>
      <c r="BL664" t="s">
        <v>12418</v>
      </c>
      <c r="BM664" t="s">
        <v>12419</v>
      </c>
      <c r="BN664" t="s">
        <v>74</v>
      </c>
      <c r="BO664" t="s">
        <v>74</v>
      </c>
      <c r="BP664" t="s">
        <v>74</v>
      </c>
      <c r="BQ664" t="s">
        <v>74</v>
      </c>
      <c r="BR664" t="s">
        <v>101</v>
      </c>
      <c r="BS664" t="s">
        <v>12437</v>
      </c>
      <c r="BT664" t="str">
        <f>HYPERLINK("https%3A%2F%2Fwww.webofscience.com%2Fwos%2Fwoscc%2Ffull-record%2FWOS:000321009300014","View Full Record in Web of Science")</f>
        <v>View Full Record in Web of Science</v>
      </c>
    </row>
    <row r="665" spans="1:72" x14ac:dyDescent="0.15">
      <c r="A665" t="s">
        <v>12086</v>
      </c>
      <c r="B665" t="s">
        <v>12438</v>
      </c>
      <c r="C665" t="s">
        <v>74</v>
      </c>
      <c r="D665" t="s">
        <v>12439</v>
      </c>
      <c r="E665" t="s">
        <v>74</v>
      </c>
      <c r="F665" t="s">
        <v>12440</v>
      </c>
      <c r="G665" t="s">
        <v>74</v>
      </c>
      <c r="H665" t="s">
        <v>74</v>
      </c>
      <c r="I665" t="s">
        <v>12441</v>
      </c>
      <c r="J665" t="s">
        <v>12442</v>
      </c>
      <c r="K665" t="s">
        <v>12443</v>
      </c>
      <c r="L665" t="s">
        <v>74</v>
      </c>
      <c r="M665" t="s">
        <v>78</v>
      </c>
      <c r="N665" t="s">
        <v>12093</v>
      </c>
      <c r="O665" t="s">
        <v>12444</v>
      </c>
      <c r="P665" t="s">
        <v>12445</v>
      </c>
      <c r="Q665" t="s">
        <v>12446</v>
      </c>
      <c r="R665" t="s">
        <v>74</v>
      </c>
      <c r="S665" t="s">
        <v>74</v>
      </c>
      <c r="T665" t="s">
        <v>12447</v>
      </c>
      <c r="U665" t="s">
        <v>74</v>
      </c>
      <c r="V665" t="s">
        <v>12448</v>
      </c>
      <c r="W665" t="s">
        <v>12449</v>
      </c>
      <c r="X665" t="s">
        <v>12450</v>
      </c>
      <c r="Y665" t="s">
        <v>12451</v>
      </c>
      <c r="Z665" t="s">
        <v>12452</v>
      </c>
      <c r="AA665" t="s">
        <v>12453</v>
      </c>
      <c r="AB665" t="s">
        <v>12454</v>
      </c>
      <c r="AC665" t="s">
        <v>74</v>
      </c>
      <c r="AD665" t="s">
        <v>74</v>
      </c>
      <c r="AE665" t="s">
        <v>74</v>
      </c>
      <c r="AF665" t="s">
        <v>74</v>
      </c>
      <c r="AG665">
        <v>5</v>
      </c>
      <c r="AH665">
        <v>0</v>
      </c>
      <c r="AI665">
        <v>0</v>
      </c>
      <c r="AJ665">
        <v>0</v>
      </c>
      <c r="AK665">
        <v>5</v>
      </c>
      <c r="AL665" t="s">
        <v>12455</v>
      </c>
      <c r="AM665" t="s">
        <v>12456</v>
      </c>
      <c r="AN665" t="s">
        <v>12457</v>
      </c>
      <c r="AO665" t="s">
        <v>12458</v>
      </c>
      <c r="AP665" t="s">
        <v>74</v>
      </c>
      <c r="AQ665" t="s">
        <v>12459</v>
      </c>
      <c r="AR665" t="s">
        <v>12460</v>
      </c>
      <c r="AS665" t="s">
        <v>74</v>
      </c>
      <c r="AT665" t="s">
        <v>74</v>
      </c>
      <c r="AU665">
        <v>2012</v>
      </c>
      <c r="AV665" t="s">
        <v>12461</v>
      </c>
      <c r="AW665" t="s">
        <v>74</v>
      </c>
      <c r="AX665" t="s">
        <v>12462</v>
      </c>
      <c r="AY665" t="s">
        <v>74</v>
      </c>
      <c r="AZ665" t="s">
        <v>74</v>
      </c>
      <c r="BA665" t="s">
        <v>74</v>
      </c>
      <c r="BB665">
        <v>838</v>
      </c>
      <c r="BC665">
        <v>841</v>
      </c>
      <c r="BD665" t="s">
        <v>74</v>
      </c>
      <c r="BE665" t="s">
        <v>12463</v>
      </c>
      <c r="BF665" t="str">
        <f>HYPERLINK("http://dx.doi.org/10.4028/www.scientific.net/AMM.204-208.838","http://dx.doi.org/10.4028/www.scientific.net/AMM.204-208.838")</f>
        <v>http://dx.doi.org/10.4028/www.scientific.net/AMM.204-208.838</v>
      </c>
      <c r="BG665" t="s">
        <v>74</v>
      </c>
      <c r="BH665" t="s">
        <v>74</v>
      </c>
      <c r="BI665">
        <v>4</v>
      </c>
      <c r="BJ665" t="s">
        <v>12464</v>
      </c>
      <c r="BK665" t="s">
        <v>12109</v>
      </c>
      <c r="BL665" t="s">
        <v>6941</v>
      </c>
      <c r="BM665" t="s">
        <v>12465</v>
      </c>
      <c r="BN665" t="s">
        <v>74</v>
      </c>
      <c r="BO665" t="s">
        <v>74</v>
      </c>
      <c r="BP665" t="s">
        <v>74</v>
      </c>
      <c r="BQ665" t="s">
        <v>74</v>
      </c>
      <c r="BR665" t="s">
        <v>101</v>
      </c>
      <c r="BS665" t="s">
        <v>12466</v>
      </c>
      <c r="BT665" t="str">
        <f>HYPERLINK("https%3A%2F%2Fwww.webofscience.com%2Fwos%2Fwoscc%2Ffull-record%2FWOS:000318817500161","View Full Record in Web of Science")</f>
        <v>View Full Record in Web of Science</v>
      </c>
    </row>
    <row r="666" spans="1:72" x14ac:dyDescent="0.15">
      <c r="A666" t="s">
        <v>12134</v>
      </c>
      <c r="B666" t="s">
        <v>12467</v>
      </c>
      <c r="C666" t="s">
        <v>74</v>
      </c>
      <c r="D666" t="s">
        <v>12468</v>
      </c>
      <c r="E666" t="s">
        <v>74</v>
      </c>
      <c r="F666" t="s">
        <v>12469</v>
      </c>
      <c r="G666" t="s">
        <v>74</v>
      </c>
      <c r="H666" t="s">
        <v>74</v>
      </c>
      <c r="I666" t="s">
        <v>12470</v>
      </c>
      <c r="J666" t="s">
        <v>12471</v>
      </c>
      <c r="K666" t="s">
        <v>12472</v>
      </c>
      <c r="L666" t="s">
        <v>74</v>
      </c>
      <c r="M666" t="s">
        <v>78</v>
      </c>
      <c r="N666" t="s">
        <v>12473</v>
      </c>
      <c r="O666" t="s">
        <v>74</v>
      </c>
      <c r="P666" t="s">
        <v>74</v>
      </c>
      <c r="Q666" t="s">
        <v>74</v>
      </c>
      <c r="R666" t="s">
        <v>74</v>
      </c>
      <c r="S666" t="s">
        <v>74</v>
      </c>
      <c r="T666" t="s">
        <v>74</v>
      </c>
      <c r="U666" t="s">
        <v>12474</v>
      </c>
      <c r="V666" t="s">
        <v>12475</v>
      </c>
      <c r="W666" t="s">
        <v>12476</v>
      </c>
      <c r="X666" t="s">
        <v>12477</v>
      </c>
      <c r="Y666" t="s">
        <v>12478</v>
      </c>
      <c r="Z666" t="s">
        <v>12479</v>
      </c>
      <c r="AA666" t="s">
        <v>12480</v>
      </c>
      <c r="AB666" t="s">
        <v>12481</v>
      </c>
      <c r="AC666" t="s">
        <v>74</v>
      </c>
      <c r="AD666" t="s">
        <v>74</v>
      </c>
      <c r="AE666" t="s">
        <v>74</v>
      </c>
      <c r="AF666" t="s">
        <v>74</v>
      </c>
      <c r="AG666">
        <v>397</v>
      </c>
      <c r="AH666">
        <v>58</v>
      </c>
      <c r="AI666">
        <v>63</v>
      </c>
      <c r="AJ666">
        <v>4</v>
      </c>
      <c r="AK666">
        <v>90</v>
      </c>
      <c r="AL666" t="s">
        <v>12482</v>
      </c>
      <c r="AM666" t="s">
        <v>1965</v>
      </c>
      <c r="AN666" t="s">
        <v>12483</v>
      </c>
      <c r="AO666" t="s">
        <v>12484</v>
      </c>
      <c r="AP666" t="s">
        <v>12485</v>
      </c>
      <c r="AQ666" t="s">
        <v>12486</v>
      </c>
      <c r="AR666" t="s">
        <v>12487</v>
      </c>
      <c r="AS666" t="s">
        <v>12488</v>
      </c>
      <c r="AT666" t="s">
        <v>74</v>
      </c>
      <c r="AU666">
        <v>2012</v>
      </c>
      <c r="AV666">
        <v>46</v>
      </c>
      <c r="AW666" t="s">
        <v>74</v>
      </c>
      <c r="AX666" t="s">
        <v>74</v>
      </c>
      <c r="AY666" t="s">
        <v>74</v>
      </c>
      <c r="AZ666" t="s">
        <v>74</v>
      </c>
      <c r="BA666" t="s">
        <v>74</v>
      </c>
      <c r="BB666">
        <v>351</v>
      </c>
      <c r="BC666">
        <v>426</v>
      </c>
      <c r="BD666" t="s">
        <v>74</v>
      </c>
      <c r="BE666" t="s">
        <v>12489</v>
      </c>
      <c r="BF666" t="str">
        <f>HYPERLINK("http://dx.doi.org/10.1016/B978-0-12-396992-7.00006-X","http://dx.doi.org/10.1016/B978-0-12-396992-7.00006-X")</f>
        <v>http://dx.doi.org/10.1016/B978-0-12-396992-7.00006-X</v>
      </c>
      <c r="BG666" t="s">
        <v>74</v>
      </c>
      <c r="BH666" t="s">
        <v>74</v>
      </c>
      <c r="BI666">
        <v>76</v>
      </c>
      <c r="BJ666" t="s">
        <v>2422</v>
      </c>
      <c r="BK666" t="s">
        <v>12490</v>
      </c>
      <c r="BL666" t="s">
        <v>1259</v>
      </c>
      <c r="BM666" t="s">
        <v>12491</v>
      </c>
      <c r="BN666" t="s">
        <v>74</v>
      </c>
      <c r="BO666" t="s">
        <v>328</v>
      </c>
      <c r="BP666" t="s">
        <v>74</v>
      </c>
      <c r="BQ666" t="s">
        <v>74</v>
      </c>
      <c r="BR666" t="s">
        <v>101</v>
      </c>
      <c r="BS666" t="s">
        <v>12492</v>
      </c>
      <c r="BT666" t="str">
        <f>HYPERLINK("https%3A%2F%2Fwww.webofscience.com%2Fwos%2Fwoscc%2Ffull-record%2FWOS:000319706500005","View Full Record in Web of Science")</f>
        <v>View Full Record in Web of Science</v>
      </c>
    </row>
    <row r="667" spans="1:72" x14ac:dyDescent="0.15">
      <c r="A667" t="s">
        <v>12086</v>
      </c>
      <c r="B667" t="s">
        <v>12493</v>
      </c>
      <c r="C667" t="s">
        <v>74</v>
      </c>
      <c r="D667" t="s">
        <v>12494</v>
      </c>
      <c r="E667" t="s">
        <v>74</v>
      </c>
      <c r="F667" t="s">
        <v>12495</v>
      </c>
      <c r="G667" t="s">
        <v>74</v>
      </c>
      <c r="H667" t="s">
        <v>74</v>
      </c>
      <c r="I667" t="s">
        <v>12496</v>
      </c>
      <c r="J667" t="s">
        <v>12497</v>
      </c>
      <c r="K667" t="s">
        <v>12387</v>
      </c>
      <c r="L667" t="s">
        <v>74</v>
      </c>
      <c r="M667" t="s">
        <v>78</v>
      </c>
      <c r="N667" t="s">
        <v>12093</v>
      </c>
      <c r="O667" t="s">
        <v>12498</v>
      </c>
      <c r="P667" t="s">
        <v>12499</v>
      </c>
      <c r="Q667" t="s">
        <v>12500</v>
      </c>
      <c r="R667" t="s">
        <v>74</v>
      </c>
      <c r="S667" t="s">
        <v>74</v>
      </c>
      <c r="T667" t="s">
        <v>74</v>
      </c>
      <c r="U667" t="s">
        <v>12501</v>
      </c>
      <c r="V667" t="s">
        <v>12502</v>
      </c>
      <c r="W667" t="s">
        <v>12503</v>
      </c>
      <c r="X667" t="s">
        <v>3775</v>
      </c>
      <c r="Y667" t="s">
        <v>12504</v>
      </c>
      <c r="Z667" t="s">
        <v>12505</v>
      </c>
      <c r="AA667" t="s">
        <v>12506</v>
      </c>
      <c r="AB667" t="s">
        <v>12507</v>
      </c>
      <c r="AC667" t="s">
        <v>12508</v>
      </c>
      <c r="AD667" t="s">
        <v>12509</v>
      </c>
      <c r="AE667" t="s">
        <v>12510</v>
      </c>
      <c r="AF667" t="s">
        <v>74</v>
      </c>
      <c r="AG667">
        <v>30</v>
      </c>
      <c r="AH667">
        <v>2</v>
      </c>
      <c r="AI667">
        <v>2</v>
      </c>
      <c r="AJ667">
        <v>0</v>
      </c>
      <c r="AK667">
        <v>9</v>
      </c>
      <c r="AL667" t="s">
        <v>118</v>
      </c>
      <c r="AM667" t="s">
        <v>119</v>
      </c>
      <c r="AN667" t="s">
        <v>120</v>
      </c>
      <c r="AO667" t="s">
        <v>12401</v>
      </c>
      <c r="AP667" t="s">
        <v>74</v>
      </c>
      <c r="AQ667" t="s">
        <v>12511</v>
      </c>
      <c r="AR667" t="s">
        <v>12403</v>
      </c>
      <c r="AS667" t="s">
        <v>74</v>
      </c>
      <c r="AT667" t="s">
        <v>74</v>
      </c>
      <c r="AU667">
        <v>2012</v>
      </c>
      <c r="AV667">
        <v>200</v>
      </c>
      <c r="AW667" t="s">
        <v>74</v>
      </c>
      <c r="AX667" t="s">
        <v>74</v>
      </c>
      <c r="AY667" t="s">
        <v>74</v>
      </c>
      <c r="AZ667" t="s">
        <v>74</v>
      </c>
      <c r="BA667" t="s">
        <v>74</v>
      </c>
      <c r="BB667">
        <v>77</v>
      </c>
      <c r="BC667" t="s">
        <v>1734</v>
      </c>
      <c r="BD667" t="s">
        <v>74</v>
      </c>
      <c r="BE667" t="s">
        <v>12512</v>
      </c>
      <c r="BF667" t="str">
        <f>HYPERLINK("http://dx.doi.org/10.1029/2012GM001279","http://dx.doi.org/10.1029/2012GM001279")</f>
        <v>http://dx.doi.org/10.1029/2012GM001279</v>
      </c>
      <c r="BG667" t="s">
        <v>74</v>
      </c>
      <c r="BH667" t="s">
        <v>74</v>
      </c>
      <c r="BI667">
        <v>3</v>
      </c>
      <c r="BJ667" t="s">
        <v>128</v>
      </c>
      <c r="BK667" t="s">
        <v>12109</v>
      </c>
      <c r="BL667" t="s">
        <v>128</v>
      </c>
      <c r="BM667" t="s">
        <v>12513</v>
      </c>
      <c r="BN667" t="s">
        <v>74</v>
      </c>
      <c r="BO667" t="s">
        <v>74</v>
      </c>
      <c r="BP667" t="s">
        <v>74</v>
      </c>
      <c r="BQ667" t="s">
        <v>74</v>
      </c>
      <c r="BR667" t="s">
        <v>101</v>
      </c>
      <c r="BS667" t="s">
        <v>12514</v>
      </c>
      <c r="BT667" t="str">
        <f>HYPERLINK("https%3A%2F%2Fwww.webofscience.com%2Fwos%2Fwoscc%2Ffull-record%2FWOS:000320012300008","View Full Record in Web of Science")</f>
        <v>View Full Record in Web of Science</v>
      </c>
    </row>
    <row r="668" spans="1:72" x14ac:dyDescent="0.15">
      <c r="A668" t="s">
        <v>72</v>
      </c>
      <c r="B668" t="s">
        <v>12515</v>
      </c>
      <c r="C668" t="s">
        <v>74</v>
      </c>
      <c r="D668" t="s">
        <v>74</v>
      </c>
      <c r="E668" t="s">
        <v>74</v>
      </c>
      <c r="F668" t="s">
        <v>12516</v>
      </c>
      <c r="G668" t="s">
        <v>74</v>
      </c>
      <c r="H668" t="s">
        <v>74</v>
      </c>
      <c r="I668" t="s">
        <v>12517</v>
      </c>
      <c r="J668" t="s">
        <v>12518</v>
      </c>
      <c r="K668" t="s">
        <v>74</v>
      </c>
      <c r="L668" t="s">
        <v>74</v>
      </c>
      <c r="M668" t="s">
        <v>78</v>
      </c>
      <c r="N668" t="s">
        <v>79</v>
      </c>
      <c r="O668" t="s">
        <v>74</v>
      </c>
      <c r="P668" t="s">
        <v>74</v>
      </c>
      <c r="Q668" t="s">
        <v>74</v>
      </c>
      <c r="R668" t="s">
        <v>74</v>
      </c>
      <c r="S668" t="s">
        <v>74</v>
      </c>
      <c r="T668" t="s">
        <v>74</v>
      </c>
      <c r="U668" t="s">
        <v>12519</v>
      </c>
      <c r="V668" t="s">
        <v>12520</v>
      </c>
      <c r="W668" t="s">
        <v>12521</v>
      </c>
      <c r="X668" t="s">
        <v>3176</v>
      </c>
      <c r="Y668" t="s">
        <v>12522</v>
      </c>
      <c r="Z668" t="s">
        <v>12523</v>
      </c>
      <c r="AA668" t="s">
        <v>74</v>
      </c>
      <c r="AB668" t="s">
        <v>74</v>
      </c>
      <c r="AC668" t="s">
        <v>12524</v>
      </c>
      <c r="AD668" t="s">
        <v>12525</v>
      </c>
      <c r="AE668" t="s">
        <v>12526</v>
      </c>
      <c r="AF668" t="s">
        <v>74</v>
      </c>
      <c r="AG668">
        <v>52</v>
      </c>
      <c r="AH668">
        <v>5</v>
      </c>
      <c r="AI668">
        <v>5</v>
      </c>
      <c r="AJ668">
        <v>0</v>
      </c>
      <c r="AK668">
        <v>5</v>
      </c>
      <c r="AL668" t="s">
        <v>12527</v>
      </c>
      <c r="AM668" t="s">
        <v>12528</v>
      </c>
      <c r="AN668" t="s">
        <v>12529</v>
      </c>
      <c r="AO668" t="s">
        <v>12530</v>
      </c>
      <c r="AP668" t="s">
        <v>74</v>
      </c>
      <c r="AQ668" t="s">
        <v>74</v>
      </c>
      <c r="AR668" t="s">
        <v>12531</v>
      </c>
      <c r="AS668" t="s">
        <v>12532</v>
      </c>
      <c r="AT668" t="s">
        <v>74</v>
      </c>
      <c r="AU668">
        <v>2012</v>
      </c>
      <c r="AV668">
        <v>19</v>
      </c>
      <c r="AW668" t="s">
        <v>74</v>
      </c>
      <c r="AX668" t="s">
        <v>74</v>
      </c>
      <c r="AY668" t="s">
        <v>74</v>
      </c>
      <c r="AZ668" t="s">
        <v>74</v>
      </c>
      <c r="BA668" t="s">
        <v>74</v>
      </c>
      <c r="BB668">
        <v>1</v>
      </c>
      <c r="BC668">
        <v>15</v>
      </c>
      <c r="BD668" t="s">
        <v>74</v>
      </c>
      <c r="BE668" t="s">
        <v>74</v>
      </c>
      <c r="BF668" t="s">
        <v>74</v>
      </c>
      <c r="BG668" t="s">
        <v>74</v>
      </c>
      <c r="BH668" t="s">
        <v>74</v>
      </c>
      <c r="BI668">
        <v>15</v>
      </c>
      <c r="BJ668" t="s">
        <v>609</v>
      </c>
      <c r="BK668" t="s">
        <v>99</v>
      </c>
      <c r="BL668" t="s">
        <v>609</v>
      </c>
      <c r="BM668" t="s">
        <v>12533</v>
      </c>
      <c r="BN668" t="s">
        <v>74</v>
      </c>
      <c r="BO668" t="s">
        <v>74</v>
      </c>
      <c r="BP668" t="s">
        <v>74</v>
      </c>
      <c r="BQ668" t="s">
        <v>74</v>
      </c>
      <c r="BR668" t="s">
        <v>101</v>
      </c>
      <c r="BS668" t="s">
        <v>12534</v>
      </c>
      <c r="BT668" t="str">
        <f>HYPERLINK("https%3A%2F%2Fwww.webofscience.com%2Fwos%2Fwoscc%2Ffull-record%2FWOS:000318781400001","View Full Record in Web of Science")</f>
        <v>View Full Record in Web of Science</v>
      </c>
    </row>
    <row r="669" spans="1:72" x14ac:dyDescent="0.15">
      <c r="A669" t="s">
        <v>72</v>
      </c>
      <c r="B669" t="s">
        <v>12535</v>
      </c>
      <c r="C669" t="s">
        <v>74</v>
      </c>
      <c r="D669" t="s">
        <v>74</v>
      </c>
      <c r="E669" t="s">
        <v>74</v>
      </c>
      <c r="F669" t="s">
        <v>12536</v>
      </c>
      <c r="G669" t="s">
        <v>74</v>
      </c>
      <c r="H669" t="s">
        <v>74</v>
      </c>
      <c r="I669" t="s">
        <v>12537</v>
      </c>
      <c r="J669" t="s">
        <v>12518</v>
      </c>
      <c r="K669" t="s">
        <v>74</v>
      </c>
      <c r="L669" t="s">
        <v>74</v>
      </c>
      <c r="M669" t="s">
        <v>78</v>
      </c>
      <c r="N669" t="s">
        <v>79</v>
      </c>
      <c r="O669" t="s">
        <v>74</v>
      </c>
      <c r="P669" t="s">
        <v>74</v>
      </c>
      <c r="Q669" t="s">
        <v>74</v>
      </c>
      <c r="R669" t="s">
        <v>74</v>
      </c>
      <c r="S669" t="s">
        <v>74</v>
      </c>
      <c r="T669" t="s">
        <v>74</v>
      </c>
      <c r="U669" t="s">
        <v>74</v>
      </c>
      <c r="V669" t="s">
        <v>12538</v>
      </c>
      <c r="W669" t="s">
        <v>12539</v>
      </c>
      <c r="X669" t="s">
        <v>12540</v>
      </c>
      <c r="Y669" t="s">
        <v>12541</v>
      </c>
      <c r="Z669" t="s">
        <v>12542</v>
      </c>
      <c r="AA669" t="s">
        <v>74</v>
      </c>
      <c r="AB669" t="s">
        <v>74</v>
      </c>
      <c r="AC669" t="s">
        <v>12543</v>
      </c>
      <c r="AD669" t="s">
        <v>12544</v>
      </c>
      <c r="AE669" t="s">
        <v>12545</v>
      </c>
      <c r="AF669" t="s">
        <v>74</v>
      </c>
      <c r="AG669">
        <v>12</v>
      </c>
      <c r="AH669">
        <v>5</v>
      </c>
      <c r="AI669">
        <v>6</v>
      </c>
      <c r="AJ669">
        <v>0</v>
      </c>
      <c r="AK669">
        <v>13</v>
      </c>
      <c r="AL669" t="s">
        <v>12527</v>
      </c>
      <c r="AM669" t="s">
        <v>12528</v>
      </c>
      <c r="AN669" t="s">
        <v>12529</v>
      </c>
      <c r="AO669" t="s">
        <v>12530</v>
      </c>
      <c r="AP669" t="s">
        <v>74</v>
      </c>
      <c r="AQ669" t="s">
        <v>74</v>
      </c>
      <c r="AR669" t="s">
        <v>12531</v>
      </c>
      <c r="AS669" t="s">
        <v>12532</v>
      </c>
      <c r="AT669" t="s">
        <v>74</v>
      </c>
      <c r="AU669">
        <v>2012</v>
      </c>
      <c r="AV669">
        <v>19</v>
      </c>
      <c r="AW669" t="s">
        <v>74</v>
      </c>
      <c r="AX669" t="s">
        <v>74</v>
      </c>
      <c r="AY669" t="s">
        <v>74</v>
      </c>
      <c r="AZ669" t="s">
        <v>74</v>
      </c>
      <c r="BA669" t="s">
        <v>74</v>
      </c>
      <c r="BB669">
        <v>17</v>
      </c>
      <c r="BC669">
        <v>30</v>
      </c>
      <c r="BD669" t="s">
        <v>74</v>
      </c>
      <c r="BE669" t="s">
        <v>74</v>
      </c>
      <c r="BF669" t="s">
        <v>74</v>
      </c>
      <c r="BG669" t="s">
        <v>74</v>
      </c>
      <c r="BH669" t="s">
        <v>74</v>
      </c>
      <c r="BI669">
        <v>14</v>
      </c>
      <c r="BJ669" t="s">
        <v>609</v>
      </c>
      <c r="BK669" t="s">
        <v>99</v>
      </c>
      <c r="BL669" t="s">
        <v>609</v>
      </c>
      <c r="BM669" t="s">
        <v>12533</v>
      </c>
      <c r="BN669" t="s">
        <v>74</v>
      </c>
      <c r="BO669" t="s">
        <v>74</v>
      </c>
      <c r="BP669" t="s">
        <v>74</v>
      </c>
      <c r="BQ669" t="s">
        <v>74</v>
      </c>
      <c r="BR669" t="s">
        <v>101</v>
      </c>
      <c r="BS669" t="s">
        <v>12546</v>
      </c>
      <c r="BT669" t="str">
        <f>HYPERLINK("https%3A%2F%2Fwww.webofscience.com%2Fwos%2Fwoscc%2Ffull-record%2FWOS:000318781400002","View Full Record in Web of Science")</f>
        <v>View Full Record in Web of Science</v>
      </c>
    </row>
    <row r="670" spans="1:72" x14ac:dyDescent="0.15">
      <c r="A670" t="s">
        <v>72</v>
      </c>
      <c r="B670" t="s">
        <v>12547</v>
      </c>
      <c r="C670" t="s">
        <v>74</v>
      </c>
      <c r="D670" t="s">
        <v>74</v>
      </c>
      <c r="E670" t="s">
        <v>74</v>
      </c>
      <c r="F670" t="s">
        <v>12548</v>
      </c>
      <c r="G670" t="s">
        <v>74</v>
      </c>
      <c r="H670" t="s">
        <v>74</v>
      </c>
      <c r="I670" t="s">
        <v>12549</v>
      </c>
      <c r="J670" t="s">
        <v>12518</v>
      </c>
      <c r="K670" t="s">
        <v>74</v>
      </c>
      <c r="L670" t="s">
        <v>74</v>
      </c>
      <c r="M670" t="s">
        <v>78</v>
      </c>
      <c r="N670" t="s">
        <v>79</v>
      </c>
      <c r="O670" t="s">
        <v>74</v>
      </c>
      <c r="P670" t="s">
        <v>74</v>
      </c>
      <c r="Q670" t="s">
        <v>74</v>
      </c>
      <c r="R670" t="s">
        <v>74</v>
      </c>
      <c r="S670" t="s">
        <v>74</v>
      </c>
      <c r="T670" t="s">
        <v>74</v>
      </c>
      <c r="U670" t="s">
        <v>12550</v>
      </c>
      <c r="V670" t="s">
        <v>12551</v>
      </c>
      <c r="W670" t="s">
        <v>12552</v>
      </c>
      <c r="X670" t="s">
        <v>12553</v>
      </c>
      <c r="Y670" t="s">
        <v>12554</v>
      </c>
      <c r="Z670" t="s">
        <v>12555</v>
      </c>
      <c r="AA670" t="s">
        <v>74</v>
      </c>
      <c r="AB670" t="s">
        <v>74</v>
      </c>
      <c r="AC670" t="s">
        <v>74</v>
      </c>
      <c r="AD670" t="s">
        <v>74</v>
      </c>
      <c r="AE670" t="s">
        <v>74</v>
      </c>
      <c r="AF670" t="s">
        <v>74</v>
      </c>
      <c r="AG670">
        <v>22</v>
      </c>
      <c r="AH670">
        <v>2</v>
      </c>
      <c r="AI670">
        <v>3</v>
      </c>
      <c r="AJ670">
        <v>0</v>
      </c>
      <c r="AK670">
        <v>10</v>
      </c>
      <c r="AL670" t="s">
        <v>12527</v>
      </c>
      <c r="AM670" t="s">
        <v>12528</v>
      </c>
      <c r="AN670" t="s">
        <v>12529</v>
      </c>
      <c r="AO670" t="s">
        <v>12530</v>
      </c>
      <c r="AP670" t="s">
        <v>74</v>
      </c>
      <c r="AQ670" t="s">
        <v>74</v>
      </c>
      <c r="AR670" t="s">
        <v>12531</v>
      </c>
      <c r="AS670" t="s">
        <v>12532</v>
      </c>
      <c r="AT670" t="s">
        <v>74</v>
      </c>
      <c r="AU670">
        <v>2012</v>
      </c>
      <c r="AV670">
        <v>19</v>
      </c>
      <c r="AW670" t="s">
        <v>74</v>
      </c>
      <c r="AX670" t="s">
        <v>74</v>
      </c>
      <c r="AY670" t="s">
        <v>74</v>
      </c>
      <c r="AZ670" t="s">
        <v>74</v>
      </c>
      <c r="BA670" t="s">
        <v>74</v>
      </c>
      <c r="BB670">
        <v>31</v>
      </c>
      <c r="BC670">
        <v>47</v>
      </c>
      <c r="BD670" t="s">
        <v>74</v>
      </c>
      <c r="BE670" t="s">
        <v>74</v>
      </c>
      <c r="BF670" t="s">
        <v>74</v>
      </c>
      <c r="BG670" t="s">
        <v>74</v>
      </c>
      <c r="BH670" t="s">
        <v>74</v>
      </c>
      <c r="BI670">
        <v>17</v>
      </c>
      <c r="BJ670" t="s">
        <v>609</v>
      </c>
      <c r="BK670" t="s">
        <v>99</v>
      </c>
      <c r="BL670" t="s">
        <v>609</v>
      </c>
      <c r="BM670" t="s">
        <v>12533</v>
      </c>
      <c r="BN670" t="s">
        <v>74</v>
      </c>
      <c r="BO670" t="s">
        <v>74</v>
      </c>
      <c r="BP670" t="s">
        <v>74</v>
      </c>
      <c r="BQ670" t="s">
        <v>74</v>
      </c>
      <c r="BR670" t="s">
        <v>101</v>
      </c>
      <c r="BS670" t="s">
        <v>12556</v>
      </c>
      <c r="BT670" t="str">
        <f>HYPERLINK("https%3A%2F%2Fwww.webofscience.com%2Fwos%2Fwoscc%2Ffull-record%2FWOS:000318781400003","View Full Record in Web of Science")</f>
        <v>View Full Record in Web of Science</v>
      </c>
    </row>
    <row r="671" spans="1:72" x14ac:dyDescent="0.15">
      <c r="A671" t="s">
        <v>72</v>
      </c>
      <c r="B671" t="s">
        <v>12557</v>
      </c>
      <c r="C671" t="s">
        <v>74</v>
      </c>
      <c r="D671" t="s">
        <v>74</v>
      </c>
      <c r="E671" t="s">
        <v>74</v>
      </c>
      <c r="F671" t="s">
        <v>12558</v>
      </c>
      <c r="G671" t="s">
        <v>74</v>
      </c>
      <c r="H671" t="s">
        <v>74</v>
      </c>
      <c r="I671" t="s">
        <v>12559</v>
      </c>
      <c r="J671" t="s">
        <v>12518</v>
      </c>
      <c r="K671" t="s">
        <v>74</v>
      </c>
      <c r="L671" t="s">
        <v>74</v>
      </c>
      <c r="M671" t="s">
        <v>78</v>
      </c>
      <c r="N671" t="s">
        <v>79</v>
      </c>
      <c r="O671" t="s">
        <v>74</v>
      </c>
      <c r="P671" t="s">
        <v>74</v>
      </c>
      <c r="Q671" t="s">
        <v>74</v>
      </c>
      <c r="R671" t="s">
        <v>74</v>
      </c>
      <c r="S671" t="s">
        <v>74</v>
      </c>
      <c r="T671" t="s">
        <v>74</v>
      </c>
      <c r="U671" t="s">
        <v>12560</v>
      </c>
      <c r="V671" t="s">
        <v>12561</v>
      </c>
      <c r="W671" t="s">
        <v>12562</v>
      </c>
      <c r="X671" t="s">
        <v>12563</v>
      </c>
      <c r="Y671" t="s">
        <v>12564</v>
      </c>
      <c r="Z671" t="s">
        <v>12565</v>
      </c>
      <c r="AA671" t="s">
        <v>12566</v>
      </c>
      <c r="AB671" t="s">
        <v>12567</v>
      </c>
      <c r="AC671" t="s">
        <v>12568</v>
      </c>
      <c r="AD671" t="s">
        <v>4855</v>
      </c>
      <c r="AE671" t="s">
        <v>74</v>
      </c>
      <c r="AF671" t="s">
        <v>74</v>
      </c>
      <c r="AG671">
        <v>321</v>
      </c>
      <c r="AH671">
        <v>34</v>
      </c>
      <c r="AI671">
        <v>36</v>
      </c>
      <c r="AJ671">
        <v>1</v>
      </c>
      <c r="AK671">
        <v>35</v>
      </c>
      <c r="AL671" t="s">
        <v>12527</v>
      </c>
      <c r="AM671" t="s">
        <v>12528</v>
      </c>
      <c r="AN671" t="s">
        <v>12529</v>
      </c>
      <c r="AO671" t="s">
        <v>12530</v>
      </c>
      <c r="AP671" t="s">
        <v>74</v>
      </c>
      <c r="AQ671" t="s">
        <v>74</v>
      </c>
      <c r="AR671" t="s">
        <v>12531</v>
      </c>
      <c r="AS671" t="s">
        <v>12532</v>
      </c>
      <c r="AT671" t="s">
        <v>74</v>
      </c>
      <c r="AU671">
        <v>2012</v>
      </c>
      <c r="AV671">
        <v>19</v>
      </c>
      <c r="AW671" t="s">
        <v>74</v>
      </c>
      <c r="AX671" t="s">
        <v>74</v>
      </c>
      <c r="AY671" t="s">
        <v>74</v>
      </c>
      <c r="AZ671" t="s">
        <v>74</v>
      </c>
      <c r="BA671" t="s">
        <v>74</v>
      </c>
      <c r="BB671">
        <v>115</v>
      </c>
      <c r="BC671">
        <v>169</v>
      </c>
      <c r="BD671" t="s">
        <v>74</v>
      </c>
      <c r="BE671" t="s">
        <v>74</v>
      </c>
      <c r="BF671" t="s">
        <v>74</v>
      </c>
      <c r="BG671" t="s">
        <v>74</v>
      </c>
      <c r="BH671" t="s">
        <v>74</v>
      </c>
      <c r="BI671">
        <v>55</v>
      </c>
      <c r="BJ671" t="s">
        <v>609</v>
      </c>
      <c r="BK671" t="s">
        <v>99</v>
      </c>
      <c r="BL671" t="s">
        <v>609</v>
      </c>
      <c r="BM671" t="s">
        <v>12533</v>
      </c>
      <c r="BN671" t="s">
        <v>74</v>
      </c>
      <c r="BO671" t="s">
        <v>74</v>
      </c>
      <c r="BP671" t="s">
        <v>74</v>
      </c>
      <c r="BQ671" t="s">
        <v>74</v>
      </c>
      <c r="BR671" t="s">
        <v>101</v>
      </c>
      <c r="BS671" t="s">
        <v>12569</v>
      </c>
      <c r="BT671" t="str">
        <f>HYPERLINK("https%3A%2F%2Fwww.webofscience.com%2Fwos%2Fwoscc%2Ffull-record%2FWOS:000318781400006","View Full Record in Web of Science")</f>
        <v>View Full Record in Web of Science</v>
      </c>
    </row>
    <row r="672" spans="1:72" x14ac:dyDescent="0.15">
      <c r="A672" t="s">
        <v>72</v>
      </c>
      <c r="B672" t="s">
        <v>12570</v>
      </c>
      <c r="C672" t="s">
        <v>74</v>
      </c>
      <c r="D672" t="s">
        <v>74</v>
      </c>
      <c r="E672" t="s">
        <v>74</v>
      </c>
      <c r="F672" t="s">
        <v>12571</v>
      </c>
      <c r="G672" t="s">
        <v>74</v>
      </c>
      <c r="H672" t="s">
        <v>74</v>
      </c>
      <c r="I672" t="s">
        <v>12572</v>
      </c>
      <c r="J672" t="s">
        <v>12518</v>
      </c>
      <c r="K672" t="s">
        <v>74</v>
      </c>
      <c r="L672" t="s">
        <v>74</v>
      </c>
      <c r="M672" t="s">
        <v>78</v>
      </c>
      <c r="N672" t="s">
        <v>79</v>
      </c>
      <c r="O672" t="s">
        <v>74</v>
      </c>
      <c r="P672" t="s">
        <v>74</v>
      </c>
      <c r="Q672" t="s">
        <v>74</v>
      </c>
      <c r="R672" t="s">
        <v>74</v>
      </c>
      <c r="S672" t="s">
        <v>74</v>
      </c>
      <c r="T672" t="s">
        <v>74</v>
      </c>
      <c r="U672" t="s">
        <v>12573</v>
      </c>
      <c r="V672" t="s">
        <v>12574</v>
      </c>
      <c r="W672" t="s">
        <v>12575</v>
      </c>
      <c r="X672" t="s">
        <v>12576</v>
      </c>
      <c r="Y672" t="s">
        <v>12577</v>
      </c>
      <c r="Z672" t="s">
        <v>12578</v>
      </c>
      <c r="AA672" t="s">
        <v>12579</v>
      </c>
      <c r="AB672" t="s">
        <v>74</v>
      </c>
      <c r="AC672" t="s">
        <v>12568</v>
      </c>
      <c r="AD672" t="s">
        <v>4855</v>
      </c>
      <c r="AE672" t="s">
        <v>74</v>
      </c>
      <c r="AF672" t="s">
        <v>74</v>
      </c>
      <c r="AG672">
        <v>368</v>
      </c>
      <c r="AH672">
        <v>84</v>
      </c>
      <c r="AI672">
        <v>93</v>
      </c>
      <c r="AJ672">
        <v>2</v>
      </c>
      <c r="AK672">
        <v>96</v>
      </c>
      <c r="AL672" t="s">
        <v>12527</v>
      </c>
      <c r="AM672" t="s">
        <v>12528</v>
      </c>
      <c r="AN672" t="s">
        <v>12529</v>
      </c>
      <c r="AO672" t="s">
        <v>12530</v>
      </c>
      <c r="AP672" t="s">
        <v>74</v>
      </c>
      <c r="AQ672" t="s">
        <v>74</v>
      </c>
      <c r="AR672" t="s">
        <v>12531</v>
      </c>
      <c r="AS672" t="s">
        <v>12532</v>
      </c>
      <c r="AT672" t="s">
        <v>74</v>
      </c>
      <c r="AU672">
        <v>2012</v>
      </c>
      <c r="AV672">
        <v>19</v>
      </c>
      <c r="AW672" t="s">
        <v>74</v>
      </c>
      <c r="AX672" t="s">
        <v>74</v>
      </c>
      <c r="AY672" t="s">
        <v>74</v>
      </c>
      <c r="AZ672" t="s">
        <v>74</v>
      </c>
      <c r="BA672" t="s">
        <v>74</v>
      </c>
      <c r="BB672">
        <v>171</v>
      </c>
      <c r="BC672">
        <v>218</v>
      </c>
      <c r="BD672" t="s">
        <v>74</v>
      </c>
      <c r="BE672" t="s">
        <v>74</v>
      </c>
      <c r="BF672" t="s">
        <v>74</v>
      </c>
      <c r="BG672" t="s">
        <v>74</v>
      </c>
      <c r="BH672" t="s">
        <v>74</v>
      </c>
      <c r="BI672">
        <v>48</v>
      </c>
      <c r="BJ672" t="s">
        <v>609</v>
      </c>
      <c r="BK672" t="s">
        <v>99</v>
      </c>
      <c r="BL672" t="s">
        <v>609</v>
      </c>
      <c r="BM672" t="s">
        <v>12533</v>
      </c>
      <c r="BN672" t="s">
        <v>74</v>
      </c>
      <c r="BO672" t="s">
        <v>74</v>
      </c>
      <c r="BP672" t="s">
        <v>74</v>
      </c>
      <c r="BQ672" t="s">
        <v>74</v>
      </c>
      <c r="BR672" t="s">
        <v>101</v>
      </c>
      <c r="BS672" t="s">
        <v>12580</v>
      </c>
      <c r="BT672" t="str">
        <f>HYPERLINK("https%3A%2F%2Fwww.webofscience.com%2Fwos%2Fwoscc%2Ffull-record%2FWOS:000318781400007","View Full Record in Web of Science")</f>
        <v>View Full Record in Web of Science</v>
      </c>
    </row>
    <row r="673" spans="1:72" x14ac:dyDescent="0.15">
      <c r="A673" t="s">
        <v>72</v>
      </c>
      <c r="B673" t="s">
        <v>12581</v>
      </c>
      <c r="C673" t="s">
        <v>74</v>
      </c>
      <c r="D673" t="s">
        <v>74</v>
      </c>
      <c r="E673" t="s">
        <v>74</v>
      </c>
      <c r="F673" t="s">
        <v>12582</v>
      </c>
      <c r="G673" t="s">
        <v>74</v>
      </c>
      <c r="H673" t="s">
        <v>74</v>
      </c>
      <c r="I673" t="s">
        <v>12583</v>
      </c>
      <c r="J673" t="s">
        <v>12518</v>
      </c>
      <c r="K673" t="s">
        <v>74</v>
      </c>
      <c r="L673" t="s">
        <v>74</v>
      </c>
      <c r="M673" t="s">
        <v>78</v>
      </c>
      <c r="N673" t="s">
        <v>79</v>
      </c>
      <c r="O673" t="s">
        <v>74</v>
      </c>
      <c r="P673" t="s">
        <v>74</v>
      </c>
      <c r="Q673" t="s">
        <v>74</v>
      </c>
      <c r="R673" t="s">
        <v>74</v>
      </c>
      <c r="S673" t="s">
        <v>74</v>
      </c>
      <c r="T673" t="s">
        <v>74</v>
      </c>
      <c r="U673" t="s">
        <v>12584</v>
      </c>
      <c r="V673" t="s">
        <v>12585</v>
      </c>
      <c r="W673" t="s">
        <v>12586</v>
      </c>
      <c r="X673" t="s">
        <v>12587</v>
      </c>
      <c r="Y673" t="s">
        <v>12588</v>
      </c>
      <c r="Z673" t="s">
        <v>12589</v>
      </c>
      <c r="AA673" t="s">
        <v>12590</v>
      </c>
      <c r="AB673" t="s">
        <v>12591</v>
      </c>
      <c r="AC673" t="s">
        <v>12592</v>
      </c>
      <c r="AD673" t="s">
        <v>12593</v>
      </c>
      <c r="AE673" t="s">
        <v>12594</v>
      </c>
      <c r="AF673" t="s">
        <v>74</v>
      </c>
      <c r="AG673">
        <v>62</v>
      </c>
      <c r="AH673">
        <v>14</v>
      </c>
      <c r="AI673">
        <v>15</v>
      </c>
      <c r="AJ673">
        <v>0</v>
      </c>
      <c r="AK673">
        <v>41</v>
      </c>
      <c r="AL673" t="s">
        <v>12527</v>
      </c>
      <c r="AM673" t="s">
        <v>12528</v>
      </c>
      <c r="AN673" t="s">
        <v>12529</v>
      </c>
      <c r="AO673" t="s">
        <v>12530</v>
      </c>
      <c r="AP673" t="s">
        <v>74</v>
      </c>
      <c r="AQ673" t="s">
        <v>74</v>
      </c>
      <c r="AR673" t="s">
        <v>12531</v>
      </c>
      <c r="AS673" t="s">
        <v>12532</v>
      </c>
      <c r="AT673" t="s">
        <v>74</v>
      </c>
      <c r="AU673">
        <v>2012</v>
      </c>
      <c r="AV673">
        <v>19</v>
      </c>
      <c r="AW673" t="s">
        <v>74</v>
      </c>
      <c r="AX673" t="s">
        <v>74</v>
      </c>
      <c r="AY673" t="s">
        <v>74</v>
      </c>
      <c r="AZ673" t="s">
        <v>74</v>
      </c>
      <c r="BA673" t="s">
        <v>74</v>
      </c>
      <c r="BB673">
        <v>247</v>
      </c>
      <c r="BC673">
        <v>265</v>
      </c>
      <c r="BD673" t="s">
        <v>74</v>
      </c>
      <c r="BE673" t="s">
        <v>74</v>
      </c>
      <c r="BF673" t="s">
        <v>74</v>
      </c>
      <c r="BG673" t="s">
        <v>74</v>
      </c>
      <c r="BH673" t="s">
        <v>74</v>
      </c>
      <c r="BI673">
        <v>19</v>
      </c>
      <c r="BJ673" t="s">
        <v>609</v>
      </c>
      <c r="BK673" t="s">
        <v>99</v>
      </c>
      <c r="BL673" t="s">
        <v>609</v>
      </c>
      <c r="BM673" t="s">
        <v>12533</v>
      </c>
      <c r="BN673" t="s">
        <v>74</v>
      </c>
      <c r="BO673" t="s">
        <v>74</v>
      </c>
      <c r="BP673" t="s">
        <v>74</v>
      </c>
      <c r="BQ673" t="s">
        <v>74</v>
      </c>
      <c r="BR673" t="s">
        <v>101</v>
      </c>
      <c r="BS673" t="s">
        <v>12595</v>
      </c>
      <c r="BT673" t="str">
        <f>HYPERLINK("https%3A%2F%2Fwww.webofscience.com%2Fwos%2Fwoscc%2Ffull-record%2FWOS:000318781400009","View Full Record in Web of Science")</f>
        <v>View Full Record in Web of Science</v>
      </c>
    </row>
    <row r="674" spans="1:72" x14ac:dyDescent="0.15">
      <c r="A674" t="s">
        <v>72</v>
      </c>
      <c r="B674" t="s">
        <v>12596</v>
      </c>
      <c r="C674" t="s">
        <v>74</v>
      </c>
      <c r="D674" t="s">
        <v>74</v>
      </c>
      <c r="E674" t="s">
        <v>74</v>
      </c>
      <c r="F674" t="s">
        <v>12597</v>
      </c>
      <c r="G674" t="s">
        <v>74</v>
      </c>
      <c r="H674" t="s">
        <v>74</v>
      </c>
      <c r="I674" t="s">
        <v>12598</v>
      </c>
      <c r="J674" t="s">
        <v>12599</v>
      </c>
      <c r="K674" t="s">
        <v>74</v>
      </c>
      <c r="L674" t="s">
        <v>74</v>
      </c>
      <c r="M674" t="s">
        <v>78</v>
      </c>
      <c r="N674" t="s">
        <v>79</v>
      </c>
      <c r="O674" t="s">
        <v>74</v>
      </c>
      <c r="P674" t="s">
        <v>74</v>
      </c>
      <c r="Q674" t="s">
        <v>74</v>
      </c>
      <c r="R674" t="s">
        <v>74</v>
      </c>
      <c r="S674" t="s">
        <v>74</v>
      </c>
      <c r="T674" t="s">
        <v>12600</v>
      </c>
      <c r="U674" t="s">
        <v>12601</v>
      </c>
      <c r="V674" t="s">
        <v>12602</v>
      </c>
      <c r="W674" t="s">
        <v>12603</v>
      </c>
      <c r="X674" t="s">
        <v>12604</v>
      </c>
      <c r="Y674" t="s">
        <v>12605</v>
      </c>
      <c r="Z674" t="s">
        <v>12606</v>
      </c>
      <c r="AA674" t="s">
        <v>12607</v>
      </c>
      <c r="AB674" t="s">
        <v>12608</v>
      </c>
      <c r="AC674" t="s">
        <v>12609</v>
      </c>
      <c r="AD674" t="s">
        <v>12610</v>
      </c>
      <c r="AE674" t="s">
        <v>12611</v>
      </c>
      <c r="AF674" t="s">
        <v>74</v>
      </c>
      <c r="AG674">
        <v>37</v>
      </c>
      <c r="AH674">
        <v>7</v>
      </c>
      <c r="AI674">
        <v>7</v>
      </c>
      <c r="AJ674">
        <v>0</v>
      </c>
      <c r="AK674">
        <v>10</v>
      </c>
      <c r="AL674" t="s">
        <v>12612</v>
      </c>
      <c r="AM674" t="s">
        <v>9392</v>
      </c>
      <c r="AN674" t="s">
        <v>12613</v>
      </c>
      <c r="AO674" t="s">
        <v>12614</v>
      </c>
      <c r="AP674" t="s">
        <v>12615</v>
      </c>
      <c r="AQ674" t="s">
        <v>74</v>
      </c>
      <c r="AR674" t="s">
        <v>12616</v>
      </c>
      <c r="AS674" t="s">
        <v>12617</v>
      </c>
      <c r="AT674" t="s">
        <v>74</v>
      </c>
      <c r="AU674">
        <v>2012</v>
      </c>
      <c r="AV674">
        <v>56</v>
      </c>
      <c r="AW674">
        <v>4</v>
      </c>
      <c r="AX674" t="s">
        <v>74</v>
      </c>
      <c r="AY674" t="s">
        <v>74</v>
      </c>
      <c r="AZ674" t="s">
        <v>74</v>
      </c>
      <c r="BA674" t="s">
        <v>74</v>
      </c>
      <c r="BB674">
        <v>765</v>
      </c>
      <c r="BC674">
        <v>772</v>
      </c>
      <c r="BD674" t="s">
        <v>74</v>
      </c>
      <c r="BE674" t="s">
        <v>12618</v>
      </c>
      <c r="BF674" t="str">
        <f>HYPERLINK("http://dx.doi.org/10.7306/gq.1053","http://dx.doi.org/10.7306/gq.1053")</f>
        <v>http://dx.doi.org/10.7306/gq.1053</v>
      </c>
      <c r="BG674" t="s">
        <v>74</v>
      </c>
      <c r="BH674" t="s">
        <v>74</v>
      </c>
      <c r="BI674">
        <v>8</v>
      </c>
      <c r="BJ674" t="s">
        <v>195</v>
      </c>
      <c r="BK674" t="s">
        <v>99</v>
      </c>
      <c r="BL674" t="s">
        <v>195</v>
      </c>
      <c r="BM674" t="s">
        <v>12619</v>
      </c>
      <c r="BN674" t="s">
        <v>74</v>
      </c>
      <c r="BO674" t="s">
        <v>217</v>
      </c>
      <c r="BP674" t="s">
        <v>74</v>
      </c>
      <c r="BQ674" t="s">
        <v>74</v>
      </c>
      <c r="BR674" t="s">
        <v>101</v>
      </c>
      <c r="BS674" t="s">
        <v>12620</v>
      </c>
      <c r="BT674" t="str">
        <f>HYPERLINK("https%3A%2F%2Fwww.webofscience.com%2Fwos%2Fwoscc%2Ffull-record%2FWOS:000317794300012","View Full Record in Web of Science")</f>
        <v>View Full Record in Web of Science</v>
      </c>
    </row>
    <row r="675" spans="1:72" x14ac:dyDescent="0.15">
      <c r="A675" t="s">
        <v>12086</v>
      </c>
      <c r="B675" t="s">
        <v>12621</v>
      </c>
      <c r="C675" t="s">
        <v>74</v>
      </c>
      <c r="D675" t="s">
        <v>74</v>
      </c>
      <c r="E675" t="s">
        <v>12088</v>
      </c>
      <c r="F675" t="s">
        <v>12622</v>
      </c>
      <c r="G675" t="s">
        <v>74</v>
      </c>
      <c r="H675" t="s">
        <v>74</v>
      </c>
      <c r="I675" t="s">
        <v>12623</v>
      </c>
      <c r="J675" t="s">
        <v>12624</v>
      </c>
      <c r="K675" t="s">
        <v>74</v>
      </c>
      <c r="L675" t="s">
        <v>74</v>
      </c>
      <c r="M675" t="s">
        <v>78</v>
      </c>
      <c r="N675" t="s">
        <v>12093</v>
      </c>
      <c r="O675" t="s">
        <v>12625</v>
      </c>
      <c r="P675" t="s">
        <v>12626</v>
      </c>
      <c r="Q675" t="s">
        <v>12627</v>
      </c>
      <c r="R675" t="s">
        <v>74</v>
      </c>
      <c r="S675" t="s">
        <v>12628</v>
      </c>
      <c r="T675" t="s">
        <v>12629</v>
      </c>
      <c r="U675" t="s">
        <v>74</v>
      </c>
      <c r="V675" t="s">
        <v>12630</v>
      </c>
      <c r="W675" t="s">
        <v>12631</v>
      </c>
      <c r="X675" t="s">
        <v>12632</v>
      </c>
      <c r="Y675" t="s">
        <v>12633</v>
      </c>
      <c r="Z675" t="s">
        <v>12634</v>
      </c>
      <c r="AA675" t="s">
        <v>74</v>
      </c>
      <c r="AB675" t="s">
        <v>74</v>
      </c>
      <c r="AC675" t="s">
        <v>74</v>
      </c>
      <c r="AD675" t="s">
        <v>74</v>
      </c>
      <c r="AE675" t="s">
        <v>74</v>
      </c>
      <c r="AF675" t="s">
        <v>74</v>
      </c>
      <c r="AG675">
        <v>3</v>
      </c>
      <c r="AH675">
        <v>0</v>
      </c>
      <c r="AI675">
        <v>0</v>
      </c>
      <c r="AJ675">
        <v>0</v>
      </c>
      <c r="AK675">
        <v>0</v>
      </c>
      <c r="AL675" t="s">
        <v>12088</v>
      </c>
      <c r="AM675" t="s">
        <v>656</v>
      </c>
      <c r="AN675" t="s">
        <v>12104</v>
      </c>
      <c r="AO675" t="s">
        <v>74</v>
      </c>
      <c r="AP675" t="s">
        <v>74</v>
      </c>
      <c r="AQ675" t="s">
        <v>12635</v>
      </c>
      <c r="AR675" t="s">
        <v>74</v>
      </c>
      <c r="AS675" t="s">
        <v>74</v>
      </c>
      <c r="AT675" t="s">
        <v>74</v>
      </c>
      <c r="AU675">
        <v>2012</v>
      </c>
      <c r="AV675" t="s">
        <v>74</v>
      </c>
      <c r="AW675" t="s">
        <v>74</v>
      </c>
      <c r="AX675" t="s">
        <v>74</v>
      </c>
      <c r="AY675" t="s">
        <v>74</v>
      </c>
      <c r="AZ675" t="s">
        <v>74</v>
      </c>
      <c r="BA675" t="s">
        <v>74</v>
      </c>
      <c r="BB675" t="s">
        <v>74</v>
      </c>
      <c r="BC675" t="s">
        <v>74</v>
      </c>
      <c r="BD675" t="s">
        <v>74</v>
      </c>
      <c r="BE675" t="s">
        <v>74</v>
      </c>
      <c r="BF675" t="s">
        <v>74</v>
      </c>
      <c r="BG675" t="s">
        <v>74</v>
      </c>
      <c r="BH675" t="s">
        <v>74</v>
      </c>
      <c r="BI675">
        <v>4</v>
      </c>
      <c r="BJ675" t="s">
        <v>12636</v>
      </c>
      <c r="BK675" t="s">
        <v>12109</v>
      </c>
      <c r="BL675" t="s">
        <v>12349</v>
      </c>
      <c r="BM675" t="s">
        <v>12637</v>
      </c>
      <c r="BN675" t="s">
        <v>74</v>
      </c>
      <c r="BO675" t="s">
        <v>74</v>
      </c>
      <c r="BP675" t="s">
        <v>74</v>
      </c>
      <c r="BQ675" t="s">
        <v>74</v>
      </c>
      <c r="BR675" t="s">
        <v>101</v>
      </c>
      <c r="BS675" t="s">
        <v>12638</v>
      </c>
      <c r="BT675" t="str">
        <f>HYPERLINK("https%3A%2F%2Fwww.webofscience.com%2Fwos%2Fwoscc%2Ffull-record%2FWOS:000316572100075","View Full Record in Web of Science")</f>
        <v>View Full Record in Web of Science</v>
      </c>
    </row>
    <row r="676" spans="1:72" x14ac:dyDescent="0.15">
      <c r="A676" t="s">
        <v>12086</v>
      </c>
      <c r="B676" t="s">
        <v>12639</v>
      </c>
      <c r="C676" t="s">
        <v>74</v>
      </c>
      <c r="D676" t="s">
        <v>74</v>
      </c>
      <c r="E676" t="s">
        <v>12088</v>
      </c>
      <c r="F676" t="s">
        <v>12640</v>
      </c>
      <c r="G676" t="s">
        <v>74</v>
      </c>
      <c r="H676" t="s">
        <v>74</v>
      </c>
      <c r="I676" t="s">
        <v>12641</v>
      </c>
      <c r="J676" t="s">
        <v>12624</v>
      </c>
      <c r="K676" t="s">
        <v>74</v>
      </c>
      <c r="L676" t="s">
        <v>74</v>
      </c>
      <c r="M676" t="s">
        <v>78</v>
      </c>
      <c r="N676" t="s">
        <v>12093</v>
      </c>
      <c r="O676" t="s">
        <v>12625</v>
      </c>
      <c r="P676" t="s">
        <v>12626</v>
      </c>
      <c r="Q676" t="s">
        <v>12627</v>
      </c>
      <c r="R676" t="s">
        <v>74</v>
      </c>
      <c r="S676" t="s">
        <v>12628</v>
      </c>
      <c r="T676" t="s">
        <v>74</v>
      </c>
      <c r="U676" t="s">
        <v>74</v>
      </c>
      <c r="V676" t="s">
        <v>12642</v>
      </c>
      <c r="W676" t="s">
        <v>12643</v>
      </c>
      <c r="X676" t="s">
        <v>12644</v>
      </c>
      <c r="Y676" t="s">
        <v>12645</v>
      </c>
      <c r="Z676" t="s">
        <v>12646</v>
      </c>
      <c r="AA676" t="s">
        <v>74</v>
      </c>
      <c r="AB676" t="s">
        <v>12647</v>
      </c>
      <c r="AC676" t="s">
        <v>74</v>
      </c>
      <c r="AD676" t="s">
        <v>74</v>
      </c>
      <c r="AE676" t="s">
        <v>74</v>
      </c>
      <c r="AF676" t="s">
        <v>74</v>
      </c>
      <c r="AG676">
        <v>4</v>
      </c>
      <c r="AH676">
        <v>0</v>
      </c>
      <c r="AI676">
        <v>0</v>
      </c>
      <c r="AJ676">
        <v>0</v>
      </c>
      <c r="AK676">
        <v>1</v>
      </c>
      <c r="AL676" t="s">
        <v>12088</v>
      </c>
      <c r="AM676" t="s">
        <v>656</v>
      </c>
      <c r="AN676" t="s">
        <v>12104</v>
      </c>
      <c r="AO676" t="s">
        <v>74</v>
      </c>
      <c r="AP676" t="s">
        <v>74</v>
      </c>
      <c r="AQ676" t="s">
        <v>12635</v>
      </c>
      <c r="AR676" t="s">
        <v>74</v>
      </c>
      <c r="AS676" t="s">
        <v>74</v>
      </c>
      <c r="AT676" t="s">
        <v>74</v>
      </c>
      <c r="AU676">
        <v>2012</v>
      </c>
      <c r="AV676" t="s">
        <v>74</v>
      </c>
      <c r="AW676" t="s">
        <v>74</v>
      </c>
      <c r="AX676" t="s">
        <v>74</v>
      </c>
      <c r="AY676" t="s">
        <v>74</v>
      </c>
      <c r="AZ676" t="s">
        <v>74</v>
      </c>
      <c r="BA676" t="s">
        <v>74</v>
      </c>
      <c r="BB676" t="s">
        <v>74</v>
      </c>
      <c r="BC676" t="s">
        <v>74</v>
      </c>
      <c r="BD676" t="s">
        <v>74</v>
      </c>
      <c r="BE676" t="s">
        <v>74</v>
      </c>
      <c r="BF676" t="s">
        <v>74</v>
      </c>
      <c r="BG676" t="s">
        <v>74</v>
      </c>
      <c r="BH676" t="s">
        <v>74</v>
      </c>
      <c r="BI676">
        <v>6</v>
      </c>
      <c r="BJ676" t="s">
        <v>12636</v>
      </c>
      <c r="BK676" t="s">
        <v>12109</v>
      </c>
      <c r="BL676" t="s">
        <v>12349</v>
      </c>
      <c r="BM676" t="s">
        <v>12637</v>
      </c>
      <c r="BN676" t="s">
        <v>74</v>
      </c>
      <c r="BO676" t="s">
        <v>74</v>
      </c>
      <c r="BP676" t="s">
        <v>74</v>
      </c>
      <c r="BQ676" t="s">
        <v>74</v>
      </c>
      <c r="BR676" t="s">
        <v>101</v>
      </c>
      <c r="BS676" t="s">
        <v>12648</v>
      </c>
      <c r="BT676" t="str">
        <f>HYPERLINK("https%3A%2F%2Fwww.webofscience.com%2Fwos%2Fwoscc%2Ffull-record%2FWOS:000316572100071","View Full Record in Web of Science")</f>
        <v>View Full Record in Web of Science</v>
      </c>
    </row>
    <row r="677" spans="1:72" x14ac:dyDescent="0.15">
      <c r="A677" t="s">
        <v>12256</v>
      </c>
      <c r="B677" t="s">
        <v>12649</v>
      </c>
      <c r="C677" t="s">
        <v>12649</v>
      </c>
      <c r="D677" t="s">
        <v>74</v>
      </c>
      <c r="E677" t="s">
        <v>74</v>
      </c>
      <c r="F677" t="s">
        <v>12650</v>
      </c>
      <c r="G677" t="s">
        <v>12649</v>
      </c>
      <c r="H677" t="s">
        <v>74</v>
      </c>
      <c r="I677" t="s">
        <v>12651</v>
      </c>
      <c r="J677" t="s">
        <v>12652</v>
      </c>
      <c r="K677" t="s">
        <v>12653</v>
      </c>
      <c r="L677" t="s">
        <v>74</v>
      </c>
      <c r="M677" t="s">
        <v>78</v>
      </c>
      <c r="N677" t="s">
        <v>12141</v>
      </c>
      <c r="O677" t="s">
        <v>74</v>
      </c>
      <c r="P677" t="s">
        <v>74</v>
      </c>
      <c r="Q677" t="s">
        <v>74</v>
      </c>
      <c r="R677" t="s">
        <v>74</v>
      </c>
      <c r="S677" t="s">
        <v>74</v>
      </c>
      <c r="T677" t="s">
        <v>74</v>
      </c>
      <c r="U677" t="s">
        <v>74</v>
      </c>
      <c r="V677" t="s">
        <v>74</v>
      </c>
      <c r="W677" t="s">
        <v>74</v>
      </c>
      <c r="X677" t="s">
        <v>74</v>
      </c>
      <c r="Y677" t="s">
        <v>74</v>
      </c>
      <c r="Z677" t="s">
        <v>74</v>
      </c>
      <c r="AA677" t="s">
        <v>74</v>
      </c>
      <c r="AB677" t="s">
        <v>74</v>
      </c>
      <c r="AC677" t="s">
        <v>74</v>
      </c>
      <c r="AD677" t="s">
        <v>74</v>
      </c>
      <c r="AE677" t="s">
        <v>74</v>
      </c>
      <c r="AF677" t="s">
        <v>74</v>
      </c>
      <c r="AG677">
        <v>0</v>
      </c>
      <c r="AH677">
        <v>1</v>
      </c>
      <c r="AI677">
        <v>1</v>
      </c>
      <c r="AJ677">
        <v>0</v>
      </c>
      <c r="AK677">
        <v>1</v>
      </c>
      <c r="AL677" t="s">
        <v>12654</v>
      </c>
      <c r="AM677" t="s">
        <v>12655</v>
      </c>
      <c r="AN677" t="s">
        <v>12656</v>
      </c>
      <c r="AO677" t="s">
        <v>74</v>
      </c>
      <c r="AP677" t="s">
        <v>74</v>
      </c>
      <c r="AQ677" t="s">
        <v>12657</v>
      </c>
      <c r="AR677" t="s">
        <v>12658</v>
      </c>
      <c r="AS677" t="s">
        <v>74</v>
      </c>
      <c r="AT677" t="s">
        <v>74</v>
      </c>
      <c r="AU677">
        <v>2012</v>
      </c>
      <c r="AV677" t="s">
        <v>74</v>
      </c>
      <c r="AW677" t="s">
        <v>74</v>
      </c>
      <c r="AX677" t="s">
        <v>74</v>
      </c>
      <c r="AY677" t="s">
        <v>74</v>
      </c>
      <c r="AZ677" t="s">
        <v>74</v>
      </c>
      <c r="BA677" t="s">
        <v>74</v>
      </c>
      <c r="BB677">
        <v>1</v>
      </c>
      <c r="BC677" t="s">
        <v>1734</v>
      </c>
      <c r="BD677" t="s">
        <v>74</v>
      </c>
      <c r="BE677" t="s">
        <v>74</v>
      </c>
      <c r="BF677" t="s">
        <v>74</v>
      </c>
      <c r="BG677" t="s">
        <v>12659</v>
      </c>
      <c r="BH677" t="s">
        <v>74</v>
      </c>
      <c r="BI677">
        <v>19</v>
      </c>
      <c r="BJ677" t="s">
        <v>12660</v>
      </c>
      <c r="BK677" t="s">
        <v>12661</v>
      </c>
      <c r="BL677" t="s">
        <v>12660</v>
      </c>
      <c r="BM677" t="s">
        <v>12662</v>
      </c>
      <c r="BN677" t="s">
        <v>74</v>
      </c>
      <c r="BO677" t="s">
        <v>74</v>
      </c>
      <c r="BP677" t="s">
        <v>74</v>
      </c>
      <c r="BQ677" t="s">
        <v>74</v>
      </c>
      <c r="BR677" t="s">
        <v>101</v>
      </c>
      <c r="BS677" t="s">
        <v>12663</v>
      </c>
      <c r="BT677" t="str">
        <f>HYPERLINK("https%3A%2F%2Fwww.webofscience.com%2Fwos%2Fwoscc%2Ffull-record%2FWOS:000316851300002","View Full Record in Web of Science")</f>
        <v>View Full Record in Web of Science</v>
      </c>
    </row>
    <row r="678" spans="1:72" x14ac:dyDescent="0.15">
      <c r="A678" t="s">
        <v>12086</v>
      </c>
      <c r="B678" t="s">
        <v>12664</v>
      </c>
      <c r="C678" t="s">
        <v>74</v>
      </c>
      <c r="D678" t="s">
        <v>12665</v>
      </c>
      <c r="E678" t="s">
        <v>74</v>
      </c>
      <c r="F678" t="s">
        <v>12666</v>
      </c>
      <c r="G678" t="s">
        <v>74</v>
      </c>
      <c r="H678" t="s">
        <v>74</v>
      </c>
      <c r="I678" t="s">
        <v>12667</v>
      </c>
      <c r="J678" t="s">
        <v>12668</v>
      </c>
      <c r="K678" t="s">
        <v>12669</v>
      </c>
      <c r="L678" t="s">
        <v>74</v>
      </c>
      <c r="M678" t="s">
        <v>78</v>
      </c>
      <c r="N678" t="s">
        <v>12093</v>
      </c>
      <c r="O678" t="s">
        <v>12670</v>
      </c>
      <c r="P678" t="s">
        <v>12671</v>
      </c>
      <c r="Q678" t="s">
        <v>12672</v>
      </c>
      <c r="R678" t="s">
        <v>74</v>
      </c>
      <c r="S678" t="s">
        <v>74</v>
      </c>
      <c r="T678" t="s">
        <v>12673</v>
      </c>
      <c r="U678" t="s">
        <v>74</v>
      </c>
      <c r="V678" t="s">
        <v>12674</v>
      </c>
      <c r="W678" t="s">
        <v>12675</v>
      </c>
      <c r="X678" t="s">
        <v>74</v>
      </c>
      <c r="Y678" t="s">
        <v>12676</v>
      </c>
      <c r="Z678" t="s">
        <v>74</v>
      </c>
      <c r="AA678" t="s">
        <v>74</v>
      </c>
      <c r="AB678" t="s">
        <v>74</v>
      </c>
      <c r="AC678" t="s">
        <v>74</v>
      </c>
      <c r="AD678" t="s">
        <v>74</v>
      </c>
      <c r="AE678" t="s">
        <v>74</v>
      </c>
      <c r="AF678" t="s">
        <v>74</v>
      </c>
      <c r="AG678">
        <v>0</v>
      </c>
      <c r="AH678">
        <v>0</v>
      </c>
      <c r="AI678">
        <v>0</v>
      </c>
      <c r="AJ678">
        <v>0</v>
      </c>
      <c r="AK678">
        <v>5</v>
      </c>
      <c r="AL678" t="s">
        <v>12677</v>
      </c>
      <c r="AM678" t="s">
        <v>12678</v>
      </c>
      <c r="AN678" t="s">
        <v>12679</v>
      </c>
      <c r="AO678" t="s">
        <v>12680</v>
      </c>
      <c r="AP678" t="s">
        <v>12681</v>
      </c>
      <c r="AQ678" t="s">
        <v>12682</v>
      </c>
      <c r="AR678" t="s">
        <v>12683</v>
      </c>
      <c r="AS678" t="s">
        <v>74</v>
      </c>
      <c r="AT678" t="s">
        <v>74</v>
      </c>
      <c r="AU678">
        <v>2012</v>
      </c>
      <c r="AV678">
        <v>8696</v>
      </c>
      <c r="AW678" t="s">
        <v>74</v>
      </c>
      <c r="AX678" t="s">
        <v>74</v>
      </c>
      <c r="AY678" t="s">
        <v>74</v>
      </c>
      <c r="AZ678" t="s">
        <v>74</v>
      </c>
      <c r="BA678" t="s">
        <v>74</v>
      </c>
      <c r="BB678" t="s">
        <v>74</v>
      </c>
      <c r="BC678" t="s">
        <v>74</v>
      </c>
      <c r="BD678">
        <v>869602</v>
      </c>
      <c r="BE678" t="s">
        <v>12684</v>
      </c>
      <c r="BF678" t="str">
        <f>HYPERLINK("http://dx.doi.org/10.1117/12.2008441","http://dx.doi.org/10.1117/12.2008441")</f>
        <v>http://dx.doi.org/10.1117/12.2008441</v>
      </c>
      <c r="BG678" t="s">
        <v>74</v>
      </c>
      <c r="BH678" t="s">
        <v>74</v>
      </c>
      <c r="BI678">
        <v>6</v>
      </c>
      <c r="BJ678" t="s">
        <v>12685</v>
      </c>
      <c r="BK678" t="s">
        <v>12109</v>
      </c>
      <c r="BL678" t="s">
        <v>12685</v>
      </c>
      <c r="BM678" t="s">
        <v>12686</v>
      </c>
      <c r="BN678" t="s">
        <v>74</v>
      </c>
      <c r="BO678" t="s">
        <v>74</v>
      </c>
      <c r="BP678" t="s">
        <v>74</v>
      </c>
      <c r="BQ678" t="s">
        <v>74</v>
      </c>
      <c r="BR678" t="s">
        <v>101</v>
      </c>
      <c r="BS678" t="s">
        <v>12687</v>
      </c>
      <c r="BT678" t="str">
        <f>HYPERLINK("https%3A%2F%2Fwww.webofscience.com%2Fwos%2Fwoscc%2Ffull-record%2FWOS:000316691600002","View Full Record in Web of Science")</f>
        <v>View Full Record in Web of Science</v>
      </c>
    </row>
    <row r="679" spans="1:72" x14ac:dyDescent="0.15">
      <c r="A679" t="s">
        <v>12086</v>
      </c>
      <c r="B679" t="s">
        <v>12688</v>
      </c>
      <c r="C679" t="s">
        <v>74</v>
      </c>
      <c r="D679" t="s">
        <v>12689</v>
      </c>
      <c r="E679" t="s">
        <v>74</v>
      </c>
      <c r="F679" t="s">
        <v>12690</v>
      </c>
      <c r="G679" t="s">
        <v>74</v>
      </c>
      <c r="H679" t="s">
        <v>74</v>
      </c>
      <c r="I679" t="s">
        <v>12691</v>
      </c>
      <c r="J679" t="s">
        <v>12692</v>
      </c>
      <c r="K679" t="s">
        <v>12669</v>
      </c>
      <c r="L679" t="s">
        <v>74</v>
      </c>
      <c r="M679" t="s">
        <v>78</v>
      </c>
      <c r="N679" t="s">
        <v>12093</v>
      </c>
      <c r="O679" t="s">
        <v>12693</v>
      </c>
      <c r="P679" t="s">
        <v>12694</v>
      </c>
      <c r="Q679" t="s">
        <v>12695</v>
      </c>
      <c r="R679" t="s">
        <v>74</v>
      </c>
      <c r="S679" t="s">
        <v>74</v>
      </c>
      <c r="T679" t="s">
        <v>12696</v>
      </c>
      <c r="U679" t="s">
        <v>12697</v>
      </c>
      <c r="V679" t="s">
        <v>12698</v>
      </c>
      <c r="W679" t="s">
        <v>12699</v>
      </c>
      <c r="X679" t="s">
        <v>12700</v>
      </c>
      <c r="Y679" t="s">
        <v>12701</v>
      </c>
      <c r="Z679" t="s">
        <v>12702</v>
      </c>
      <c r="AA679" t="s">
        <v>12703</v>
      </c>
      <c r="AB679" t="s">
        <v>12704</v>
      </c>
      <c r="AC679" t="s">
        <v>12705</v>
      </c>
      <c r="AD679" t="s">
        <v>12706</v>
      </c>
      <c r="AE679" t="s">
        <v>12707</v>
      </c>
      <c r="AF679" t="s">
        <v>74</v>
      </c>
      <c r="AG679">
        <v>39</v>
      </c>
      <c r="AH679">
        <v>2</v>
      </c>
      <c r="AI679">
        <v>2</v>
      </c>
      <c r="AJ679">
        <v>0</v>
      </c>
      <c r="AK679">
        <v>5</v>
      </c>
      <c r="AL679" t="s">
        <v>12677</v>
      </c>
      <c r="AM679" t="s">
        <v>12678</v>
      </c>
      <c r="AN679" t="s">
        <v>12679</v>
      </c>
      <c r="AO679" t="s">
        <v>12680</v>
      </c>
      <c r="AP679" t="s">
        <v>12681</v>
      </c>
      <c r="AQ679" t="s">
        <v>12708</v>
      </c>
      <c r="AR679" t="s">
        <v>12683</v>
      </c>
      <c r="AS679" t="s">
        <v>74</v>
      </c>
      <c r="AT679" t="s">
        <v>74</v>
      </c>
      <c r="AU679">
        <v>2012</v>
      </c>
      <c r="AV679">
        <v>8523</v>
      </c>
      <c r="AW679" t="s">
        <v>74</v>
      </c>
      <c r="AX679" t="s">
        <v>74</v>
      </c>
      <c r="AY679" t="s">
        <v>74</v>
      </c>
      <c r="AZ679" t="s">
        <v>74</v>
      </c>
      <c r="BA679" t="s">
        <v>74</v>
      </c>
      <c r="BB679" t="s">
        <v>74</v>
      </c>
      <c r="BC679" t="s">
        <v>74</v>
      </c>
      <c r="BD679" t="s">
        <v>12709</v>
      </c>
      <c r="BE679" t="s">
        <v>12710</v>
      </c>
      <c r="BF679" t="str">
        <f>HYPERLINK("http://dx.doi.org/10.1117/12.975667","http://dx.doi.org/10.1117/12.975667")</f>
        <v>http://dx.doi.org/10.1117/12.975667</v>
      </c>
      <c r="BG679" t="s">
        <v>74</v>
      </c>
      <c r="BH679" t="s">
        <v>74</v>
      </c>
      <c r="BI679">
        <v>9</v>
      </c>
      <c r="BJ679" t="s">
        <v>12711</v>
      </c>
      <c r="BK679" t="s">
        <v>12109</v>
      </c>
      <c r="BL679" t="s">
        <v>12711</v>
      </c>
      <c r="BM679" t="s">
        <v>12712</v>
      </c>
      <c r="BN679" t="s">
        <v>74</v>
      </c>
      <c r="BO679" t="s">
        <v>74</v>
      </c>
      <c r="BP679" t="s">
        <v>74</v>
      </c>
      <c r="BQ679" t="s">
        <v>74</v>
      </c>
      <c r="BR679" t="s">
        <v>101</v>
      </c>
      <c r="BS679" t="s">
        <v>12713</v>
      </c>
      <c r="BT679" t="str">
        <f>HYPERLINK("https%3A%2F%2Fwww.webofscience.com%2Fwos%2Fwoscc%2Ffull-record%2FWOS:000316661900028","View Full Record in Web of Science")</f>
        <v>View Full Record in Web of Science</v>
      </c>
    </row>
    <row r="680" spans="1:72" x14ac:dyDescent="0.15">
      <c r="A680" t="s">
        <v>72</v>
      </c>
      <c r="B680" t="s">
        <v>12714</v>
      </c>
      <c r="C680" t="s">
        <v>74</v>
      </c>
      <c r="D680" t="s">
        <v>74</v>
      </c>
      <c r="E680" t="s">
        <v>74</v>
      </c>
      <c r="F680" t="s">
        <v>12715</v>
      </c>
      <c r="G680" t="s">
        <v>74</v>
      </c>
      <c r="H680" t="s">
        <v>74</v>
      </c>
      <c r="I680" t="s">
        <v>12716</v>
      </c>
      <c r="J680" t="s">
        <v>12717</v>
      </c>
      <c r="K680" t="s">
        <v>74</v>
      </c>
      <c r="L680" t="s">
        <v>74</v>
      </c>
      <c r="M680" t="s">
        <v>78</v>
      </c>
      <c r="N680" t="s">
        <v>79</v>
      </c>
      <c r="O680" t="s">
        <v>74</v>
      </c>
      <c r="P680" t="s">
        <v>74</v>
      </c>
      <c r="Q680" t="s">
        <v>74</v>
      </c>
      <c r="R680" t="s">
        <v>74</v>
      </c>
      <c r="S680" t="s">
        <v>74</v>
      </c>
      <c r="T680" t="s">
        <v>74</v>
      </c>
      <c r="U680" t="s">
        <v>12718</v>
      </c>
      <c r="V680" t="s">
        <v>12719</v>
      </c>
      <c r="W680" t="s">
        <v>12720</v>
      </c>
      <c r="X680" t="s">
        <v>12721</v>
      </c>
      <c r="Y680" t="s">
        <v>12722</v>
      </c>
      <c r="Z680" t="s">
        <v>12723</v>
      </c>
      <c r="AA680" t="s">
        <v>12724</v>
      </c>
      <c r="AB680" t="s">
        <v>12725</v>
      </c>
      <c r="AC680" t="s">
        <v>12726</v>
      </c>
      <c r="AD680" t="s">
        <v>12727</v>
      </c>
      <c r="AE680" t="s">
        <v>12728</v>
      </c>
      <c r="AF680" t="s">
        <v>74</v>
      </c>
      <c r="AG680">
        <v>47</v>
      </c>
      <c r="AH680">
        <v>31</v>
      </c>
      <c r="AI680">
        <v>36</v>
      </c>
      <c r="AJ680">
        <v>1</v>
      </c>
      <c r="AK680">
        <v>34</v>
      </c>
      <c r="AL680" t="s">
        <v>12729</v>
      </c>
      <c r="AM680" t="s">
        <v>1112</v>
      </c>
      <c r="AN680" t="s">
        <v>12730</v>
      </c>
      <c r="AO680" t="s">
        <v>12731</v>
      </c>
      <c r="AP680" t="s">
        <v>74</v>
      </c>
      <c r="AQ680" t="s">
        <v>74</v>
      </c>
      <c r="AR680" t="s">
        <v>12732</v>
      </c>
      <c r="AS680" t="s">
        <v>12733</v>
      </c>
      <c r="AT680" t="s">
        <v>74</v>
      </c>
      <c r="AU680">
        <v>2012</v>
      </c>
      <c r="AV680">
        <v>53</v>
      </c>
      <c r="AW680">
        <v>60</v>
      </c>
      <c r="AX680">
        <v>1</v>
      </c>
      <c r="AY680" t="s">
        <v>74</v>
      </c>
      <c r="AZ680" t="s">
        <v>74</v>
      </c>
      <c r="BA680" t="s">
        <v>74</v>
      </c>
      <c r="BB680">
        <v>10</v>
      </c>
      <c r="BC680">
        <v>18</v>
      </c>
      <c r="BD680" t="s">
        <v>74</v>
      </c>
      <c r="BE680" t="s">
        <v>12734</v>
      </c>
      <c r="BF680" t="str">
        <f>HYPERLINK("http://dx.doi.org/10.3189/2012AoG60A005","http://dx.doi.org/10.3189/2012AoG60A005")</f>
        <v>http://dx.doi.org/10.3189/2012AoG60A005</v>
      </c>
      <c r="BG680" t="s">
        <v>74</v>
      </c>
      <c r="BH680" t="s">
        <v>74</v>
      </c>
      <c r="BI680">
        <v>9</v>
      </c>
      <c r="BJ680" t="s">
        <v>943</v>
      </c>
      <c r="BK680" t="s">
        <v>99</v>
      </c>
      <c r="BL680" t="s">
        <v>944</v>
      </c>
      <c r="BM680" t="s">
        <v>12735</v>
      </c>
      <c r="BN680" t="s">
        <v>74</v>
      </c>
      <c r="BO680" t="s">
        <v>217</v>
      </c>
      <c r="BP680" t="s">
        <v>74</v>
      </c>
      <c r="BQ680" t="s">
        <v>74</v>
      </c>
      <c r="BR680" t="s">
        <v>101</v>
      </c>
      <c r="BS680" t="s">
        <v>12736</v>
      </c>
      <c r="BT680" t="str">
        <f>HYPERLINK("https%3A%2F%2Fwww.webofscience.com%2Fwos%2Fwoscc%2Ffull-record%2FWOS:000315310300003","View Full Record in Web of Science")</f>
        <v>View Full Record in Web of Science</v>
      </c>
    </row>
    <row r="681" spans="1:72" x14ac:dyDescent="0.15">
      <c r="A681" t="s">
        <v>72</v>
      </c>
      <c r="B681" t="s">
        <v>12737</v>
      </c>
      <c r="C681" t="s">
        <v>74</v>
      </c>
      <c r="D681" t="s">
        <v>74</v>
      </c>
      <c r="E681" t="s">
        <v>74</v>
      </c>
      <c r="F681" t="s">
        <v>12738</v>
      </c>
      <c r="G681" t="s">
        <v>74</v>
      </c>
      <c r="H681" t="s">
        <v>74</v>
      </c>
      <c r="I681" t="s">
        <v>12739</v>
      </c>
      <c r="J681" t="s">
        <v>12717</v>
      </c>
      <c r="K681" t="s">
        <v>74</v>
      </c>
      <c r="L681" t="s">
        <v>74</v>
      </c>
      <c r="M681" t="s">
        <v>78</v>
      </c>
      <c r="N681" t="s">
        <v>79</v>
      </c>
      <c r="O681" t="s">
        <v>74</v>
      </c>
      <c r="P681" t="s">
        <v>74</v>
      </c>
      <c r="Q681" t="s">
        <v>74</v>
      </c>
      <c r="R681" t="s">
        <v>74</v>
      </c>
      <c r="S681" t="s">
        <v>74</v>
      </c>
      <c r="T681" t="s">
        <v>74</v>
      </c>
      <c r="U681" t="s">
        <v>12740</v>
      </c>
      <c r="V681" t="s">
        <v>12741</v>
      </c>
      <c r="W681" t="s">
        <v>12742</v>
      </c>
      <c r="X681" t="s">
        <v>205</v>
      </c>
      <c r="Y681" t="s">
        <v>12743</v>
      </c>
      <c r="Z681" t="s">
        <v>12744</v>
      </c>
      <c r="AA681" t="s">
        <v>74</v>
      </c>
      <c r="AB681" t="s">
        <v>12745</v>
      </c>
      <c r="AC681" t="s">
        <v>12746</v>
      </c>
      <c r="AD681" t="s">
        <v>12747</v>
      </c>
      <c r="AE681" t="s">
        <v>12748</v>
      </c>
      <c r="AF681" t="s">
        <v>74</v>
      </c>
      <c r="AG681">
        <v>23</v>
      </c>
      <c r="AH681">
        <v>9</v>
      </c>
      <c r="AI681">
        <v>9</v>
      </c>
      <c r="AJ681">
        <v>0</v>
      </c>
      <c r="AK681">
        <v>15</v>
      </c>
      <c r="AL681" t="s">
        <v>1111</v>
      </c>
      <c r="AM681" t="s">
        <v>1112</v>
      </c>
      <c r="AN681" t="s">
        <v>1113</v>
      </c>
      <c r="AO681" t="s">
        <v>12731</v>
      </c>
      <c r="AP681" t="s">
        <v>12749</v>
      </c>
      <c r="AQ681" t="s">
        <v>74</v>
      </c>
      <c r="AR681" t="s">
        <v>12732</v>
      </c>
      <c r="AS681" t="s">
        <v>12733</v>
      </c>
      <c r="AT681" t="s">
        <v>74</v>
      </c>
      <c r="AU681">
        <v>2012</v>
      </c>
      <c r="AV681">
        <v>53</v>
      </c>
      <c r="AW681">
        <v>60</v>
      </c>
      <c r="AX681">
        <v>1</v>
      </c>
      <c r="AY681" t="s">
        <v>74</v>
      </c>
      <c r="AZ681" t="s">
        <v>74</v>
      </c>
      <c r="BA681" t="s">
        <v>74</v>
      </c>
      <c r="BB681">
        <v>129</v>
      </c>
      <c r="BC681">
        <v>135</v>
      </c>
      <c r="BD681" t="s">
        <v>74</v>
      </c>
      <c r="BE681" t="s">
        <v>12750</v>
      </c>
      <c r="BF681" t="str">
        <f>HYPERLINK("http://dx.doi.org/10.3189/2012AoG60A170","http://dx.doi.org/10.3189/2012AoG60A170")</f>
        <v>http://dx.doi.org/10.3189/2012AoG60A170</v>
      </c>
      <c r="BG681" t="s">
        <v>74</v>
      </c>
      <c r="BH681" t="s">
        <v>74</v>
      </c>
      <c r="BI681">
        <v>7</v>
      </c>
      <c r="BJ681" t="s">
        <v>943</v>
      </c>
      <c r="BK681" t="s">
        <v>99</v>
      </c>
      <c r="BL681" t="s">
        <v>944</v>
      </c>
      <c r="BM681" t="s">
        <v>12735</v>
      </c>
      <c r="BN681" t="s">
        <v>74</v>
      </c>
      <c r="BO681" t="s">
        <v>197</v>
      </c>
      <c r="BP681" t="s">
        <v>74</v>
      </c>
      <c r="BQ681" t="s">
        <v>74</v>
      </c>
      <c r="BR681" t="s">
        <v>101</v>
      </c>
      <c r="BS681" t="s">
        <v>12751</v>
      </c>
      <c r="BT681" t="str">
        <f>HYPERLINK("https%3A%2F%2Fwww.webofscience.com%2Fwos%2Fwoscc%2Ffull-record%2FWOS:000315310300018","View Full Record in Web of Science")</f>
        <v>View Full Record in Web of Science</v>
      </c>
    </row>
    <row r="682" spans="1:72" x14ac:dyDescent="0.15">
      <c r="A682" t="s">
        <v>72</v>
      </c>
      <c r="B682" t="s">
        <v>12752</v>
      </c>
      <c r="C682" t="s">
        <v>74</v>
      </c>
      <c r="D682" t="s">
        <v>74</v>
      </c>
      <c r="E682" t="s">
        <v>74</v>
      </c>
      <c r="F682" t="s">
        <v>12753</v>
      </c>
      <c r="G682" t="s">
        <v>74</v>
      </c>
      <c r="H682" t="s">
        <v>74</v>
      </c>
      <c r="I682" t="s">
        <v>12754</v>
      </c>
      <c r="J682" t="s">
        <v>12717</v>
      </c>
      <c r="K682" t="s">
        <v>74</v>
      </c>
      <c r="L682" t="s">
        <v>74</v>
      </c>
      <c r="M682" t="s">
        <v>78</v>
      </c>
      <c r="N682" t="s">
        <v>79</v>
      </c>
      <c r="O682" t="s">
        <v>74</v>
      </c>
      <c r="P682" t="s">
        <v>74</v>
      </c>
      <c r="Q682" t="s">
        <v>74</v>
      </c>
      <c r="R682" t="s">
        <v>74</v>
      </c>
      <c r="S682" t="s">
        <v>74</v>
      </c>
      <c r="T682" t="s">
        <v>74</v>
      </c>
      <c r="U682" t="s">
        <v>12755</v>
      </c>
      <c r="V682" t="s">
        <v>12756</v>
      </c>
      <c r="W682" t="s">
        <v>12757</v>
      </c>
      <c r="X682" t="s">
        <v>12758</v>
      </c>
      <c r="Y682" t="s">
        <v>12759</v>
      </c>
      <c r="Z682" t="s">
        <v>12760</v>
      </c>
      <c r="AA682" t="s">
        <v>74</v>
      </c>
      <c r="AB682" t="s">
        <v>12761</v>
      </c>
      <c r="AC682" t="s">
        <v>12762</v>
      </c>
      <c r="AD682" t="s">
        <v>12763</v>
      </c>
      <c r="AE682" t="s">
        <v>12764</v>
      </c>
      <c r="AF682" t="s">
        <v>74</v>
      </c>
      <c r="AG682">
        <v>41</v>
      </c>
      <c r="AH682">
        <v>10</v>
      </c>
      <c r="AI682">
        <v>12</v>
      </c>
      <c r="AJ682">
        <v>0</v>
      </c>
      <c r="AK682">
        <v>11</v>
      </c>
      <c r="AL682" t="s">
        <v>12729</v>
      </c>
      <c r="AM682" t="s">
        <v>1112</v>
      </c>
      <c r="AN682" t="s">
        <v>12730</v>
      </c>
      <c r="AO682" t="s">
        <v>12731</v>
      </c>
      <c r="AP682" t="s">
        <v>74</v>
      </c>
      <c r="AQ682" t="s">
        <v>74</v>
      </c>
      <c r="AR682" t="s">
        <v>12732</v>
      </c>
      <c r="AS682" t="s">
        <v>12733</v>
      </c>
      <c r="AT682" t="s">
        <v>74</v>
      </c>
      <c r="AU682">
        <v>2012</v>
      </c>
      <c r="AV682">
        <v>53</v>
      </c>
      <c r="AW682">
        <v>60</v>
      </c>
      <c r="AX682">
        <v>2</v>
      </c>
      <c r="AY682" t="s">
        <v>74</v>
      </c>
      <c r="AZ682" t="s">
        <v>74</v>
      </c>
      <c r="BA682" t="s">
        <v>74</v>
      </c>
      <c r="BB682">
        <v>193</v>
      </c>
      <c r="BC682">
        <v>201</v>
      </c>
      <c r="BD682" t="s">
        <v>74</v>
      </c>
      <c r="BE682" t="s">
        <v>12765</v>
      </c>
      <c r="BF682" t="str">
        <f>HYPERLINK("http://dx.doi.org/10.3189/2012AoG60A117","http://dx.doi.org/10.3189/2012AoG60A117")</f>
        <v>http://dx.doi.org/10.3189/2012AoG60A117</v>
      </c>
      <c r="BG682" t="s">
        <v>74</v>
      </c>
      <c r="BH682" t="s">
        <v>74</v>
      </c>
      <c r="BI682">
        <v>9</v>
      </c>
      <c r="BJ682" t="s">
        <v>943</v>
      </c>
      <c r="BK682" t="s">
        <v>99</v>
      </c>
      <c r="BL682" t="s">
        <v>944</v>
      </c>
      <c r="BM682" t="s">
        <v>12766</v>
      </c>
      <c r="BN682" t="s">
        <v>74</v>
      </c>
      <c r="BO682" t="s">
        <v>217</v>
      </c>
      <c r="BP682" t="s">
        <v>74</v>
      </c>
      <c r="BQ682" t="s">
        <v>74</v>
      </c>
      <c r="BR682" t="s">
        <v>101</v>
      </c>
      <c r="BS682" t="s">
        <v>12767</v>
      </c>
      <c r="BT682" t="str">
        <f>HYPERLINK("https%3A%2F%2Fwww.webofscience.com%2Fwos%2Fwoscc%2Ffull-record%2FWOS:000315310400008","View Full Record in Web of Science")</f>
        <v>View Full Record in Web of Science</v>
      </c>
    </row>
    <row r="683" spans="1:72" x14ac:dyDescent="0.15">
      <c r="A683" t="s">
        <v>72</v>
      </c>
      <c r="B683" t="s">
        <v>12768</v>
      </c>
      <c r="C683" t="s">
        <v>74</v>
      </c>
      <c r="D683" t="s">
        <v>74</v>
      </c>
      <c r="E683" t="s">
        <v>74</v>
      </c>
      <c r="F683" t="s">
        <v>12769</v>
      </c>
      <c r="G683" t="s">
        <v>74</v>
      </c>
      <c r="H683" t="s">
        <v>74</v>
      </c>
      <c r="I683" t="s">
        <v>12770</v>
      </c>
      <c r="J683" t="s">
        <v>12717</v>
      </c>
      <c r="K683" t="s">
        <v>74</v>
      </c>
      <c r="L683" t="s">
        <v>74</v>
      </c>
      <c r="M683" t="s">
        <v>78</v>
      </c>
      <c r="N683" t="s">
        <v>79</v>
      </c>
      <c r="O683" t="s">
        <v>74</v>
      </c>
      <c r="P683" t="s">
        <v>74</v>
      </c>
      <c r="Q683" t="s">
        <v>74</v>
      </c>
      <c r="R683" t="s">
        <v>74</v>
      </c>
      <c r="S683" t="s">
        <v>74</v>
      </c>
      <c r="T683" t="s">
        <v>74</v>
      </c>
      <c r="U683" t="s">
        <v>12771</v>
      </c>
      <c r="V683" t="s">
        <v>12772</v>
      </c>
      <c r="W683" t="s">
        <v>12773</v>
      </c>
      <c r="X683" t="s">
        <v>12774</v>
      </c>
      <c r="Y683" t="s">
        <v>12775</v>
      </c>
      <c r="Z683" t="s">
        <v>12776</v>
      </c>
      <c r="AA683" t="s">
        <v>12777</v>
      </c>
      <c r="AB683" t="s">
        <v>12778</v>
      </c>
      <c r="AC683" t="s">
        <v>12779</v>
      </c>
      <c r="AD683" t="s">
        <v>12780</v>
      </c>
      <c r="AE683" t="s">
        <v>12781</v>
      </c>
      <c r="AF683" t="s">
        <v>74</v>
      </c>
      <c r="AG683">
        <v>44</v>
      </c>
      <c r="AH683">
        <v>36</v>
      </c>
      <c r="AI683">
        <v>37</v>
      </c>
      <c r="AJ683">
        <v>0</v>
      </c>
      <c r="AK683">
        <v>12</v>
      </c>
      <c r="AL683" t="s">
        <v>1111</v>
      </c>
      <c r="AM683" t="s">
        <v>1112</v>
      </c>
      <c r="AN683" t="s">
        <v>1113</v>
      </c>
      <c r="AO683" t="s">
        <v>12731</v>
      </c>
      <c r="AP683" t="s">
        <v>12749</v>
      </c>
      <c r="AQ683" t="s">
        <v>74</v>
      </c>
      <c r="AR683" t="s">
        <v>12732</v>
      </c>
      <c r="AS683" t="s">
        <v>12733</v>
      </c>
      <c r="AT683" t="s">
        <v>74</v>
      </c>
      <c r="AU683">
        <v>2012</v>
      </c>
      <c r="AV683">
        <v>53</v>
      </c>
      <c r="AW683">
        <v>60</v>
      </c>
      <c r="AX683">
        <v>2</v>
      </c>
      <c r="AY683" t="s">
        <v>74</v>
      </c>
      <c r="AZ683" t="s">
        <v>74</v>
      </c>
      <c r="BA683" t="s">
        <v>74</v>
      </c>
      <c r="BB683">
        <v>221</v>
      </c>
      <c r="BC683">
        <v>228</v>
      </c>
      <c r="BD683" t="s">
        <v>74</v>
      </c>
      <c r="BE683" t="s">
        <v>12782</v>
      </c>
      <c r="BF683" t="str">
        <f>HYPERLINK("http://dx.doi.org/10.3189/2012AoG60A042","http://dx.doi.org/10.3189/2012AoG60A042")</f>
        <v>http://dx.doi.org/10.3189/2012AoG60A042</v>
      </c>
      <c r="BG683" t="s">
        <v>74</v>
      </c>
      <c r="BH683" t="s">
        <v>74</v>
      </c>
      <c r="BI683">
        <v>8</v>
      </c>
      <c r="BJ683" t="s">
        <v>943</v>
      </c>
      <c r="BK683" t="s">
        <v>99</v>
      </c>
      <c r="BL683" t="s">
        <v>944</v>
      </c>
      <c r="BM683" t="s">
        <v>12766</v>
      </c>
      <c r="BN683" t="s">
        <v>74</v>
      </c>
      <c r="BO683" t="s">
        <v>328</v>
      </c>
      <c r="BP683" t="s">
        <v>74</v>
      </c>
      <c r="BQ683" t="s">
        <v>74</v>
      </c>
      <c r="BR683" t="s">
        <v>101</v>
      </c>
      <c r="BS683" t="s">
        <v>12783</v>
      </c>
      <c r="BT683" t="str">
        <f>HYPERLINK("https%3A%2F%2Fwww.webofscience.com%2Fwos%2Fwoscc%2Ffull-record%2FWOS:000315310400011","View Full Record in Web of Science")</f>
        <v>View Full Record in Web of Science</v>
      </c>
    </row>
    <row r="684" spans="1:72" x14ac:dyDescent="0.15">
      <c r="A684" t="s">
        <v>72</v>
      </c>
      <c r="B684" t="s">
        <v>12784</v>
      </c>
      <c r="C684" t="s">
        <v>74</v>
      </c>
      <c r="D684" t="s">
        <v>74</v>
      </c>
      <c r="E684" t="s">
        <v>74</v>
      </c>
      <c r="F684" t="s">
        <v>12785</v>
      </c>
      <c r="G684" t="s">
        <v>74</v>
      </c>
      <c r="H684" t="s">
        <v>74</v>
      </c>
      <c r="I684" t="s">
        <v>12786</v>
      </c>
      <c r="J684" t="s">
        <v>12717</v>
      </c>
      <c r="K684" t="s">
        <v>74</v>
      </c>
      <c r="L684" t="s">
        <v>74</v>
      </c>
      <c r="M684" t="s">
        <v>78</v>
      </c>
      <c r="N684" t="s">
        <v>79</v>
      </c>
      <c r="O684" t="s">
        <v>74</v>
      </c>
      <c r="P684" t="s">
        <v>74</v>
      </c>
      <c r="Q684" t="s">
        <v>74</v>
      </c>
      <c r="R684" t="s">
        <v>74</v>
      </c>
      <c r="S684" t="s">
        <v>74</v>
      </c>
      <c r="T684" t="s">
        <v>74</v>
      </c>
      <c r="U684" t="s">
        <v>12787</v>
      </c>
      <c r="V684" t="s">
        <v>12788</v>
      </c>
      <c r="W684" t="s">
        <v>12789</v>
      </c>
      <c r="X684" t="s">
        <v>180</v>
      </c>
      <c r="Y684" t="s">
        <v>12790</v>
      </c>
      <c r="Z684" t="s">
        <v>12791</v>
      </c>
      <c r="AA684" t="s">
        <v>74</v>
      </c>
      <c r="AB684" t="s">
        <v>12792</v>
      </c>
      <c r="AC684" t="s">
        <v>12793</v>
      </c>
      <c r="AD684" t="s">
        <v>12794</v>
      </c>
      <c r="AE684" t="s">
        <v>12795</v>
      </c>
      <c r="AF684" t="s">
        <v>74</v>
      </c>
      <c r="AG684">
        <v>79</v>
      </c>
      <c r="AH684">
        <v>67</v>
      </c>
      <c r="AI684">
        <v>85</v>
      </c>
      <c r="AJ684">
        <v>1</v>
      </c>
      <c r="AK684">
        <v>34</v>
      </c>
      <c r="AL684" t="s">
        <v>1111</v>
      </c>
      <c r="AM684" t="s">
        <v>1112</v>
      </c>
      <c r="AN684" t="s">
        <v>1113</v>
      </c>
      <c r="AO684" t="s">
        <v>12731</v>
      </c>
      <c r="AP684" t="s">
        <v>12749</v>
      </c>
      <c r="AQ684" t="s">
        <v>74</v>
      </c>
      <c r="AR684" t="s">
        <v>12732</v>
      </c>
      <c r="AS684" t="s">
        <v>12733</v>
      </c>
      <c r="AT684" t="s">
        <v>74</v>
      </c>
      <c r="AU684">
        <v>2012</v>
      </c>
      <c r="AV684">
        <v>53</v>
      </c>
      <c r="AW684">
        <v>60</v>
      </c>
      <c r="AX684">
        <v>2</v>
      </c>
      <c r="AY684" t="s">
        <v>74</v>
      </c>
      <c r="AZ684" t="s">
        <v>74</v>
      </c>
      <c r="BA684" t="s">
        <v>74</v>
      </c>
      <c r="BB684">
        <v>267</v>
      </c>
      <c r="BC684">
        <v>280</v>
      </c>
      <c r="BD684" t="s">
        <v>74</v>
      </c>
      <c r="BE684" t="s">
        <v>12796</v>
      </c>
      <c r="BF684" t="str">
        <f>HYPERLINK("http://dx.doi.org/10.3189/2012AoG60A119","http://dx.doi.org/10.3189/2012AoG60A119")</f>
        <v>http://dx.doi.org/10.3189/2012AoG60A119</v>
      </c>
      <c r="BG684" t="s">
        <v>74</v>
      </c>
      <c r="BH684" t="s">
        <v>74</v>
      </c>
      <c r="BI684">
        <v>14</v>
      </c>
      <c r="BJ684" t="s">
        <v>943</v>
      </c>
      <c r="BK684" t="s">
        <v>99</v>
      </c>
      <c r="BL684" t="s">
        <v>944</v>
      </c>
      <c r="BM684" t="s">
        <v>12766</v>
      </c>
      <c r="BN684" t="s">
        <v>74</v>
      </c>
      <c r="BO684" t="s">
        <v>217</v>
      </c>
      <c r="BP684" t="s">
        <v>74</v>
      </c>
      <c r="BQ684" t="s">
        <v>74</v>
      </c>
      <c r="BR684" t="s">
        <v>101</v>
      </c>
      <c r="BS684" t="s">
        <v>12797</v>
      </c>
      <c r="BT684" t="str">
        <f>HYPERLINK("https%3A%2F%2Fwww.webofscience.com%2Fwos%2Fwoscc%2Ffull-record%2FWOS:000315310400017","View Full Record in Web of Science")</f>
        <v>View Full Record in Web of Science</v>
      </c>
    </row>
    <row r="685" spans="1:72" x14ac:dyDescent="0.15">
      <c r="A685" t="s">
        <v>12086</v>
      </c>
      <c r="B685" t="s">
        <v>12798</v>
      </c>
      <c r="C685" t="s">
        <v>74</v>
      </c>
      <c r="D685" t="s">
        <v>12799</v>
      </c>
      <c r="E685" t="s">
        <v>74</v>
      </c>
      <c r="F685" t="s">
        <v>12800</v>
      </c>
      <c r="G685" t="s">
        <v>74</v>
      </c>
      <c r="H685" t="s">
        <v>74</v>
      </c>
      <c r="I685" t="s">
        <v>12801</v>
      </c>
      <c r="J685" t="s">
        <v>12802</v>
      </c>
      <c r="K685" t="s">
        <v>12669</v>
      </c>
      <c r="L685" t="s">
        <v>74</v>
      </c>
      <c r="M685" t="s">
        <v>78</v>
      </c>
      <c r="N685" t="s">
        <v>12093</v>
      </c>
      <c r="O685" t="s">
        <v>12803</v>
      </c>
      <c r="P685" t="s">
        <v>12186</v>
      </c>
      <c r="Q685" t="s">
        <v>12096</v>
      </c>
      <c r="R685" t="s">
        <v>74</v>
      </c>
      <c r="S685" t="s">
        <v>74</v>
      </c>
      <c r="T685" t="s">
        <v>12804</v>
      </c>
      <c r="U685" t="s">
        <v>12805</v>
      </c>
      <c r="V685" t="s">
        <v>12806</v>
      </c>
      <c r="W685" t="s">
        <v>12807</v>
      </c>
      <c r="X685" t="s">
        <v>12808</v>
      </c>
      <c r="Y685" t="s">
        <v>12809</v>
      </c>
      <c r="Z685" t="s">
        <v>12810</v>
      </c>
      <c r="AA685" t="s">
        <v>12811</v>
      </c>
      <c r="AB685" t="s">
        <v>12812</v>
      </c>
      <c r="AC685" t="s">
        <v>74</v>
      </c>
      <c r="AD685" t="s">
        <v>74</v>
      </c>
      <c r="AE685" t="s">
        <v>74</v>
      </c>
      <c r="AF685" t="s">
        <v>74</v>
      </c>
      <c r="AG685">
        <v>12</v>
      </c>
      <c r="AH685">
        <v>0</v>
      </c>
      <c r="AI685">
        <v>0</v>
      </c>
      <c r="AJ685">
        <v>0</v>
      </c>
      <c r="AK685">
        <v>2</v>
      </c>
      <c r="AL685" t="s">
        <v>12677</v>
      </c>
      <c r="AM685" t="s">
        <v>12678</v>
      </c>
      <c r="AN685" t="s">
        <v>12679</v>
      </c>
      <c r="AO685" t="s">
        <v>12680</v>
      </c>
      <c r="AP685" t="s">
        <v>12681</v>
      </c>
      <c r="AQ685" t="s">
        <v>12813</v>
      </c>
      <c r="AR685" t="s">
        <v>12683</v>
      </c>
      <c r="AS685" t="s">
        <v>74</v>
      </c>
      <c r="AT685" t="s">
        <v>74</v>
      </c>
      <c r="AU685">
        <v>2012</v>
      </c>
      <c r="AV685">
        <v>8446</v>
      </c>
      <c r="AW685" t="s">
        <v>74</v>
      </c>
      <c r="AX685" t="s">
        <v>74</v>
      </c>
      <c r="AY685" t="s">
        <v>74</v>
      </c>
      <c r="AZ685" t="s">
        <v>74</v>
      </c>
      <c r="BA685" t="s">
        <v>74</v>
      </c>
      <c r="BB685" t="s">
        <v>74</v>
      </c>
      <c r="BC685" t="s">
        <v>74</v>
      </c>
      <c r="BD685">
        <v>844641</v>
      </c>
      <c r="BE685" t="s">
        <v>12814</v>
      </c>
      <c r="BF685" t="str">
        <f>HYPERLINK("http://dx.doi.org/10.1117/12.925996","http://dx.doi.org/10.1117/12.925996")</f>
        <v>http://dx.doi.org/10.1117/12.925996</v>
      </c>
      <c r="BG685" t="s">
        <v>74</v>
      </c>
      <c r="BH685" t="s">
        <v>74</v>
      </c>
      <c r="BI685">
        <v>13</v>
      </c>
      <c r="BJ685" t="s">
        <v>12815</v>
      </c>
      <c r="BK685" t="s">
        <v>12109</v>
      </c>
      <c r="BL685" t="s">
        <v>12816</v>
      </c>
      <c r="BM685" t="s">
        <v>12817</v>
      </c>
      <c r="BN685" t="s">
        <v>74</v>
      </c>
      <c r="BO685" t="s">
        <v>74</v>
      </c>
      <c r="BP685" t="s">
        <v>74</v>
      </c>
      <c r="BQ685" t="s">
        <v>74</v>
      </c>
      <c r="BR685" t="s">
        <v>101</v>
      </c>
      <c r="BS685" t="s">
        <v>12818</v>
      </c>
      <c r="BT685" t="str">
        <f>HYPERLINK("https%3A%2F%2Fwww.webofscience.com%2Fwos%2Fwoscc%2Ffull-record%2FWOS:000313675900125","View Full Record in Web of Science")</f>
        <v>View Full Record in Web of Science</v>
      </c>
    </row>
    <row r="686" spans="1:72" x14ac:dyDescent="0.15">
      <c r="A686" t="s">
        <v>12086</v>
      </c>
      <c r="B686" t="s">
        <v>12819</v>
      </c>
      <c r="C686" t="s">
        <v>74</v>
      </c>
      <c r="D686" t="s">
        <v>12799</v>
      </c>
      <c r="E686" t="s">
        <v>74</v>
      </c>
      <c r="F686" t="s">
        <v>12820</v>
      </c>
      <c r="G686" t="s">
        <v>74</v>
      </c>
      <c r="H686" t="s">
        <v>74</v>
      </c>
      <c r="I686" t="s">
        <v>12821</v>
      </c>
      <c r="J686" t="s">
        <v>12802</v>
      </c>
      <c r="K686" t="s">
        <v>12669</v>
      </c>
      <c r="L686" t="s">
        <v>74</v>
      </c>
      <c r="M686" t="s">
        <v>78</v>
      </c>
      <c r="N686" t="s">
        <v>12093</v>
      </c>
      <c r="O686" t="s">
        <v>12803</v>
      </c>
      <c r="P686" t="s">
        <v>12186</v>
      </c>
      <c r="Q686" t="s">
        <v>12096</v>
      </c>
      <c r="R686" t="s">
        <v>74</v>
      </c>
      <c r="S686" t="s">
        <v>74</v>
      </c>
      <c r="T686" t="s">
        <v>12822</v>
      </c>
      <c r="U686" t="s">
        <v>12823</v>
      </c>
      <c r="V686" t="s">
        <v>12824</v>
      </c>
      <c r="W686" t="s">
        <v>12825</v>
      </c>
      <c r="X686" t="s">
        <v>12826</v>
      </c>
      <c r="Y686" t="s">
        <v>12827</v>
      </c>
      <c r="Z686" t="s">
        <v>12828</v>
      </c>
      <c r="AA686" t="s">
        <v>12829</v>
      </c>
      <c r="AB686" t="s">
        <v>12830</v>
      </c>
      <c r="AC686" t="s">
        <v>12831</v>
      </c>
      <c r="AD686" t="s">
        <v>12832</v>
      </c>
      <c r="AE686" t="s">
        <v>12833</v>
      </c>
      <c r="AF686" t="s">
        <v>74</v>
      </c>
      <c r="AG686">
        <v>7</v>
      </c>
      <c r="AH686">
        <v>5</v>
      </c>
      <c r="AI686">
        <v>5</v>
      </c>
      <c r="AJ686">
        <v>0</v>
      </c>
      <c r="AK686">
        <v>3</v>
      </c>
      <c r="AL686" t="s">
        <v>12677</v>
      </c>
      <c r="AM686" t="s">
        <v>12678</v>
      </c>
      <c r="AN686" t="s">
        <v>12679</v>
      </c>
      <c r="AO686" t="s">
        <v>12680</v>
      </c>
      <c r="AP686" t="s">
        <v>12681</v>
      </c>
      <c r="AQ686" t="s">
        <v>12813</v>
      </c>
      <c r="AR686" t="s">
        <v>12683</v>
      </c>
      <c r="AS686" t="s">
        <v>74</v>
      </c>
      <c r="AT686" t="s">
        <v>74</v>
      </c>
      <c r="AU686">
        <v>2012</v>
      </c>
      <c r="AV686">
        <v>8446</v>
      </c>
      <c r="AW686" t="s">
        <v>74</v>
      </c>
      <c r="AX686" t="s">
        <v>74</v>
      </c>
      <c r="AY686" t="s">
        <v>74</v>
      </c>
      <c r="AZ686" t="s">
        <v>74</v>
      </c>
      <c r="BA686" t="s">
        <v>74</v>
      </c>
      <c r="BB686" t="s">
        <v>74</v>
      </c>
      <c r="BC686" t="s">
        <v>74</v>
      </c>
      <c r="BD686" t="s">
        <v>12834</v>
      </c>
      <c r="BE686" t="s">
        <v>12835</v>
      </c>
      <c r="BF686" t="str">
        <f>HYPERLINK("http://dx.doi.org/10.1117/12.927098","http://dx.doi.org/10.1117/12.927098")</f>
        <v>http://dx.doi.org/10.1117/12.927098</v>
      </c>
      <c r="BG686" t="s">
        <v>74</v>
      </c>
      <c r="BH686" t="s">
        <v>74</v>
      </c>
      <c r="BI686">
        <v>7</v>
      </c>
      <c r="BJ686" t="s">
        <v>12815</v>
      </c>
      <c r="BK686" t="s">
        <v>12109</v>
      </c>
      <c r="BL686" t="s">
        <v>12816</v>
      </c>
      <c r="BM686" t="s">
        <v>12817</v>
      </c>
      <c r="BN686" t="s">
        <v>74</v>
      </c>
      <c r="BO686" t="s">
        <v>74</v>
      </c>
      <c r="BP686" t="s">
        <v>74</v>
      </c>
      <c r="BQ686" t="s">
        <v>74</v>
      </c>
      <c r="BR686" t="s">
        <v>101</v>
      </c>
      <c r="BS686" t="s">
        <v>12836</v>
      </c>
      <c r="BT686" t="str">
        <f>HYPERLINK("https%3A%2F%2Fwww.webofscience.com%2Fwos%2Fwoscc%2Ffull-record%2FWOS:000313675900208","View Full Record in Web of Science")</f>
        <v>View Full Record in Web of Science</v>
      </c>
    </row>
    <row r="687" spans="1:72" x14ac:dyDescent="0.15">
      <c r="A687" t="s">
        <v>12086</v>
      </c>
      <c r="B687" t="s">
        <v>12837</v>
      </c>
      <c r="C687" t="s">
        <v>74</v>
      </c>
      <c r="D687" t="s">
        <v>12799</v>
      </c>
      <c r="E687" t="s">
        <v>74</v>
      </c>
      <c r="F687" t="s">
        <v>12838</v>
      </c>
      <c r="G687" t="s">
        <v>74</v>
      </c>
      <c r="H687" t="s">
        <v>74</v>
      </c>
      <c r="I687" t="s">
        <v>12839</v>
      </c>
      <c r="J687" t="s">
        <v>12802</v>
      </c>
      <c r="K687" t="s">
        <v>12669</v>
      </c>
      <c r="L687" t="s">
        <v>74</v>
      </c>
      <c r="M687" t="s">
        <v>78</v>
      </c>
      <c r="N687" t="s">
        <v>12093</v>
      </c>
      <c r="O687" t="s">
        <v>12803</v>
      </c>
      <c r="P687" t="s">
        <v>12186</v>
      </c>
      <c r="Q687" t="s">
        <v>12096</v>
      </c>
      <c r="R687" t="s">
        <v>74</v>
      </c>
      <c r="S687" t="s">
        <v>74</v>
      </c>
      <c r="T687" t="s">
        <v>12840</v>
      </c>
      <c r="U687" t="s">
        <v>12841</v>
      </c>
      <c r="V687" t="s">
        <v>12842</v>
      </c>
      <c r="W687" t="s">
        <v>12843</v>
      </c>
      <c r="X687" t="s">
        <v>12844</v>
      </c>
      <c r="Y687" t="s">
        <v>12845</v>
      </c>
      <c r="Z687" t="s">
        <v>12846</v>
      </c>
      <c r="AA687" t="s">
        <v>12847</v>
      </c>
      <c r="AB687" t="s">
        <v>12848</v>
      </c>
      <c r="AC687" t="s">
        <v>12849</v>
      </c>
      <c r="AD687" t="s">
        <v>12849</v>
      </c>
      <c r="AE687" t="s">
        <v>12850</v>
      </c>
      <c r="AF687" t="s">
        <v>74</v>
      </c>
      <c r="AG687">
        <v>16</v>
      </c>
      <c r="AH687">
        <v>4</v>
      </c>
      <c r="AI687">
        <v>4</v>
      </c>
      <c r="AJ687">
        <v>0</v>
      </c>
      <c r="AK687">
        <v>1</v>
      </c>
      <c r="AL687" t="s">
        <v>12677</v>
      </c>
      <c r="AM687" t="s">
        <v>12678</v>
      </c>
      <c r="AN687" t="s">
        <v>12679</v>
      </c>
      <c r="AO687" t="s">
        <v>12680</v>
      </c>
      <c r="AP687" t="s">
        <v>12681</v>
      </c>
      <c r="AQ687" t="s">
        <v>12813</v>
      </c>
      <c r="AR687" t="s">
        <v>12683</v>
      </c>
      <c r="AS687" t="s">
        <v>74</v>
      </c>
      <c r="AT687" t="s">
        <v>74</v>
      </c>
      <c r="AU687">
        <v>2012</v>
      </c>
      <c r="AV687">
        <v>8446</v>
      </c>
      <c r="AW687" t="s">
        <v>74</v>
      </c>
      <c r="AX687" t="s">
        <v>74</v>
      </c>
      <c r="AY687" t="s">
        <v>74</v>
      </c>
      <c r="AZ687" t="s">
        <v>74</v>
      </c>
      <c r="BA687" t="s">
        <v>74</v>
      </c>
      <c r="BB687" t="s">
        <v>74</v>
      </c>
      <c r="BC687" t="s">
        <v>74</v>
      </c>
      <c r="BD687">
        <v>844643</v>
      </c>
      <c r="BE687" t="s">
        <v>12851</v>
      </c>
      <c r="BF687" t="str">
        <f>HYPERLINK("http://dx.doi.org/10.1117/12.926251","http://dx.doi.org/10.1117/12.926251")</f>
        <v>http://dx.doi.org/10.1117/12.926251</v>
      </c>
      <c r="BG687" t="s">
        <v>74</v>
      </c>
      <c r="BH687" t="s">
        <v>74</v>
      </c>
      <c r="BI687">
        <v>12</v>
      </c>
      <c r="BJ687" t="s">
        <v>12815</v>
      </c>
      <c r="BK687" t="s">
        <v>12109</v>
      </c>
      <c r="BL687" t="s">
        <v>12816</v>
      </c>
      <c r="BM687" t="s">
        <v>12817</v>
      </c>
      <c r="BN687" t="s">
        <v>74</v>
      </c>
      <c r="BO687" t="s">
        <v>156</v>
      </c>
      <c r="BP687" t="s">
        <v>74</v>
      </c>
      <c r="BQ687" t="s">
        <v>74</v>
      </c>
      <c r="BR687" t="s">
        <v>101</v>
      </c>
      <c r="BS687" t="s">
        <v>12852</v>
      </c>
      <c r="BT687" t="str">
        <f>HYPERLINK("https%3A%2F%2Fwww.webofscience.com%2Fwos%2Fwoscc%2Ffull-record%2FWOS:000313675900126","View Full Record in Web of Science")</f>
        <v>View Full Record in Web of Science</v>
      </c>
    </row>
    <row r="688" spans="1:72" x14ac:dyDescent="0.15">
      <c r="A688" t="s">
        <v>12134</v>
      </c>
      <c r="B688" t="s">
        <v>12853</v>
      </c>
      <c r="C688" t="s">
        <v>74</v>
      </c>
      <c r="D688" t="s">
        <v>12854</v>
      </c>
      <c r="E688" t="s">
        <v>74</v>
      </c>
      <c r="F688" t="s">
        <v>12855</v>
      </c>
      <c r="G688" t="s">
        <v>74</v>
      </c>
      <c r="H688" t="s">
        <v>74</v>
      </c>
      <c r="I688" t="s">
        <v>12856</v>
      </c>
      <c r="J688" t="s">
        <v>12857</v>
      </c>
      <c r="K688" t="s">
        <v>12858</v>
      </c>
      <c r="L688" t="s">
        <v>74</v>
      </c>
      <c r="M688" t="s">
        <v>78</v>
      </c>
      <c r="N688" t="s">
        <v>12141</v>
      </c>
      <c r="O688" t="s">
        <v>74</v>
      </c>
      <c r="P688" t="s">
        <v>74</v>
      </c>
      <c r="Q688" t="s">
        <v>74</v>
      </c>
      <c r="R688" t="s">
        <v>74</v>
      </c>
      <c r="S688" t="s">
        <v>74</v>
      </c>
      <c r="T688" t="s">
        <v>74</v>
      </c>
      <c r="U688" t="s">
        <v>12859</v>
      </c>
      <c r="V688" t="s">
        <v>74</v>
      </c>
      <c r="W688" t="s">
        <v>12860</v>
      </c>
      <c r="X688" t="s">
        <v>12861</v>
      </c>
      <c r="Y688" t="s">
        <v>12862</v>
      </c>
      <c r="Z688" t="s">
        <v>12863</v>
      </c>
      <c r="AA688" t="s">
        <v>74</v>
      </c>
      <c r="AB688" t="s">
        <v>74</v>
      </c>
      <c r="AC688" t="s">
        <v>74</v>
      </c>
      <c r="AD688" t="s">
        <v>74</v>
      </c>
      <c r="AE688" t="s">
        <v>74</v>
      </c>
      <c r="AF688" t="s">
        <v>74</v>
      </c>
      <c r="AG688">
        <v>53</v>
      </c>
      <c r="AH688">
        <v>4</v>
      </c>
      <c r="AI688">
        <v>5</v>
      </c>
      <c r="AJ688">
        <v>0</v>
      </c>
      <c r="AK688">
        <v>4</v>
      </c>
      <c r="AL688" t="s">
        <v>12864</v>
      </c>
      <c r="AM688" t="s">
        <v>12865</v>
      </c>
      <c r="AN688" t="s">
        <v>12866</v>
      </c>
      <c r="AO688" t="s">
        <v>12867</v>
      </c>
      <c r="AP688" t="s">
        <v>74</v>
      </c>
      <c r="AQ688" t="s">
        <v>12868</v>
      </c>
      <c r="AR688" t="s">
        <v>12869</v>
      </c>
      <c r="AS688" t="s">
        <v>74</v>
      </c>
      <c r="AT688" t="s">
        <v>74</v>
      </c>
      <c r="AU688">
        <v>2012</v>
      </c>
      <c r="AV688">
        <v>34</v>
      </c>
      <c r="AW688" t="s">
        <v>74</v>
      </c>
      <c r="AX688" t="s">
        <v>74</v>
      </c>
      <c r="AY688" t="s">
        <v>74</v>
      </c>
      <c r="AZ688" t="s">
        <v>74</v>
      </c>
      <c r="BA688" t="s">
        <v>74</v>
      </c>
      <c r="BB688">
        <v>255</v>
      </c>
      <c r="BC688">
        <v>269</v>
      </c>
      <c r="BD688" t="s">
        <v>74</v>
      </c>
      <c r="BE688" t="s">
        <v>74</v>
      </c>
      <c r="BF688" t="s">
        <v>74</v>
      </c>
      <c r="BG688" t="s">
        <v>74</v>
      </c>
      <c r="BH688" t="s">
        <v>74</v>
      </c>
      <c r="BI688">
        <v>15</v>
      </c>
      <c r="BJ688" t="s">
        <v>12870</v>
      </c>
      <c r="BK688" t="s">
        <v>12417</v>
      </c>
      <c r="BL688" t="s">
        <v>12871</v>
      </c>
      <c r="BM688" t="s">
        <v>12872</v>
      </c>
      <c r="BN688" t="s">
        <v>74</v>
      </c>
      <c r="BO688" t="s">
        <v>74</v>
      </c>
      <c r="BP688" t="s">
        <v>74</v>
      </c>
      <c r="BQ688" t="s">
        <v>74</v>
      </c>
      <c r="BR688" t="s">
        <v>101</v>
      </c>
      <c r="BS688" t="s">
        <v>12873</v>
      </c>
      <c r="BT688" t="str">
        <f>HYPERLINK("https%3A%2F%2Fwww.webofscience.com%2Fwos%2Fwoscc%2Ffull-record%2FWOS:000313641900012","View Full Record in Web of Science")</f>
        <v>View Full Record in Web of Science</v>
      </c>
    </row>
    <row r="689" spans="1:72" x14ac:dyDescent="0.15">
      <c r="A689" t="s">
        <v>12086</v>
      </c>
      <c r="B689" t="s">
        <v>12874</v>
      </c>
      <c r="C689" t="s">
        <v>74</v>
      </c>
      <c r="D689" t="s">
        <v>74</v>
      </c>
      <c r="E689" t="s">
        <v>12088</v>
      </c>
      <c r="F689" t="s">
        <v>12875</v>
      </c>
      <c r="G689" t="s">
        <v>74</v>
      </c>
      <c r="H689" t="s">
        <v>74</v>
      </c>
      <c r="I689" t="s">
        <v>12876</v>
      </c>
      <c r="J689" t="s">
        <v>12877</v>
      </c>
      <c r="K689" t="s">
        <v>12878</v>
      </c>
      <c r="L689" t="s">
        <v>74</v>
      </c>
      <c r="M689" t="s">
        <v>78</v>
      </c>
      <c r="N689" t="s">
        <v>12093</v>
      </c>
      <c r="O689" t="s">
        <v>12879</v>
      </c>
      <c r="P689" t="s">
        <v>12880</v>
      </c>
      <c r="Q689" t="s">
        <v>12881</v>
      </c>
      <c r="R689" t="s">
        <v>74</v>
      </c>
      <c r="S689" t="s">
        <v>74</v>
      </c>
      <c r="T689" t="s">
        <v>12882</v>
      </c>
      <c r="U689" t="s">
        <v>74</v>
      </c>
      <c r="V689" t="s">
        <v>12883</v>
      </c>
      <c r="W689" t="s">
        <v>12884</v>
      </c>
      <c r="X689" t="s">
        <v>12885</v>
      </c>
      <c r="Y689" t="s">
        <v>12886</v>
      </c>
      <c r="Z689" t="s">
        <v>74</v>
      </c>
      <c r="AA689" t="s">
        <v>12887</v>
      </c>
      <c r="AB689" t="s">
        <v>12888</v>
      </c>
      <c r="AC689" t="s">
        <v>74</v>
      </c>
      <c r="AD689" t="s">
        <v>74</v>
      </c>
      <c r="AE689" t="s">
        <v>74</v>
      </c>
      <c r="AF689" t="s">
        <v>74</v>
      </c>
      <c r="AG689">
        <v>2</v>
      </c>
      <c r="AH689">
        <v>3</v>
      </c>
      <c r="AI689">
        <v>3</v>
      </c>
      <c r="AJ689">
        <v>0</v>
      </c>
      <c r="AK689">
        <v>2</v>
      </c>
      <c r="AL689" t="s">
        <v>12088</v>
      </c>
      <c r="AM689" t="s">
        <v>656</v>
      </c>
      <c r="AN689" t="s">
        <v>12104</v>
      </c>
      <c r="AO689" t="s">
        <v>12889</v>
      </c>
      <c r="AP689" t="s">
        <v>74</v>
      </c>
      <c r="AQ689" t="s">
        <v>12890</v>
      </c>
      <c r="AR689" t="s">
        <v>12891</v>
      </c>
      <c r="AS689" t="s">
        <v>74</v>
      </c>
      <c r="AT689" t="s">
        <v>74</v>
      </c>
      <c r="AU689">
        <v>2012</v>
      </c>
      <c r="AV689" t="s">
        <v>74</v>
      </c>
      <c r="AW689" t="s">
        <v>74</v>
      </c>
      <c r="AX689" t="s">
        <v>74</v>
      </c>
      <c r="AY689" t="s">
        <v>74</v>
      </c>
      <c r="AZ689" t="s">
        <v>74</v>
      </c>
      <c r="BA689" t="s">
        <v>74</v>
      </c>
      <c r="BB689">
        <v>1061</v>
      </c>
      <c r="BC689">
        <v>1064</v>
      </c>
      <c r="BD689" t="s">
        <v>74</v>
      </c>
      <c r="BE689" t="s">
        <v>12892</v>
      </c>
      <c r="BF689" t="str">
        <f>HYPERLINK("http://dx.doi.org/10.1109/IGARSS.2012.6351367","http://dx.doi.org/10.1109/IGARSS.2012.6351367")</f>
        <v>http://dx.doi.org/10.1109/IGARSS.2012.6351367</v>
      </c>
      <c r="BG689" t="s">
        <v>74</v>
      </c>
      <c r="BH689" t="s">
        <v>74</v>
      </c>
      <c r="BI689">
        <v>4</v>
      </c>
      <c r="BJ689" t="s">
        <v>12893</v>
      </c>
      <c r="BK689" t="s">
        <v>12109</v>
      </c>
      <c r="BL689" t="s">
        <v>12894</v>
      </c>
      <c r="BM689" t="s">
        <v>12895</v>
      </c>
      <c r="BN689" t="s">
        <v>74</v>
      </c>
      <c r="BO689" t="s">
        <v>74</v>
      </c>
      <c r="BP689" t="s">
        <v>74</v>
      </c>
      <c r="BQ689" t="s">
        <v>74</v>
      </c>
      <c r="BR689" t="s">
        <v>101</v>
      </c>
      <c r="BS689" t="s">
        <v>12896</v>
      </c>
      <c r="BT689" t="str">
        <f>HYPERLINK("https%3A%2F%2Fwww.webofscience.com%2Fwos%2Fwoscc%2Ffull-record%2FWOS:000313189401069","View Full Record in Web of Science")</f>
        <v>View Full Record in Web of Science</v>
      </c>
    </row>
    <row r="690" spans="1:72" x14ac:dyDescent="0.15">
      <c r="A690" t="s">
        <v>12086</v>
      </c>
      <c r="B690" t="s">
        <v>12897</v>
      </c>
      <c r="C690" t="s">
        <v>74</v>
      </c>
      <c r="D690" t="s">
        <v>74</v>
      </c>
      <c r="E690" t="s">
        <v>12088</v>
      </c>
      <c r="F690" t="s">
        <v>12898</v>
      </c>
      <c r="G690" t="s">
        <v>74</v>
      </c>
      <c r="H690" t="s">
        <v>74</v>
      </c>
      <c r="I690" t="s">
        <v>12899</v>
      </c>
      <c r="J690" t="s">
        <v>12877</v>
      </c>
      <c r="K690" t="s">
        <v>12878</v>
      </c>
      <c r="L690" t="s">
        <v>74</v>
      </c>
      <c r="M690" t="s">
        <v>78</v>
      </c>
      <c r="N690" t="s">
        <v>12093</v>
      </c>
      <c r="O690" t="s">
        <v>12879</v>
      </c>
      <c r="P690" t="s">
        <v>12880</v>
      </c>
      <c r="Q690" t="s">
        <v>12881</v>
      </c>
      <c r="R690" t="s">
        <v>74</v>
      </c>
      <c r="S690" t="s">
        <v>74</v>
      </c>
      <c r="T690" t="s">
        <v>12900</v>
      </c>
      <c r="U690" t="s">
        <v>74</v>
      </c>
      <c r="V690" t="s">
        <v>12901</v>
      </c>
      <c r="W690" t="s">
        <v>12902</v>
      </c>
      <c r="X690" t="s">
        <v>12903</v>
      </c>
      <c r="Y690" t="s">
        <v>12904</v>
      </c>
      <c r="Z690" t="s">
        <v>74</v>
      </c>
      <c r="AA690" t="s">
        <v>12905</v>
      </c>
      <c r="AB690" t="s">
        <v>12906</v>
      </c>
      <c r="AC690" t="s">
        <v>74</v>
      </c>
      <c r="AD690" t="s">
        <v>74</v>
      </c>
      <c r="AE690" t="s">
        <v>74</v>
      </c>
      <c r="AF690" t="s">
        <v>74</v>
      </c>
      <c r="AG690">
        <v>8</v>
      </c>
      <c r="AH690">
        <v>1</v>
      </c>
      <c r="AI690">
        <v>1</v>
      </c>
      <c r="AJ690">
        <v>0</v>
      </c>
      <c r="AK690">
        <v>5</v>
      </c>
      <c r="AL690" t="s">
        <v>12088</v>
      </c>
      <c r="AM690" t="s">
        <v>656</v>
      </c>
      <c r="AN690" t="s">
        <v>12104</v>
      </c>
      <c r="AO690" t="s">
        <v>12889</v>
      </c>
      <c r="AP690" t="s">
        <v>74</v>
      </c>
      <c r="AQ690" t="s">
        <v>12890</v>
      </c>
      <c r="AR690" t="s">
        <v>12891</v>
      </c>
      <c r="AS690" t="s">
        <v>74</v>
      </c>
      <c r="AT690" t="s">
        <v>74</v>
      </c>
      <c r="AU690">
        <v>2012</v>
      </c>
      <c r="AV690" t="s">
        <v>74</v>
      </c>
      <c r="AW690" t="s">
        <v>74</v>
      </c>
      <c r="AX690" t="s">
        <v>74</v>
      </c>
      <c r="AY690" t="s">
        <v>74</v>
      </c>
      <c r="AZ690" t="s">
        <v>74</v>
      </c>
      <c r="BA690" t="s">
        <v>74</v>
      </c>
      <c r="BB690">
        <v>2968</v>
      </c>
      <c r="BC690">
        <v>2971</v>
      </c>
      <c r="BD690" t="s">
        <v>74</v>
      </c>
      <c r="BE690" t="s">
        <v>12907</v>
      </c>
      <c r="BF690" t="str">
        <f>HYPERLINK("http://dx.doi.org/10.1109/IGARSS.2012.6350803","http://dx.doi.org/10.1109/IGARSS.2012.6350803")</f>
        <v>http://dx.doi.org/10.1109/IGARSS.2012.6350803</v>
      </c>
      <c r="BG690" t="s">
        <v>74</v>
      </c>
      <c r="BH690" t="s">
        <v>74</v>
      </c>
      <c r="BI690">
        <v>4</v>
      </c>
      <c r="BJ690" t="s">
        <v>12893</v>
      </c>
      <c r="BK690" t="s">
        <v>12109</v>
      </c>
      <c r="BL690" t="s">
        <v>12894</v>
      </c>
      <c r="BM690" t="s">
        <v>12895</v>
      </c>
      <c r="BN690" t="s">
        <v>74</v>
      </c>
      <c r="BO690" t="s">
        <v>74</v>
      </c>
      <c r="BP690" t="s">
        <v>74</v>
      </c>
      <c r="BQ690" t="s">
        <v>74</v>
      </c>
      <c r="BR690" t="s">
        <v>101</v>
      </c>
      <c r="BS690" t="s">
        <v>12908</v>
      </c>
      <c r="BT690" t="str">
        <f>HYPERLINK("https%3A%2F%2Fwww.webofscience.com%2Fwos%2Fwoscc%2Ffull-record%2FWOS:000313189403028","View Full Record in Web of Science")</f>
        <v>View Full Record in Web of Science</v>
      </c>
    </row>
    <row r="691" spans="1:72" x14ac:dyDescent="0.15">
      <c r="A691" t="s">
        <v>12086</v>
      </c>
      <c r="B691" t="s">
        <v>12909</v>
      </c>
      <c r="C691" t="s">
        <v>74</v>
      </c>
      <c r="D691" t="s">
        <v>74</v>
      </c>
      <c r="E691" t="s">
        <v>12088</v>
      </c>
      <c r="F691" t="s">
        <v>12910</v>
      </c>
      <c r="G691" t="s">
        <v>74</v>
      </c>
      <c r="H691" t="s">
        <v>74</v>
      </c>
      <c r="I691" t="s">
        <v>12911</v>
      </c>
      <c r="J691" t="s">
        <v>12877</v>
      </c>
      <c r="K691" t="s">
        <v>12878</v>
      </c>
      <c r="L691" t="s">
        <v>74</v>
      </c>
      <c r="M691" t="s">
        <v>78</v>
      </c>
      <c r="N691" t="s">
        <v>12093</v>
      </c>
      <c r="O691" t="s">
        <v>12879</v>
      </c>
      <c r="P691" t="s">
        <v>12880</v>
      </c>
      <c r="Q691" t="s">
        <v>12881</v>
      </c>
      <c r="R691" t="s">
        <v>74</v>
      </c>
      <c r="S691" t="s">
        <v>74</v>
      </c>
      <c r="T691" t="s">
        <v>74</v>
      </c>
      <c r="U691" t="s">
        <v>74</v>
      </c>
      <c r="V691" t="s">
        <v>12912</v>
      </c>
      <c r="W691" t="s">
        <v>12913</v>
      </c>
      <c r="X691" t="s">
        <v>12914</v>
      </c>
      <c r="Y691" t="s">
        <v>12915</v>
      </c>
      <c r="Z691" t="s">
        <v>12916</v>
      </c>
      <c r="AA691" t="s">
        <v>74</v>
      </c>
      <c r="AB691" t="s">
        <v>74</v>
      </c>
      <c r="AC691" t="s">
        <v>74</v>
      </c>
      <c r="AD691" t="s">
        <v>74</v>
      </c>
      <c r="AE691" t="s">
        <v>74</v>
      </c>
      <c r="AF691" t="s">
        <v>74</v>
      </c>
      <c r="AG691">
        <v>8</v>
      </c>
      <c r="AH691">
        <v>7</v>
      </c>
      <c r="AI691">
        <v>8</v>
      </c>
      <c r="AJ691">
        <v>1</v>
      </c>
      <c r="AK691">
        <v>13</v>
      </c>
      <c r="AL691" t="s">
        <v>12088</v>
      </c>
      <c r="AM691" t="s">
        <v>656</v>
      </c>
      <c r="AN691" t="s">
        <v>12104</v>
      </c>
      <c r="AO691" t="s">
        <v>12889</v>
      </c>
      <c r="AP691" t="s">
        <v>74</v>
      </c>
      <c r="AQ691" t="s">
        <v>12890</v>
      </c>
      <c r="AR691" t="s">
        <v>12891</v>
      </c>
      <c r="AS691" t="s">
        <v>74</v>
      </c>
      <c r="AT691" t="s">
        <v>74</v>
      </c>
      <c r="AU691">
        <v>2012</v>
      </c>
      <c r="AV691" t="s">
        <v>74</v>
      </c>
      <c r="AW691" t="s">
        <v>74</v>
      </c>
      <c r="AX691" t="s">
        <v>74</v>
      </c>
      <c r="AY691" t="s">
        <v>74</v>
      </c>
      <c r="AZ691" t="s">
        <v>74</v>
      </c>
      <c r="BA691" t="s">
        <v>74</v>
      </c>
      <c r="BB691">
        <v>3174</v>
      </c>
      <c r="BC691">
        <v>3177</v>
      </c>
      <c r="BD691" t="s">
        <v>74</v>
      </c>
      <c r="BE691" t="s">
        <v>12917</v>
      </c>
      <c r="BF691" t="str">
        <f>HYPERLINK("http://dx.doi.org/10.1109/IGARSS.2012.6350750","http://dx.doi.org/10.1109/IGARSS.2012.6350750")</f>
        <v>http://dx.doi.org/10.1109/IGARSS.2012.6350750</v>
      </c>
      <c r="BG691" t="s">
        <v>74</v>
      </c>
      <c r="BH691" t="s">
        <v>74</v>
      </c>
      <c r="BI691">
        <v>4</v>
      </c>
      <c r="BJ691" t="s">
        <v>12893</v>
      </c>
      <c r="BK691" t="s">
        <v>12109</v>
      </c>
      <c r="BL691" t="s">
        <v>12894</v>
      </c>
      <c r="BM691" t="s">
        <v>12895</v>
      </c>
      <c r="BN691" t="s">
        <v>74</v>
      </c>
      <c r="BO691" t="s">
        <v>74</v>
      </c>
      <c r="BP691" t="s">
        <v>74</v>
      </c>
      <c r="BQ691" t="s">
        <v>74</v>
      </c>
      <c r="BR691" t="s">
        <v>101</v>
      </c>
      <c r="BS691" t="s">
        <v>12918</v>
      </c>
      <c r="BT691" t="str">
        <f>HYPERLINK("https%3A%2F%2Fwww.webofscience.com%2Fwos%2Fwoscc%2Ffull-record%2FWOS:000313189403079","View Full Record in Web of Science")</f>
        <v>View Full Record in Web of Science</v>
      </c>
    </row>
    <row r="692" spans="1:72" x14ac:dyDescent="0.15">
      <c r="A692" t="s">
        <v>12086</v>
      </c>
      <c r="B692" t="s">
        <v>12919</v>
      </c>
      <c r="C692" t="s">
        <v>74</v>
      </c>
      <c r="D692" t="s">
        <v>74</v>
      </c>
      <c r="E692" t="s">
        <v>12088</v>
      </c>
      <c r="F692" t="s">
        <v>12920</v>
      </c>
      <c r="G692" t="s">
        <v>74</v>
      </c>
      <c r="H692" t="s">
        <v>74</v>
      </c>
      <c r="I692" t="s">
        <v>12921</v>
      </c>
      <c r="J692" t="s">
        <v>12877</v>
      </c>
      <c r="K692" t="s">
        <v>12878</v>
      </c>
      <c r="L692" t="s">
        <v>74</v>
      </c>
      <c r="M692" t="s">
        <v>78</v>
      </c>
      <c r="N692" t="s">
        <v>12093</v>
      </c>
      <c r="O692" t="s">
        <v>12879</v>
      </c>
      <c r="P692" t="s">
        <v>12880</v>
      </c>
      <c r="Q692" t="s">
        <v>12881</v>
      </c>
      <c r="R692" t="s">
        <v>74</v>
      </c>
      <c r="S692" t="s">
        <v>74</v>
      </c>
      <c r="T692" t="s">
        <v>12922</v>
      </c>
      <c r="U692" t="s">
        <v>74</v>
      </c>
      <c r="V692" t="s">
        <v>12923</v>
      </c>
      <c r="W692" t="s">
        <v>12924</v>
      </c>
      <c r="X692" t="s">
        <v>5567</v>
      </c>
      <c r="Y692" t="s">
        <v>12925</v>
      </c>
      <c r="Z692" t="s">
        <v>74</v>
      </c>
      <c r="AA692" t="s">
        <v>74</v>
      </c>
      <c r="AB692" t="s">
        <v>74</v>
      </c>
      <c r="AC692" t="s">
        <v>74</v>
      </c>
      <c r="AD692" t="s">
        <v>74</v>
      </c>
      <c r="AE692" t="s">
        <v>74</v>
      </c>
      <c r="AF692" t="s">
        <v>74</v>
      </c>
      <c r="AG692">
        <v>11</v>
      </c>
      <c r="AH692">
        <v>0</v>
      </c>
      <c r="AI692">
        <v>0</v>
      </c>
      <c r="AJ692">
        <v>0</v>
      </c>
      <c r="AK692">
        <v>3</v>
      </c>
      <c r="AL692" t="s">
        <v>12088</v>
      </c>
      <c r="AM692" t="s">
        <v>656</v>
      </c>
      <c r="AN692" t="s">
        <v>12104</v>
      </c>
      <c r="AO692" t="s">
        <v>12889</v>
      </c>
      <c r="AP692" t="s">
        <v>74</v>
      </c>
      <c r="AQ692" t="s">
        <v>12890</v>
      </c>
      <c r="AR692" t="s">
        <v>12891</v>
      </c>
      <c r="AS692" t="s">
        <v>74</v>
      </c>
      <c r="AT692" t="s">
        <v>74</v>
      </c>
      <c r="AU692">
        <v>2012</v>
      </c>
      <c r="AV692" t="s">
        <v>74</v>
      </c>
      <c r="AW692" t="s">
        <v>74</v>
      </c>
      <c r="AX692" t="s">
        <v>74</v>
      </c>
      <c r="AY692" t="s">
        <v>74</v>
      </c>
      <c r="AZ692" t="s">
        <v>74</v>
      </c>
      <c r="BA692" t="s">
        <v>74</v>
      </c>
      <c r="BB692">
        <v>3253</v>
      </c>
      <c r="BC692">
        <v>3256</v>
      </c>
      <c r="BD692" t="s">
        <v>74</v>
      </c>
      <c r="BE692" t="s">
        <v>12926</v>
      </c>
      <c r="BF692" t="str">
        <f>HYPERLINK("http://dx.doi.org/10.1109/IGARSS.2012.6350730","http://dx.doi.org/10.1109/IGARSS.2012.6350730")</f>
        <v>http://dx.doi.org/10.1109/IGARSS.2012.6350730</v>
      </c>
      <c r="BG692" t="s">
        <v>74</v>
      </c>
      <c r="BH692" t="s">
        <v>74</v>
      </c>
      <c r="BI692">
        <v>4</v>
      </c>
      <c r="BJ692" t="s">
        <v>12893</v>
      </c>
      <c r="BK692" t="s">
        <v>12109</v>
      </c>
      <c r="BL692" t="s">
        <v>12894</v>
      </c>
      <c r="BM692" t="s">
        <v>12895</v>
      </c>
      <c r="BN692" t="s">
        <v>74</v>
      </c>
      <c r="BO692" t="s">
        <v>74</v>
      </c>
      <c r="BP692" t="s">
        <v>74</v>
      </c>
      <c r="BQ692" t="s">
        <v>74</v>
      </c>
      <c r="BR692" t="s">
        <v>101</v>
      </c>
      <c r="BS692" t="s">
        <v>12927</v>
      </c>
      <c r="BT692" t="str">
        <f>HYPERLINK("https%3A%2F%2Fwww.webofscience.com%2Fwos%2Fwoscc%2Ffull-record%2FWOS:000313189403098","View Full Record in Web of Science")</f>
        <v>View Full Record in Web of Science</v>
      </c>
    </row>
    <row r="693" spans="1:72" x14ac:dyDescent="0.15">
      <c r="A693" t="s">
        <v>12086</v>
      </c>
      <c r="B693" t="s">
        <v>12928</v>
      </c>
      <c r="C693" t="s">
        <v>74</v>
      </c>
      <c r="D693" t="s">
        <v>74</v>
      </c>
      <c r="E693" t="s">
        <v>12088</v>
      </c>
      <c r="F693" t="s">
        <v>12929</v>
      </c>
      <c r="G693" t="s">
        <v>74</v>
      </c>
      <c r="H693" t="s">
        <v>74</v>
      </c>
      <c r="I693" t="s">
        <v>12930</v>
      </c>
      <c r="J693" t="s">
        <v>12877</v>
      </c>
      <c r="K693" t="s">
        <v>12878</v>
      </c>
      <c r="L693" t="s">
        <v>74</v>
      </c>
      <c r="M693" t="s">
        <v>78</v>
      </c>
      <c r="N693" t="s">
        <v>12093</v>
      </c>
      <c r="O693" t="s">
        <v>12879</v>
      </c>
      <c r="P693" t="s">
        <v>12880</v>
      </c>
      <c r="Q693" t="s">
        <v>12881</v>
      </c>
      <c r="R693" t="s">
        <v>74</v>
      </c>
      <c r="S693" t="s">
        <v>74</v>
      </c>
      <c r="T693" t="s">
        <v>12931</v>
      </c>
      <c r="U693" t="s">
        <v>12932</v>
      </c>
      <c r="V693" t="s">
        <v>12933</v>
      </c>
      <c r="W693" t="s">
        <v>12934</v>
      </c>
      <c r="X693" t="s">
        <v>12935</v>
      </c>
      <c r="Y693" t="s">
        <v>12936</v>
      </c>
      <c r="Z693" t="s">
        <v>12937</v>
      </c>
      <c r="AA693" t="s">
        <v>74</v>
      </c>
      <c r="AB693" t="s">
        <v>74</v>
      </c>
      <c r="AC693" t="s">
        <v>74</v>
      </c>
      <c r="AD693" t="s">
        <v>74</v>
      </c>
      <c r="AE693" t="s">
        <v>74</v>
      </c>
      <c r="AF693" t="s">
        <v>74</v>
      </c>
      <c r="AG693">
        <v>9</v>
      </c>
      <c r="AH693">
        <v>1</v>
      </c>
      <c r="AI693">
        <v>3</v>
      </c>
      <c r="AJ693">
        <v>0</v>
      </c>
      <c r="AK693">
        <v>8</v>
      </c>
      <c r="AL693" t="s">
        <v>12088</v>
      </c>
      <c r="AM693" t="s">
        <v>656</v>
      </c>
      <c r="AN693" t="s">
        <v>12104</v>
      </c>
      <c r="AO693" t="s">
        <v>12889</v>
      </c>
      <c r="AP693" t="s">
        <v>74</v>
      </c>
      <c r="AQ693" t="s">
        <v>12890</v>
      </c>
      <c r="AR693" t="s">
        <v>12891</v>
      </c>
      <c r="AS693" t="s">
        <v>74</v>
      </c>
      <c r="AT693" t="s">
        <v>74</v>
      </c>
      <c r="AU693">
        <v>2012</v>
      </c>
      <c r="AV693" t="s">
        <v>74</v>
      </c>
      <c r="AW693" t="s">
        <v>74</v>
      </c>
      <c r="AX693" t="s">
        <v>74</v>
      </c>
      <c r="AY693" t="s">
        <v>74</v>
      </c>
      <c r="AZ693" t="s">
        <v>74</v>
      </c>
      <c r="BA693" t="s">
        <v>74</v>
      </c>
      <c r="BB693">
        <v>3257</v>
      </c>
      <c r="BC693">
        <v>3260</v>
      </c>
      <c r="BD693" t="s">
        <v>74</v>
      </c>
      <c r="BE693" t="s">
        <v>12938</v>
      </c>
      <c r="BF693" t="str">
        <f>HYPERLINK("http://dx.doi.org/10.1109/IGARSS.2012.6350609","http://dx.doi.org/10.1109/IGARSS.2012.6350609")</f>
        <v>http://dx.doi.org/10.1109/IGARSS.2012.6350609</v>
      </c>
      <c r="BG693" t="s">
        <v>74</v>
      </c>
      <c r="BH693" t="s">
        <v>74</v>
      </c>
      <c r="BI693">
        <v>4</v>
      </c>
      <c r="BJ693" t="s">
        <v>12893</v>
      </c>
      <c r="BK693" t="s">
        <v>12109</v>
      </c>
      <c r="BL693" t="s">
        <v>12894</v>
      </c>
      <c r="BM693" t="s">
        <v>12895</v>
      </c>
      <c r="BN693" t="s">
        <v>74</v>
      </c>
      <c r="BO693" t="s">
        <v>74</v>
      </c>
      <c r="BP693" t="s">
        <v>74</v>
      </c>
      <c r="BQ693" t="s">
        <v>74</v>
      </c>
      <c r="BR693" t="s">
        <v>101</v>
      </c>
      <c r="BS693" t="s">
        <v>12939</v>
      </c>
      <c r="BT693" t="str">
        <f>HYPERLINK("https%3A%2F%2Fwww.webofscience.com%2Fwos%2Fwoscc%2Ffull-record%2FWOS:000313189403099","View Full Record in Web of Science")</f>
        <v>View Full Record in Web of Science</v>
      </c>
    </row>
    <row r="694" spans="1:72" x14ac:dyDescent="0.15">
      <c r="A694" t="s">
        <v>12086</v>
      </c>
      <c r="B694" t="s">
        <v>12940</v>
      </c>
      <c r="C694" t="s">
        <v>74</v>
      </c>
      <c r="D694" t="s">
        <v>74</v>
      </c>
      <c r="E694" t="s">
        <v>12088</v>
      </c>
      <c r="F694" t="s">
        <v>12941</v>
      </c>
      <c r="G694" t="s">
        <v>74</v>
      </c>
      <c r="H694" t="s">
        <v>74</v>
      </c>
      <c r="I694" t="s">
        <v>12942</v>
      </c>
      <c r="J694" t="s">
        <v>12877</v>
      </c>
      <c r="K694" t="s">
        <v>12878</v>
      </c>
      <c r="L694" t="s">
        <v>74</v>
      </c>
      <c r="M694" t="s">
        <v>78</v>
      </c>
      <c r="N694" t="s">
        <v>12093</v>
      </c>
      <c r="O694" t="s">
        <v>12879</v>
      </c>
      <c r="P694" t="s">
        <v>12880</v>
      </c>
      <c r="Q694" t="s">
        <v>12881</v>
      </c>
      <c r="R694" t="s">
        <v>74</v>
      </c>
      <c r="S694" t="s">
        <v>74</v>
      </c>
      <c r="T694" t="s">
        <v>12943</v>
      </c>
      <c r="U694" t="s">
        <v>12944</v>
      </c>
      <c r="V694" t="s">
        <v>12945</v>
      </c>
      <c r="W694" t="s">
        <v>12946</v>
      </c>
      <c r="X694" t="s">
        <v>12947</v>
      </c>
      <c r="Y694" t="s">
        <v>12948</v>
      </c>
      <c r="Z694" t="s">
        <v>12949</v>
      </c>
      <c r="AA694" t="s">
        <v>12950</v>
      </c>
      <c r="AB694" t="s">
        <v>74</v>
      </c>
      <c r="AC694" t="s">
        <v>74</v>
      </c>
      <c r="AD694" t="s">
        <v>74</v>
      </c>
      <c r="AE694" t="s">
        <v>74</v>
      </c>
      <c r="AF694" t="s">
        <v>74</v>
      </c>
      <c r="AG694">
        <v>12</v>
      </c>
      <c r="AH694">
        <v>4</v>
      </c>
      <c r="AI694">
        <v>4</v>
      </c>
      <c r="AJ694">
        <v>1</v>
      </c>
      <c r="AK694">
        <v>20</v>
      </c>
      <c r="AL694" t="s">
        <v>12088</v>
      </c>
      <c r="AM694" t="s">
        <v>656</v>
      </c>
      <c r="AN694" t="s">
        <v>12104</v>
      </c>
      <c r="AO694" t="s">
        <v>12889</v>
      </c>
      <c r="AP694" t="s">
        <v>74</v>
      </c>
      <c r="AQ694" t="s">
        <v>12890</v>
      </c>
      <c r="AR694" t="s">
        <v>12891</v>
      </c>
      <c r="AS694" t="s">
        <v>74</v>
      </c>
      <c r="AT694" t="s">
        <v>74</v>
      </c>
      <c r="AU694">
        <v>2012</v>
      </c>
      <c r="AV694" t="s">
        <v>74</v>
      </c>
      <c r="AW694" t="s">
        <v>74</v>
      </c>
      <c r="AX694" t="s">
        <v>74</v>
      </c>
      <c r="AY694" t="s">
        <v>74</v>
      </c>
      <c r="AZ694" t="s">
        <v>74</v>
      </c>
      <c r="BA694" t="s">
        <v>74</v>
      </c>
      <c r="BB694">
        <v>4430</v>
      </c>
      <c r="BC694">
        <v>4433</v>
      </c>
      <c r="BD694" t="s">
        <v>74</v>
      </c>
      <c r="BE694" t="s">
        <v>12951</v>
      </c>
      <c r="BF694" t="str">
        <f>HYPERLINK("http://dx.doi.org/10.1109/IGARSS.2012.6350489","http://dx.doi.org/10.1109/IGARSS.2012.6350489")</f>
        <v>http://dx.doi.org/10.1109/IGARSS.2012.6350489</v>
      </c>
      <c r="BG694" t="s">
        <v>74</v>
      </c>
      <c r="BH694" t="s">
        <v>74</v>
      </c>
      <c r="BI694">
        <v>4</v>
      </c>
      <c r="BJ694" t="s">
        <v>12893</v>
      </c>
      <c r="BK694" t="s">
        <v>12109</v>
      </c>
      <c r="BL694" t="s">
        <v>12894</v>
      </c>
      <c r="BM694" t="s">
        <v>12895</v>
      </c>
      <c r="BN694" t="s">
        <v>74</v>
      </c>
      <c r="BO694" t="s">
        <v>74</v>
      </c>
      <c r="BP694" t="s">
        <v>74</v>
      </c>
      <c r="BQ694" t="s">
        <v>74</v>
      </c>
      <c r="BR694" t="s">
        <v>101</v>
      </c>
      <c r="BS694" t="s">
        <v>12952</v>
      </c>
      <c r="BT694" t="str">
        <f>HYPERLINK("https%3A%2F%2Fwww.webofscience.com%2Fwos%2Fwoscc%2Ffull-record%2FWOS:000313189404123","View Full Record in Web of Science")</f>
        <v>View Full Record in Web of Science</v>
      </c>
    </row>
    <row r="695" spans="1:72" x14ac:dyDescent="0.15">
      <c r="A695" t="s">
        <v>12086</v>
      </c>
      <c r="B695" t="s">
        <v>12953</v>
      </c>
      <c r="C695" t="s">
        <v>74</v>
      </c>
      <c r="D695" t="s">
        <v>74</v>
      </c>
      <c r="E695" t="s">
        <v>12088</v>
      </c>
      <c r="F695" t="s">
        <v>12954</v>
      </c>
      <c r="G695" t="s">
        <v>74</v>
      </c>
      <c r="H695" t="s">
        <v>74</v>
      </c>
      <c r="I695" t="s">
        <v>12955</v>
      </c>
      <c r="J695" t="s">
        <v>12877</v>
      </c>
      <c r="K695" t="s">
        <v>12878</v>
      </c>
      <c r="L695" t="s">
        <v>74</v>
      </c>
      <c r="M695" t="s">
        <v>78</v>
      </c>
      <c r="N695" t="s">
        <v>12093</v>
      </c>
      <c r="O695" t="s">
        <v>12879</v>
      </c>
      <c r="P695" t="s">
        <v>12880</v>
      </c>
      <c r="Q695" t="s">
        <v>12881</v>
      </c>
      <c r="R695" t="s">
        <v>74</v>
      </c>
      <c r="S695" t="s">
        <v>74</v>
      </c>
      <c r="T695" t="s">
        <v>12956</v>
      </c>
      <c r="U695" t="s">
        <v>12957</v>
      </c>
      <c r="V695" t="s">
        <v>12958</v>
      </c>
      <c r="W695" t="s">
        <v>12959</v>
      </c>
      <c r="X695" t="s">
        <v>12960</v>
      </c>
      <c r="Y695" t="s">
        <v>12961</v>
      </c>
      <c r="Z695" t="s">
        <v>74</v>
      </c>
      <c r="AA695" t="s">
        <v>12962</v>
      </c>
      <c r="AB695" t="s">
        <v>12963</v>
      </c>
      <c r="AC695" t="s">
        <v>74</v>
      </c>
      <c r="AD695" t="s">
        <v>74</v>
      </c>
      <c r="AE695" t="s">
        <v>74</v>
      </c>
      <c r="AF695" t="s">
        <v>74</v>
      </c>
      <c r="AG695">
        <v>13</v>
      </c>
      <c r="AH695">
        <v>0</v>
      </c>
      <c r="AI695">
        <v>0</v>
      </c>
      <c r="AJ695">
        <v>1</v>
      </c>
      <c r="AK695">
        <v>8</v>
      </c>
      <c r="AL695" t="s">
        <v>12088</v>
      </c>
      <c r="AM695" t="s">
        <v>656</v>
      </c>
      <c r="AN695" t="s">
        <v>12104</v>
      </c>
      <c r="AO695" t="s">
        <v>12889</v>
      </c>
      <c r="AP695" t="s">
        <v>74</v>
      </c>
      <c r="AQ695" t="s">
        <v>12890</v>
      </c>
      <c r="AR695" t="s">
        <v>12891</v>
      </c>
      <c r="AS695" t="s">
        <v>74</v>
      </c>
      <c r="AT695" t="s">
        <v>74</v>
      </c>
      <c r="AU695">
        <v>2012</v>
      </c>
      <c r="AV695" t="s">
        <v>74</v>
      </c>
      <c r="AW695" t="s">
        <v>74</v>
      </c>
      <c r="AX695" t="s">
        <v>74</v>
      </c>
      <c r="AY695" t="s">
        <v>74</v>
      </c>
      <c r="AZ695" t="s">
        <v>74</v>
      </c>
      <c r="BA695" t="s">
        <v>74</v>
      </c>
      <c r="BB695">
        <v>4449</v>
      </c>
      <c r="BC695">
        <v>4452</v>
      </c>
      <c r="BD695" t="s">
        <v>74</v>
      </c>
      <c r="BE695" t="s">
        <v>12964</v>
      </c>
      <c r="BF695" t="str">
        <f>HYPERLINK("http://dx.doi.org/10.1109/IGARSS.2012.6350484","http://dx.doi.org/10.1109/IGARSS.2012.6350484")</f>
        <v>http://dx.doi.org/10.1109/IGARSS.2012.6350484</v>
      </c>
      <c r="BG695" t="s">
        <v>74</v>
      </c>
      <c r="BH695" t="s">
        <v>74</v>
      </c>
      <c r="BI695">
        <v>4</v>
      </c>
      <c r="BJ695" t="s">
        <v>12893</v>
      </c>
      <c r="BK695" t="s">
        <v>12109</v>
      </c>
      <c r="BL695" t="s">
        <v>12894</v>
      </c>
      <c r="BM695" t="s">
        <v>12895</v>
      </c>
      <c r="BN695" t="s">
        <v>74</v>
      </c>
      <c r="BO695" t="s">
        <v>74</v>
      </c>
      <c r="BP695" t="s">
        <v>74</v>
      </c>
      <c r="BQ695" t="s">
        <v>74</v>
      </c>
      <c r="BR695" t="s">
        <v>101</v>
      </c>
      <c r="BS695" t="s">
        <v>12965</v>
      </c>
      <c r="BT695" t="str">
        <f>HYPERLINK("https%3A%2F%2Fwww.webofscience.com%2Fwos%2Fwoscc%2Ffull-record%2FWOS:000313189404128","View Full Record in Web of Science")</f>
        <v>View Full Record in Web of Science</v>
      </c>
    </row>
    <row r="696" spans="1:72" x14ac:dyDescent="0.15">
      <c r="A696" t="s">
        <v>12086</v>
      </c>
      <c r="B696" t="s">
        <v>12966</v>
      </c>
      <c r="C696" t="s">
        <v>74</v>
      </c>
      <c r="D696" t="s">
        <v>74</v>
      </c>
      <c r="E696" t="s">
        <v>12967</v>
      </c>
      <c r="F696" t="s">
        <v>12968</v>
      </c>
      <c r="G696" t="s">
        <v>74</v>
      </c>
      <c r="H696" t="s">
        <v>74</v>
      </c>
      <c r="I696" t="s">
        <v>12969</v>
      </c>
      <c r="J696" t="s">
        <v>12970</v>
      </c>
      <c r="K696" t="s">
        <v>12971</v>
      </c>
      <c r="L696" t="s">
        <v>74</v>
      </c>
      <c r="M696" t="s">
        <v>78</v>
      </c>
      <c r="N696" t="s">
        <v>12093</v>
      </c>
      <c r="O696" t="s">
        <v>12972</v>
      </c>
      <c r="P696" t="s">
        <v>12973</v>
      </c>
      <c r="Q696" t="s">
        <v>12974</v>
      </c>
      <c r="R696" t="s">
        <v>74</v>
      </c>
      <c r="S696" t="s">
        <v>12975</v>
      </c>
      <c r="T696" t="s">
        <v>74</v>
      </c>
      <c r="U696" t="s">
        <v>74</v>
      </c>
      <c r="V696" t="s">
        <v>12976</v>
      </c>
      <c r="W696" t="s">
        <v>12977</v>
      </c>
      <c r="X696" t="s">
        <v>12978</v>
      </c>
      <c r="Y696" t="s">
        <v>12979</v>
      </c>
      <c r="Z696" t="s">
        <v>12980</v>
      </c>
      <c r="AA696" t="s">
        <v>12981</v>
      </c>
      <c r="AB696" t="s">
        <v>12982</v>
      </c>
      <c r="AC696" t="s">
        <v>74</v>
      </c>
      <c r="AD696" t="s">
        <v>74</v>
      </c>
      <c r="AE696" t="s">
        <v>74</v>
      </c>
      <c r="AF696" t="s">
        <v>74</v>
      </c>
      <c r="AG696">
        <v>3</v>
      </c>
      <c r="AH696">
        <v>2</v>
      </c>
      <c r="AI696">
        <v>2</v>
      </c>
      <c r="AJ696">
        <v>0</v>
      </c>
      <c r="AK696">
        <v>1</v>
      </c>
      <c r="AL696" t="s">
        <v>12983</v>
      </c>
      <c r="AM696" t="s">
        <v>12984</v>
      </c>
      <c r="AN696" t="s">
        <v>12985</v>
      </c>
      <c r="AO696" t="s">
        <v>12986</v>
      </c>
      <c r="AP696" t="s">
        <v>74</v>
      </c>
      <c r="AQ696" t="s">
        <v>74</v>
      </c>
      <c r="AR696" t="s">
        <v>12987</v>
      </c>
      <c r="AS696" t="s">
        <v>74</v>
      </c>
      <c r="AT696" t="s">
        <v>74</v>
      </c>
      <c r="AU696">
        <v>2012</v>
      </c>
      <c r="AV696">
        <v>396</v>
      </c>
      <c r="AW696" t="s">
        <v>74</v>
      </c>
      <c r="AX696" t="s">
        <v>74</v>
      </c>
      <c r="AY696" t="s">
        <v>74</v>
      </c>
      <c r="AZ696" t="s">
        <v>74</v>
      </c>
      <c r="BA696" t="s">
        <v>74</v>
      </c>
      <c r="BB696" t="s">
        <v>74</v>
      </c>
      <c r="BC696" t="s">
        <v>74</v>
      </c>
      <c r="BD696">
        <v>22046</v>
      </c>
      <c r="BE696" t="s">
        <v>12988</v>
      </c>
      <c r="BF696" t="str">
        <f>HYPERLINK("http://dx.doi.org/10.1088/1742-6596/396/2/022046","http://dx.doi.org/10.1088/1742-6596/396/2/022046")</f>
        <v>http://dx.doi.org/10.1088/1742-6596/396/2/022046</v>
      </c>
      <c r="BG696" t="s">
        <v>74</v>
      </c>
      <c r="BH696" t="s">
        <v>74</v>
      </c>
      <c r="BI696">
        <v>8</v>
      </c>
      <c r="BJ696" t="s">
        <v>12989</v>
      </c>
      <c r="BK696" t="s">
        <v>12109</v>
      </c>
      <c r="BL696" t="s">
        <v>3678</v>
      </c>
      <c r="BM696" t="s">
        <v>12990</v>
      </c>
      <c r="BN696" t="s">
        <v>74</v>
      </c>
      <c r="BO696" t="s">
        <v>9400</v>
      </c>
      <c r="BP696" t="s">
        <v>74</v>
      </c>
      <c r="BQ696" t="s">
        <v>74</v>
      </c>
      <c r="BR696" t="s">
        <v>101</v>
      </c>
      <c r="BS696" t="s">
        <v>12991</v>
      </c>
      <c r="BT696" t="str">
        <f>HYPERLINK("https%3A%2F%2Fwww.webofscience.com%2Fwos%2Fwoscc%2Ffull-record%2FWOS:000314749800099","View Full Record in Web of Science")</f>
        <v>View Full Record in Web of Science</v>
      </c>
    </row>
    <row r="697" spans="1:72" x14ac:dyDescent="0.15">
      <c r="A697" t="s">
        <v>12086</v>
      </c>
      <c r="B697" t="s">
        <v>12992</v>
      </c>
      <c r="C697" t="s">
        <v>74</v>
      </c>
      <c r="D697" t="s">
        <v>12993</v>
      </c>
      <c r="E697" t="s">
        <v>74</v>
      </c>
      <c r="F697" t="s">
        <v>12994</v>
      </c>
      <c r="G697" t="s">
        <v>74</v>
      </c>
      <c r="H697" t="s">
        <v>74</v>
      </c>
      <c r="I697" t="s">
        <v>12995</v>
      </c>
      <c r="J697" t="s">
        <v>12996</v>
      </c>
      <c r="K697" t="s">
        <v>12997</v>
      </c>
      <c r="L697" t="s">
        <v>74</v>
      </c>
      <c r="M697" t="s">
        <v>78</v>
      </c>
      <c r="N697" t="s">
        <v>12093</v>
      </c>
      <c r="O697" t="s">
        <v>12998</v>
      </c>
      <c r="P697" t="s">
        <v>12999</v>
      </c>
      <c r="Q697" t="s">
        <v>13000</v>
      </c>
      <c r="R697" t="s">
        <v>74</v>
      </c>
      <c r="S697" t="s">
        <v>74</v>
      </c>
      <c r="T697" t="s">
        <v>13001</v>
      </c>
      <c r="U697" t="s">
        <v>74</v>
      </c>
      <c r="V697" t="s">
        <v>13002</v>
      </c>
      <c r="W697" t="s">
        <v>13003</v>
      </c>
      <c r="X697" t="s">
        <v>12220</v>
      </c>
      <c r="Y697" t="s">
        <v>13004</v>
      </c>
      <c r="Z697" t="s">
        <v>13005</v>
      </c>
      <c r="AA697" t="s">
        <v>13006</v>
      </c>
      <c r="AB697" t="s">
        <v>13007</v>
      </c>
      <c r="AC697" t="s">
        <v>74</v>
      </c>
      <c r="AD697" t="s">
        <v>74</v>
      </c>
      <c r="AE697" t="s">
        <v>74</v>
      </c>
      <c r="AF697" t="s">
        <v>74</v>
      </c>
      <c r="AG697">
        <v>9</v>
      </c>
      <c r="AH697">
        <v>4</v>
      </c>
      <c r="AI697">
        <v>4</v>
      </c>
      <c r="AJ697">
        <v>0</v>
      </c>
      <c r="AK697">
        <v>19</v>
      </c>
      <c r="AL697" t="s">
        <v>368</v>
      </c>
      <c r="AM697" t="s">
        <v>369</v>
      </c>
      <c r="AN697" t="s">
        <v>12224</v>
      </c>
      <c r="AO697" t="s">
        <v>13008</v>
      </c>
      <c r="AP697" t="s">
        <v>74</v>
      </c>
      <c r="AQ697" t="s">
        <v>74</v>
      </c>
      <c r="AR697" t="s">
        <v>13009</v>
      </c>
      <c r="AS697" t="s">
        <v>74</v>
      </c>
      <c r="AT697" t="s">
        <v>74</v>
      </c>
      <c r="AU697">
        <v>2012</v>
      </c>
      <c r="AV697">
        <v>1</v>
      </c>
      <c r="AW697" t="s">
        <v>74</v>
      </c>
      <c r="AX697" t="s">
        <v>74</v>
      </c>
      <c r="AY697" t="s">
        <v>74</v>
      </c>
      <c r="AZ697" t="s">
        <v>74</v>
      </c>
      <c r="BA697" t="s">
        <v>74</v>
      </c>
      <c r="BB697">
        <v>74</v>
      </c>
      <c r="BC697">
        <v>78</v>
      </c>
      <c r="BD697" t="s">
        <v>74</v>
      </c>
      <c r="BE697" t="s">
        <v>13010</v>
      </c>
      <c r="BF697" t="str">
        <f>HYPERLINK("http://dx.doi.org/10.1016/j.apcbee.2012.03.013","http://dx.doi.org/10.1016/j.apcbee.2012.03.013")</f>
        <v>http://dx.doi.org/10.1016/j.apcbee.2012.03.013</v>
      </c>
      <c r="BG697" t="s">
        <v>74</v>
      </c>
      <c r="BH697" t="s">
        <v>74</v>
      </c>
      <c r="BI697">
        <v>5</v>
      </c>
      <c r="BJ697" t="s">
        <v>1401</v>
      </c>
      <c r="BK697" t="s">
        <v>12109</v>
      </c>
      <c r="BL697" t="s">
        <v>1402</v>
      </c>
      <c r="BM697" t="s">
        <v>13011</v>
      </c>
      <c r="BN697" t="s">
        <v>74</v>
      </c>
      <c r="BO697" t="s">
        <v>1094</v>
      </c>
      <c r="BP697" t="s">
        <v>74</v>
      </c>
      <c r="BQ697" t="s">
        <v>74</v>
      </c>
      <c r="BR697" t="s">
        <v>101</v>
      </c>
      <c r="BS697" t="s">
        <v>13012</v>
      </c>
      <c r="BT697" t="str">
        <f>HYPERLINK("https%3A%2F%2Fwww.webofscience.com%2Fwos%2Fwoscc%2Ffull-record%2FWOS:000314466700012","View Full Record in Web of Science")</f>
        <v>View Full Record in Web of Science</v>
      </c>
    </row>
    <row r="698" spans="1:72" x14ac:dyDescent="0.15">
      <c r="A698" t="s">
        <v>12256</v>
      </c>
      <c r="B698" t="s">
        <v>13013</v>
      </c>
      <c r="C698" t="s">
        <v>74</v>
      </c>
      <c r="D698" t="s">
        <v>13014</v>
      </c>
      <c r="E698" t="s">
        <v>74</v>
      </c>
      <c r="F698" t="s">
        <v>13015</v>
      </c>
      <c r="G698" t="s">
        <v>74</v>
      </c>
      <c r="H698" t="s">
        <v>74</v>
      </c>
      <c r="I698" t="s">
        <v>13016</v>
      </c>
      <c r="J698" t="s">
        <v>13017</v>
      </c>
      <c r="K698" t="s">
        <v>74</v>
      </c>
      <c r="L698" t="s">
        <v>74</v>
      </c>
      <c r="M698" t="s">
        <v>78</v>
      </c>
      <c r="N698" t="s">
        <v>12141</v>
      </c>
      <c r="O698" t="s">
        <v>74</v>
      </c>
      <c r="P698" t="s">
        <v>74</v>
      </c>
      <c r="Q698" t="s">
        <v>74</v>
      </c>
      <c r="R698" t="s">
        <v>74</v>
      </c>
      <c r="S698" t="s">
        <v>74</v>
      </c>
      <c r="T698" t="s">
        <v>74</v>
      </c>
      <c r="U698" t="s">
        <v>13018</v>
      </c>
      <c r="V698" t="s">
        <v>74</v>
      </c>
      <c r="W698" t="s">
        <v>13019</v>
      </c>
      <c r="X698" t="s">
        <v>13020</v>
      </c>
      <c r="Y698" t="s">
        <v>13021</v>
      </c>
      <c r="Z698" t="s">
        <v>74</v>
      </c>
      <c r="AA698" t="s">
        <v>13022</v>
      </c>
      <c r="AB698" t="s">
        <v>13023</v>
      </c>
      <c r="AC698" t="s">
        <v>74</v>
      </c>
      <c r="AD698" t="s">
        <v>74</v>
      </c>
      <c r="AE698" t="s">
        <v>74</v>
      </c>
      <c r="AF698" t="s">
        <v>74</v>
      </c>
      <c r="AG698">
        <v>51</v>
      </c>
      <c r="AH698">
        <v>10</v>
      </c>
      <c r="AI698">
        <v>10</v>
      </c>
      <c r="AJ698">
        <v>0</v>
      </c>
      <c r="AK698">
        <v>4</v>
      </c>
      <c r="AL698" t="s">
        <v>12312</v>
      </c>
      <c r="AM698" t="s">
        <v>12328</v>
      </c>
      <c r="AN698" t="s">
        <v>12329</v>
      </c>
      <c r="AO698" t="s">
        <v>74</v>
      </c>
      <c r="AP698" t="s">
        <v>74</v>
      </c>
      <c r="AQ698" t="s">
        <v>13024</v>
      </c>
      <c r="AR698" t="s">
        <v>74</v>
      </c>
      <c r="AS698" t="s">
        <v>74</v>
      </c>
      <c r="AT698" t="s">
        <v>74</v>
      </c>
      <c r="AU698">
        <v>2012</v>
      </c>
      <c r="AV698" t="s">
        <v>74</v>
      </c>
      <c r="AW698" t="s">
        <v>74</v>
      </c>
      <c r="AX698" t="s">
        <v>74</v>
      </c>
      <c r="AY698" t="s">
        <v>74</v>
      </c>
      <c r="AZ698" t="s">
        <v>74</v>
      </c>
      <c r="BA698" t="s">
        <v>74</v>
      </c>
      <c r="BB698">
        <v>135</v>
      </c>
      <c r="BC698">
        <v>156</v>
      </c>
      <c r="BD698" t="s">
        <v>74</v>
      </c>
      <c r="BE698" t="s">
        <v>74</v>
      </c>
      <c r="BF698" t="s">
        <v>74</v>
      </c>
      <c r="BG698" t="s">
        <v>74</v>
      </c>
      <c r="BH698" t="s">
        <v>74</v>
      </c>
      <c r="BI698">
        <v>22</v>
      </c>
      <c r="BJ698" t="s">
        <v>13025</v>
      </c>
      <c r="BK698" t="s">
        <v>12417</v>
      </c>
      <c r="BL698" t="s">
        <v>1259</v>
      </c>
      <c r="BM698" t="s">
        <v>13026</v>
      </c>
      <c r="BN698" t="s">
        <v>74</v>
      </c>
      <c r="BO698" t="s">
        <v>74</v>
      </c>
      <c r="BP698" t="s">
        <v>74</v>
      </c>
      <c r="BQ698" t="s">
        <v>74</v>
      </c>
      <c r="BR698" t="s">
        <v>101</v>
      </c>
      <c r="BS698" t="s">
        <v>13027</v>
      </c>
      <c r="BT698" t="str">
        <f>HYPERLINK("https%3A%2F%2Fwww.webofscience.com%2Fwos%2Fwoscc%2Ffull-record%2FWOS:000313630700006","View Full Record in Web of Science")</f>
        <v>View Full Record in Web of Science</v>
      </c>
    </row>
    <row r="699" spans="1:72" x14ac:dyDescent="0.15">
      <c r="A699" t="s">
        <v>72</v>
      </c>
      <c r="B699" t="s">
        <v>13028</v>
      </c>
      <c r="C699" t="s">
        <v>74</v>
      </c>
      <c r="D699" t="s">
        <v>74</v>
      </c>
      <c r="E699" t="s">
        <v>74</v>
      </c>
      <c r="F699" t="s">
        <v>13029</v>
      </c>
      <c r="G699" t="s">
        <v>74</v>
      </c>
      <c r="H699" t="s">
        <v>74</v>
      </c>
      <c r="I699" t="s">
        <v>13030</v>
      </c>
      <c r="J699" t="s">
        <v>13031</v>
      </c>
      <c r="K699" t="s">
        <v>74</v>
      </c>
      <c r="L699" t="s">
        <v>74</v>
      </c>
      <c r="M699" t="s">
        <v>78</v>
      </c>
      <c r="N699" t="s">
        <v>79</v>
      </c>
      <c r="O699" t="s">
        <v>74</v>
      </c>
      <c r="P699" t="s">
        <v>74</v>
      </c>
      <c r="Q699" t="s">
        <v>74</v>
      </c>
      <c r="R699" t="s">
        <v>74</v>
      </c>
      <c r="S699" t="s">
        <v>74</v>
      </c>
      <c r="T699" t="s">
        <v>13032</v>
      </c>
      <c r="U699" t="s">
        <v>13033</v>
      </c>
      <c r="V699" t="s">
        <v>13034</v>
      </c>
      <c r="W699" t="s">
        <v>13035</v>
      </c>
      <c r="X699" t="s">
        <v>13036</v>
      </c>
      <c r="Y699" t="s">
        <v>13037</v>
      </c>
      <c r="Z699" t="s">
        <v>13038</v>
      </c>
      <c r="AA699" t="s">
        <v>13039</v>
      </c>
      <c r="AB699" t="s">
        <v>13040</v>
      </c>
      <c r="AC699" t="s">
        <v>13041</v>
      </c>
      <c r="AD699" t="s">
        <v>13041</v>
      </c>
      <c r="AE699" t="s">
        <v>13042</v>
      </c>
      <c r="AF699" t="s">
        <v>74</v>
      </c>
      <c r="AG699">
        <v>32</v>
      </c>
      <c r="AH699">
        <v>7</v>
      </c>
      <c r="AI699">
        <v>9</v>
      </c>
      <c r="AJ699">
        <v>1</v>
      </c>
      <c r="AK699">
        <v>27</v>
      </c>
      <c r="AL699" t="s">
        <v>13043</v>
      </c>
      <c r="AM699" t="s">
        <v>13044</v>
      </c>
      <c r="AN699" t="s">
        <v>13045</v>
      </c>
      <c r="AO699" t="s">
        <v>13046</v>
      </c>
      <c r="AP699" t="s">
        <v>13047</v>
      </c>
      <c r="AQ699" t="s">
        <v>74</v>
      </c>
      <c r="AR699" t="s">
        <v>13048</v>
      </c>
      <c r="AS699" t="s">
        <v>13049</v>
      </c>
      <c r="AT699" t="s">
        <v>74</v>
      </c>
      <c r="AU699">
        <v>2012</v>
      </c>
      <c r="AV699">
        <v>40</v>
      </c>
      <c r="AW699">
        <v>2</v>
      </c>
      <c r="AX699" t="s">
        <v>74</v>
      </c>
      <c r="AY699" t="s">
        <v>74</v>
      </c>
      <c r="AZ699" t="s">
        <v>74</v>
      </c>
      <c r="BA699" t="s">
        <v>74</v>
      </c>
      <c r="BB699">
        <v>467</v>
      </c>
      <c r="BC699">
        <v>472</v>
      </c>
      <c r="BD699" t="s">
        <v>74</v>
      </c>
      <c r="BE699" t="s">
        <v>13050</v>
      </c>
      <c r="BF699" t="str">
        <f>HYPERLINK("http://dx.doi.org/10.3856/vol40-issue2-fulltext-23","http://dx.doi.org/10.3856/vol40-issue2-fulltext-23")</f>
        <v>http://dx.doi.org/10.3856/vol40-issue2-fulltext-23</v>
      </c>
      <c r="BG699" t="s">
        <v>74</v>
      </c>
      <c r="BH699" t="s">
        <v>74</v>
      </c>
      <c r="BI699">
        <v>6</v>
      </c>
      <c r="BJ699" t="s">
        <v>3942</v>
      </c>
      <c r="BK699" t="s">
        <v>99</v>
      </c>
      <c r="BL699" t="s">
        <v>3942</v>
      </c>
      <c r="BM699" t="s">
        <v>13051</v>
      </c>
      <c r="BN699" t="s">
        <v>74</v>
      </c>
      <c r="BO699" t="s">
        <v>13052</v>
      </c>
      <c r="BP699" t="s">
        <v>74</v>
      </c>
      <c r="BQ699" t="s">
        <v>74</v>
      </c>
      <c r="BR699" t="s">
        <v>101</v>
      </c>
      <c r="BS699" t="s">
        <v>13053</v>
      </c>
      <c r="BT699" t="str">
        <f>HYPERLINK("https%3A%2F%2Fwww.webofscience.com%2Fwos%2Fwoscc%2Ffull-record%2FWOS:000314513500023","View Full Record in Web of Science")</f>
        <v>View Full Record in Web of Science</v>
      </c>
    </row>
    <row r="700" spans="1:72" x14ac:dyDescent="0.15">
      <c r="A700" t="s">
        <v>72</v>
      </c>
      <c r="B700" t="s">
        <v>13054</v>
      </c>
      <c r="C700" t="s">
        <v>74</v>
      </c>
      <c r="D700" t="s">
        <v>74</v>
      </c>
      <c r="E700" t="s">
        <v>74</v>
      </c>
      <c r="F700" t="s">
        <v>13055</v>
      </c>
      <c r="G700" t="s">
        <v>74</v>
      </c>
      <c r="H700" t="s">
        <v>74</v>
      </c>
      <c r="I700" t="s">
        <v>13056</v>
      </c>
      <c r="J700" t="s">
        <v>13031</v>
      </c>
      <c r="K700" t="s">
        <v>74</v>
      </c>
      <c r="L700" t="s">
        <v>74</v>
      </c>
      <c r="M700" t="s">
        <v>78</v>
      </c>
      <c r="N700" t="s">
        <v>79</v>
      </c>
      <c r="O700" t="s">
        <v>74</v>
      </c>
      <c r="P700" t="s">
        <v>74</v>
      </c>
      <c r="Q700" t="s">
        <v>74</v>
      </c>
      <c r="R700" t="s">
        <v>74</v>
      </c>
      <c r="S700" t="s">
        <v>74</v>
      </c>
      <c r="T700" t="s">
        <v>13057</v>
      </c>
      <c r="U700" t="s">
        <v>13058</v>
      </c>
      <c r="V700" t="s">
        <v>13059</v>
      </c>
      <c r="W700" t="s">
        <v>13060</v>
      </c>
      <c r="X700" t="s">
        <v>13061</v>
      </c>
      <c r="Y700" t="s">
        <v>13037</v>
      </c>
      <c r="Z700" t="s">
        <v>13038</v>
      </c>
      <c r="AA700" t="s">
        <v>13062</v>
      </c>
      <c r="AB700" t="s">
        <v>13063</v>
      </c>
      <c r="AC700" t="s">
        <v>13064</v>
      </c>
      <c r="AD700" t="s">
        <v>13065</v>
      </c>
      <c r="AE700" t="s">
        <v>13066</v>
      </c>
      <c r="AF700" t="s">
        <v>74</v>
      </c>
      <c r="AG700">
        <v>85</v>
      </c>
      <c r="AH700">
        <v>7</v>
      </c>
      <c r="AI700">
        <v>8</v>
      </c>
      <c r="AJ700">
        <v>0</v>
      </c>
      <c r="AK700">
        <v>14</v>
      </c>
      <c r="AL700" t="s">
        <v>13043</v>
      </c>
      <c r="AM700" t="s">
        <v>13044</v>
      </c>
      <c r="AN700" t="s">
        <v>13045</v>
      </c>
      <c r="AO700" t="s">
        <v>13046</v>
      </c>
      <c r="AP700" t="s">
        <v>13047</v>
      </c>
      <c r="AQ700" t="s">
        <v>74</v>
      </c>
      <c r="AR700" t="s">
        <v>13048</v>
      </c>
      <c r="AS700" t="s">
        <v>13049</v>
      </c>
      <c r="AT700" t="s">
        <v>74</v>
      </c>
      <c r="AU700">
        <v>2012</v>
      </c>
      <c r="AV700">
        <v>40</v>
      </c>
      <c r="AW700">
        <v>4</v>
      </c>
      <c r="AX700" t="s">
        <v>74</v>
      </c>
      <c r="AY700" t="s">
        <v>74</v>
      </c>
      <c r="AZ700" t="s">
        <v>74</v>
      </c>
      <c r="BA700" t="s">
        <v>74</v>
      </c>
      <c r="BB700">
        <v>914</v>
      </c>
      <c r="BC700">
        <v>928</v>
      </c>
      <c r="BD700" t="s">
        <v>74</v>
      </c>
      <c r="BE700" t="s">
        <v>13067</v>
      </c>
      <c r="BF700" t="str">
        <f>HYPERLINK("http://dx.doi.org/10.3856/vol40-issue4-fulltext-8","http://dx.doi.org/10.3856/vol40-issue4-fulltext-8")</f>
        <v>http://dx.doi.org/10.3856/vol40-issue4-fulltext-8</v>
      </c>
      <c r="BG700" t="s">
        <v>74</v>
      </c>
      <c r="BH700" t="s">
        <v>74</v>
      </c>
      <c r="BI700">
        <v>15</v>
      </c>
      <c r="BJ700" t="s">
        <v>3942</v>
      </c>
      <c r="BK700" t="s">
        <v>99</v>
      </c>
      <c r="BL700" t="s">
        <v>3942</v>
      </c>
      <c r="BM700" t="s">
        <v>13068</v>
      </c>
      <c r="BN700" t="s">
        <v>74</v>
      </c>
      <c r="BO700" t="s">
        <v>13069</v>
      </c>
      <c r="BP700" t="s">
        <v>74</v>
      </c>
      <c r="BQ700" t="s">
        <v>74</v>
      </c>
      <c r="BR700" t="s">
        <v>101</v>
      </c>
      <c r="BS700" t="s">
        <v>13070</v>
      </c>
      <c r="BT700" t="str">
        <f>HYPERLINK("https%3A%2F%2Fwww.webofscience.com%2Fwos%2Fwoscc%2Ffull-record%2FWOS:000314516300008","View Full Record in Web of Science")</f>
        <v>View Full Record in Web of Science</v>
      </c>
    </row>
    <row r="701" spans="1:72" x14ac:dyDescent="0.15">
      <c r="A701" t="s">
        <v>72</v>
      </c>
      <c r="B701" t="s">
        <v>13071</v>
      </c>
      <c r="C701" t="s">
        <v>74</v>
      </c>
      <c r="D701" t="s">
        <v>74</v>
      </c>
      <c r="E701" t="s">
        <v>74</v>
      </c>
      <c r="F701" t="s">
        <v>13072</v>
      </c>
      <c r="G701" t="s">
        <v>74</v>
      </c>
      <c r="H701" t="s">
        <v>74</v>
      </c>
      <c r="I701" t="s">
        <v>13073</v>
      </c>
      <c r="J701" t="s">
        <v>13074</v>
      </c>
      <c r="K701" t="s">
        <v>74</v>
      </c>
      <c r="L701" t="s">
        <v>74</v>
      </c>
      <c r="M701" t="s">
        <v>78</v>
      </c>
      <c r="N701" t="s">
        <v>79</v>
      </c>
      <c r="O701" t="s">
        <v>74</v>
      </c>
      <c r="P701" t="s">
        <v>74</v>
      </c>
      <c r="Q701" t="s">
        <v>74</v>
      </c>
      <c r="R701" t="s">
        <v>74</v>
      </c>
      <c r="S701" t="s">
        <v>74</v>
      </c>
      <c r="T701" t="s">
        <v>13075</v>
      </c>
      <c r="U701" t="s">
        <v>74</v>
      </c>
      <c r="V701" t="s">
        <v>13076</v>
      </c>
      <c r="W701" t="s">
        <v>13077</v>
      </c>
      <c r="X701" t="s">
        <v>13078</v>
      </c>
      <c r="Y701" t="s">
        <v>13079</v>
      </c>
      <c r="Z701" t="s">
        <v>13080</v>
      </c>
      <c r="AA701" t="s">
        <v>13081</v>
      </c>
      <c r="AB701" t="s">
        <v>13082</v>
      </c>
      <c r="AC701" t="s">
        <v>13083</v>
      </c>
      <c r="AD701" t="s">
        <v>13084</v>
      </c>
      <c r="AE701" t="s">
        <v>13085</v>
      </c>
      <c r="AF701" t="s">
        <v>74</v>
      </c>
      <c r="AG701">
        <v>16</v>
      </c>
      <c r="AH701">
        <v>0</v>
      </c>
      <c r="AI701">
        <v>0</v>
      </c>
      <c r="AJ701">
        <v>1</v>
      </c>
      <c r="AK701">
        <v>4</v>
      </c>
      <c r="AL701" t="s">
        <v>13086</v>
      </c>
      <c r="AM701" t="s">
        <v>13087</v>
      </c>
      <c r="AN701" t="s">
        <v>13088</v>
      </c>
      <c r="AO701" t="s">
        <v>13089</v>
      </c>
      <c r="AP701" t="s">
        <v>13090</v>
      </c>
      <c r="AQ701" t="s">
        <v>74</v>
      </c>
      <c r="AR701" t="s">
        <v>13074</v>
      </c>
      <c r="AS701" t="s">
        <v>13091</v>
      </c>
      <c r="AT701" t="s">
        <v>74</v>
      </c>
      <c r="AU701">
        <v>2012</v>
      </c>
      <c r="AV701">
        <v>58</v>
      </c>
      <c r="AW701">
        <v>4</v>
      </c>
      <c r="AX701" t="s">
        <v>74</v>
      </c>
      <c r="AY701" t="s">
        <v>74</v>
      </c>
      <c r="AZ701" t="s">
        <v>74</v>
      </c>
      <c r="BA701" t="s">
        <v>74</v>
      </c>
      <c r="BB701">
        <v>367</v>
      </c>
      <c r="BC701">
        <v>376</v>
      </c>
      <c r="BD701" t="s">
        <v>74</v>
      </c>
      <c r="BE701" t="s">
        <v>74</v>
      </c>
      <c r="BF701" t="s">
        <v>74</v>
      </c>
      <c r="BG701" t="s">
        <v>74</v>
      </c>
      <c r="BH701" t="s">
        <v>74</v>
      </c>
      <c r="BI701">
        <v>10</v>
      </c>
      <c r="BJ701" t="s">
        <v>5138</v>
      </c>
      <c r="BK701" t="s">
        <v>99</v>
      </c>
      <c r="BL701" t="s">
        <v>5138</v>
      </c>
      <c r="BM701" t="s">
        <v>13092</v>
      </c>
      <c r="BN701" t="s">
        <v>74</v>
      </c>
      <c r="BO701" t="s">
        <v>74</v>
      </c>
      <c r="BP701" t="s">
        <v>74</v>
      </c>
      <c r="BQ701" t="s">
        <v>74</v>
      </c>
      <c r="BR701" t="s">
        <v>101</v>
      </c>
      <c r="BS701" t="s">
        <v>13093</v>
      </c>
      <c r="BT701" t="str">
        <f>HYPERLINK("https%3A%2F%2Fwww.webofscience.com%2Fwos%2Fwoscc%2Ffull-record%2FWOS:000313597900004","View Full Record in Web of Science")</f>
        <v>View Full Record in Web of Science</v>
      </c>
    </row>
    <row r="702" spans="1:72" x14ac:dyDescent="0.15">
      <c r="A702" t="s">
        <v>12086</v>
      </c>
      <c r="B702" t="s">
        <v>13094</v>
      </c>
      <c r="C702" t="s">
        <v>74</v>
      </c>
      <c r="D702" t="s">
        <v>13095</v>
      </c>
      <c r="E702" t="s">
        <v>74</v>
      </c>
      <c r="F702" t="s">
        <v>13096</v>
      </c>
      <c r="G702" t="s">
        <v>74</v>
      </c>
      <c r="H702" t="s">
        <v>74</v>
      </c>
      <c r="I702" t="s">
        <v>13097</v>
      </c>
      <c r="J702" t="s">
        <v>13098</v>
      </c>
      <c r="K702" t="s">
        <v>12211</v>
      </c>
      <c r="L702" t="s">
        <v>74</v>
      </c>
      <c r="M702" t="s">
        <v>78</v>
      </c>
      <c r="N702" t="s">
        <v>12093</v>
      </c>
      <c r="O702" t="s">
        <v>13099</v>
      </c>
      <c r="P702" t="s">
        <v>13100</v>
      </c>
      <c r="Q702" t="s">
        <v>13101</v>
      </c>
      <c r="R702" t="s">
        <v>74</v>
      </c>
      <c r="S702" t="s">
        <v>13102</v>
      </c>
      <c r="T702" t="s">
        <v>13103</v>
      </c>
      <c r="U702" t="s">
        <v>74</v>
      </c>
      <c r="V702" t="s">
        <v>13104</v>
      </c>
      <c r="W702" t="s">
        <v>13105</v>
      </c>
      <c r="X702" t="s">
        <v>13106</v>
      </c>
      <c r="Y702" t="s">
        <v>13004</v>
      </c>
      <c r="Z702" t="s">
        <v>13005</v>
      </c>
      <c r="AA702" t="s">
        <v>74</v>
      </c>
      <c r="AB702" t="s">
        <v>74</v>
      </c>
      <c r="AC702" t="s">
        <v>13107</v>
      </c>
      <c r="AD702" t="s">
        <v>74</v>
      </c>
      <c r="AE702" t="s">
        <v>13108</v>
      </c>
      <c r="AF702" t="s">
        <v>74</v>
      </c>
      <c r="AG702">
        <v>17</v>
      </c>
      <c r="AH702">
        <v>3</v>
      </c>
      <c r="AI702">
        <v>3</v>
      </c>
      <c r="AJ702">
        <v>0</v>
      </c>
      <c r="AK702">
        <v>6</v>
      </c>
      <c r="AL702" t="s">
        <v>368</v>
      </c>
      <c r="AM702" t="s">
        <v>369</v>
      </c>
      <c r="AN702" t="s">
        <v>12224</v>
      </c>
      <c r="AO702" t="s">
        <v>12225</v>
      </c>
      <c r="AP702" t="s">
        <v>74</v>
      </c>
      <c r="AQ702" t="s">
        <v>74</v>
      </c>
      <c r="AR702" t="s">
        <v>12226</v>
      </c>
      <c r="AS702" t="s">
        <v>74</v>
      </c>
      <c r="AT702" t="s">
        <v>74</v>
      </c>
      <c r="AU702">
        <v>2012</v>
      </c>
      <c r="AV702">
        <v>35</v>
      </c>
      <c r="AW702" t="s">
        <v>74</v>
      </c>
      <c r="AX702" t="s">
        <v>74</v>
      </c>
      <c r="AY702" t="s">
        <v>74</v>
      </c>
      <c r="AZ702" t="s">
        <v>74</v>
      </c>
      <c r="BA702" t="s">
        <v>74</v>
      </c>
      <c r="BB702">
        <v>378</v>
      </c>
      <c r="BC702">
        <v>383</v>
      </c>
      <c r="BD702" t="s">
        <v>74</v>
      </c>
      <c r="BE702" t="s">
        <v>13109</v>
      </c>
      <c r="BF702" t="str">
        <f>HYPERLINK("http://dx.doi.org/10.1016/j.sbspro.2012.02.101","http://dx.doi.org/10.1016/j.sbspro.2012.02.101")</f>
        <v>http://dx.doi.org/10.1016/j.sbspro.2012.02.101</v>
      </c>
      <c r="BG702" t="s">
        <v>74</v>
      </c>
      <c r="BH702" t="s">
        <v>74</v>
      </c>
      <c r="BI702">
        <v>6</v>
      </c>
      <c r="BJ702" t="s">
        <v>13110</v>
      </c>
      <c r="BK702" t="s">
        <v>12229</v>
      </c>
      <c r="BL702" t="s">
        <v>3652</v>
      </c>
      <c r="BM702" t="s">
        <v>13111</v>
      </c>
      <c r="BN702" t="s">
        <v>74</v>
      </c>
      <c r="BO702" t="s">
        <v>9400</v>
      </c>
      <c r="BP702" t="s">
        <v>74</v>
      </c>
      <c r="BQ702" t="s">
        <v>74</v>
      </c>
      <c r="BR702" t="s">
        <v>101</v>
      </c>
      <c r="BS702" t="s">
        <v>13112</v>
      </c>
      <c r="BT702" t="str">
        <f>HYPERLINK("https%3A%2F%2Fwww.webofscience.com%2Fwos%2Fwoscc%2Ffull-record%2FWOS:000314129700044","View Full Record in Web of Science")</f>
        <v>View Full Record in Web of Science</v>
      </c>
    </row>
    <row r="703" spans="1:72" x14ac:dyDescent="0.15">
      <c r="A703" t="s">
        <v>12086</v>
      </c>
      <c r="B703" t="s">
        <v>13113</v>
      </c>
      <c r="C703" t="s">
        <v>74</v>
      </c>
      <c r="D703" t="s">
        <v>13095</v>
      </c>
      <c r="E703" t="s">
        <v>74</v>
      </c>
      <c r="F703" t="s">
        <v>13114</v>
      </c>
      <c r="G703" t="s">
        <v>74</v>
      </c>
      <c r="H703" t="s">
        <v>74</v>
      </c>
      <c r="I703" t="s">
        <v>13115</v>
      </c>
      <c r="J703" t="s">
        <v>13098</v>
      </c>
      <c r="K703" t="s">
        <v>12211</v>
      </c>
      <c r="L703" t="s">
        <v>74</v>
      </c>
      <c r="M703" t="s">
        <v>78</v>
      </c>
      <c r="N703" t="s">
        <v>12093</v>
      </c>
      <c r="O703" t="s">
        <v>13099</v>
      </c>
      <c r="P703" t="s">
        <v>13100</v>
      </c>
      <c r="Q703" t="s">
        <v>13101</v>
      </c>
      <c r="R703" t="s">
        <v>74</v>
      </c>
      <c r="S703" t="s">
        <v>13102</v>
      </c>
      <c r="T703" t="s">
        <v>13116</v>
      </c>
      <c r="U703" t="s">
        <v>74</v>
      </c>
      <c r="V703" t="s">
        <v>13117</v>
      </c>
      <c r="W703" t="s">
        <v>13118</v>
      </c>
      <c r="X703" t="s">
        <v>12220</v>
      </c>
      <c r="Y703" t="s">
        <v>74</v>
      </c>
      <c r="Z703" t="s">
        <v>13005</v>
      </c>
      <c r="AA703" t="s">
        <v>13006</v>
      </c>
      <c r="AB703" t="s">
        <v>13007</v>
      </c>
      <c r="AC703" t="s">
        <v>74</v>
      </c>
      <c r="AD703" t="s">
        <v>74</v>
      </c>
      <c r="AE703" t="s">
        <v>74</v>
      </c>
      <c r="AF703" t="s">
        <v>74</v>
      </c>
      <c r="AG703">
        <v>19</v>
      </c>
      <c r="AH703">
        <v>3</v>
      </c>
      <c r="AI703">
        <v>3</v>
      </c>
      <c r="AJ703">
        <v>0</v>
      </c>
      <c r="AK703">
        <v>9</v>
      </c>
      <c r="AL703" t="s">
        <v>368</v>
      </c>
      <c r="AM703" t="s">
        <v>369</v>
      </c>
      <c r="AN703" t="s">
        <v>12224</v>
      </c>
      <c r="AO703" t="s">
        <v>12225</v>
      </c>
      <c r="AP703" t="s">
        <v>74</v>
      </c>
      <c r="AQ703" t="s">
        <v>74</v>
      </c>
      <c r="AR703" t="s">
        <v>12226</v>
      </c>
      <c r="AS703" t="s">
        <v>74</v>
      </c>
      <c r="AT703" t="s">
        <v>74</v>
      </c>
      <c r="AU703">
        <v>2012</v>
      </c>
      <c r="AV703">
        <v>35</v>
      </c>
      <c r="AW703" t="s">
        <v>74</v>
      </c>
      <c r="AX703" t="s">
        <v>74</v>
      </c>
      <c r="AY703" t="s">
        <v>74</v>
      </c>
      <c r="AZ703" t="s">
        <v>74</v>
      </c>
      <c r="BA703" t="s">
        <v>74</v>
      </c>
      <c r="BB703">
        <v>384</v>
      </c>
      <c r="BC703">
        <v>388</v>
      </c>
      <c r="BD703" t="s">
        <v>74</v>
      </c>
      <c r="BE703" t="s">
        <v>13119</v>
      </c>
      <c r="BF703" t="str">
        <f>HYPERLINK("http://dx.doi.org/10.1016/j.sbspro.2012.02.102","http://dx.doi.org/10.1016/j.sbspro.2012.02.102")</f>
        <v>http://dx.doi.org/10.1016/j.sbspro.2012.02.102</v>
      </c>
      <c r="BG703" t="s">
        <v>74</v>
      </c>
      <c r="BH703" t="s">
        <v>74</v>
      </c>
      <c r="BI703">
        <v>5</v>
      </c>
      <c r="BJ703" t="s">
        <v>13110</v>
      </c>
      <c r="BK703" t="s">
        <v>12229</v>
      </c>
      <c r="BL703" t="s">
        <v>3652</v>
      </c>
      <c r="BM703" t="s">
        <v>13111</v>
      </c>
      <c r="BN703" t="s">
        <v>74</v>
      </c>
      <c r="BO703" t="s">
        <v>9400</v>
      </c>
      <c r="BP703" t="s">
        <v>74</v>
      </c>
      <c r="BQ703" t="s">
        <v>74</v>
      </c>
      <c r="BR703" t="s">
        <v>101</v>
      </c>
      <c r="BS703" t="s">
        <v>13120</v>
      </c>
      <c r="BT703" t="str">
        <f>HYPERLINK("https%3A%2F%2Fwww.webofscience.com%2Fwos%2Fwoscc%2Ffull-record%2FWOS:000314129700045","View Full Record in Web of Science")</f>
        <v>View Full Record in Web of Science</v>
      </c>
    </row>
    <row r="704" spans="1:72" x14ac:dyDescent="0.15">
      <c r="A704" t="s">
        <v>12086</v>
      </c>
      <c r="B704" t="s">
        <v>13121</v>
      </c>
      <c r="C704" t="s">
        <v>74</v>
      </c>
      <c r="D704" t="s">
        <v>13095</v>
      </c>
      <c r="E704" t="s">
        <v>74</v>
      </c>
      <c r="F704" t="s">
        <v>13122</v>
      </c>
      <c r="G704" t="s">
        <v>74</v>
      </c>
      <c r="H704" t="s">
        <v>74</v>
      </c>
      <c r="I704" t="s">
        <v>13123</v>
      </c>
      <c r="J704" t="s">
        <v>13098</v>
      </c>
      <c r="K704" t="s">
        <v>12211</v>
      </c>
      <c r="L704" t="s">
        <v>74</v>
      </c>
      <c r="M704" t="s">
        <v>78</v>
      </c>
      <c r="N704" t="s">
        <v>12093</v>
      </c>
      <c r="O704" t="s">
        <v>13099</v>
      </c>
      <c r="P704" t="s">
        <v>13100</v>
      </c>
      <c r="Q704" t="s">
        <v>13101</v>
      </c>
      <c r="R704" t="s">
        <v>74</v>
      </c>
      <c r="S704" t="s">
        <v>13102</v>
      </c>
      <c r="T704" t="s">
        <v>13124</v>
      </c>
      <c r="U704" t="s">
        <v>74</v>
      </c>
      <c r="V704" t="s">
        <v>13125</v>
      </c>
      <c r="W704" t="s">
        <v>13126</v>
      </c>
      <c r="X704" t="s">
        <v>13106</v>
      </c>
      <c r="Y704" t="s">
        <v>13127</v>
      </c>
      <c r="Z704" t="s">
        <v>13128</v>
      </c>
      <c r="AA704" t="s">
        <v>13006</v>
      </c>
      <c r="AB704" t="s">
        <v>13007</v>
      </c>
      <c r="AC704" t="s">
        <v>13129</v>
      </c>
      <c r="AD704" t="s">
        <v>13130</v>
      </c>
      <c r="AE704" t="s">
        <v>13131</v>
      </c>
      <c r="AF704" t="s">
        <v>74</v>
      </c>
      <c r="AG704">
        <v>8</v>
      </c>
      <c r="AH704">
        <v>5</v>
      </c>
      <c r="AI704">
        <v>5</v>
      </c>
      <c r="AJ704">
        <v>1</v>
      </c>
      <c r="AK704">
        <v>10</v>
      </c>
      <c r="AL704" t="s">
        <v>368</v>
      </c>
      <c r="AM704" t="s">
        <v>369</v>
      </c>
      <c r="AN704" t="s">
        <v>12224</v>
      </c>
      <c r="AO704" t="s">
        <v>12225</v>
      </c>
      <c r="AP704" t="s">
        <v>74</v>
      </c>
      <c r="AQ704" t="s">
        <v>74</v>
      </c>
      <c r="AR704" t="s">
        <v>12226</v>
      </c>
      <c r="AS704" t="s">
        <v>74</v>
      </c>
      <c r="AT704" t="s">
        <v>74</v>
      </c>
      <c r="AU704">
        <v>2012</v>
      </c>
      <c r="AV704">
        <v>35</v>
      </c>
      <c r="AW704" t="s">
        <v>74</v>
      </c>
      <c r="AX704" t="s">
        <v>74</v>
      </c>
      <c r="AY704" t="s">
        <v>74</v>
      </c>
      <c r="AZ704" t="s">
        <v>74</v>
      </c>
      <c r="BA704" t="s">
        <v>74</v>
      </c>
      <c r="BB704">
        <v>398</v>
      </c>
      <c r="BC704">
        <v>403</v>
      </c>
      <c r="BD704" t="s">
        <v>74</v>
      </c>
      <c r="BE704" t="s">
        <v>13132</v>
      </c>
      <c r="BF704" t="str">
        <f>HYPERLINK("http://dx.doi.org/10.1016/j.sbspro.2012.02.104","http://dx.doi.org/10.1016/j.sbspro.2012.02.104")</f>
        <v>http://dx.doi.org/10.1016/j.sbspro.2012.02.104</v>
      </c>
      <c r="BG704" t="s">
        <v>74</v>
      </c>
      <c r="BH704" t="s">
        <v>74</v>
      </c>
      <c r="BI704">
        <v>6</v>
      </c>
      <c r="BJ704" t="s">
        <v>13110</v>
      </c>
      <c r="BK704" t="s">
        <v>12229</v>
      </c>
      <c r="BL704" t="s">
        <v>3652</v>
      </c>
      <c r="BM704" t="s">
        <v>13111</v>
      </c>
      <c r="BN704" t="s">
        <v>74</v>
      </c>
      <c r="BO704" t="s">
        <v>9400</v>
      </c>
      <c r="BP704" t="s">
        <v>74</v>
      </c>
      <c r="BQ704" t="s">
        <v>74</v>
      </c>
      <c r="BR704" t="s">
        <v>101</v>
      </c>
      <c r="BS704" t="s">
        <v>13133</v>
      </c>
      <c r="BT704" t="str">
        <f>HYPERLINK("https%3A%2F%2Fwww.webofscience.com%2Fwos%2Fwoscc%2Ffull-record%2FWOS:000314129700047","View Full Record in Web of Science")</f>
        <v>View Full Record in Web of Science</v>
      </c>
    </row>
    <row r="705" spans="1:72" x14ac:dyDescent="0.15">
      <c r="A705" t="s">
        <v>72</v>
      </c>
      <c r="B705" t="s">
        <v>13134</v>
      </c>
      <c r="C705" t="s">
        <v>74</v>
      </c>
      <c r="D705" t="s">
        <v>74</v>
      </c>
      <c r="E705" t="s">
        <v>74</v>
      </c>
      <c r="F705" t="s">
        <v>13135</v>
      </c>
      <c r="G705" t="s">
        <v>74</v>
      </c>
      <c r="H705" t="s">
        <v>74</v>
      </c>
      <c r="I705" t="s">
        <v>13136</v>
      </c>
      <c r="J705" t="s">
        <v>13137</v>
      </c>
      <c r="K705" t="s">
        <v>74</v>
      </c>
      <c r="L705" t="s">
        <v>74</v>
      </c>
      <c r="M705" t="s">
        <v>78</v>
      </c>
      <c r="N705" t="s">
        <v>79</v>
      </c>
      <c r="O705" t="s">
        <v>74</v>
      </c>
      <c r="P705" t="s">
        <v>74</v>
      </c>
      <c r="Q705" t="s">
        <v>74</v>
      </c>
      <c r="R705" t="s">
        <v>74</v>
      </c>
      <c r="S705" t="s">
        <v>74</v>
      </c>
      <c r="T705" t="s">
        <v>13138</v>
      </c>
      <c r="U705" t="s">
        <v>74</v>
      </c>
      <c r="V705" t="s">
        <v>13139</v>
      </c>
      <c r="W705" t="s">
        <v>13140</v>
      </c>
      <c r="X705" t="s">
        <v>13141</v>
      </c>
      <c r="Y705" t="s">
        <v>13142</v>
      </c>
      <c r="Z705" t="s">
        <v>74</v>
      </c>
      <c r="AA705" t="s">
        <v>74</v>
      </c>
      <c r="AB705" t="s">
        <v>74</v>
      </c>
      <c r="AC705" t="s">
        <v>74</v>
      </c>
      <c r="AD705" t="s">
        <v>74</v>
      </c>
      <c r="AE705" t="s">
        <v>74</v>
      </c>
      <c r="AF705" t="s">
        <v>74</v>
      </c>
      <c r="AG705">
        <v>36</v>
      </c>
      <c r="AH705">
        <v>19</v>
      </c>
      <c r="AI705">
        <v>20</v>
      </c>
      <c r="AJ705">
        <v>2</v>
      </c>
      <c r="AK705">
        <v>24</v>
      </c>
      <c r="AL705" t="s">
        <v>13143</v>
      </c>
      <c r="AM705" t="s">
        <v>582</v>
      </c>
      <c r="AN705" t="s">
        <v>13144</v>
      </c>
      <c r="AO705" t="s">
        <v>13145</v>
      </c>
      <c r="AP705" t="s">
        <v>13146</v>
      </c>
      <c r="AQ705" t="s">
        <v>74</v>
      </c>
      <c r="AR705" t="s">
        <v>13147</v>
      </c>
      <c r="AS705" t="s">
        <v>13148</v>
      </c>
      <c r="AT705" t="s">
        <v>74</v>
      </c>
      <c r="AU705">
        <v>2012</v>
      </c>
      <c r="AV705">
        <v>27</v>
      </c>
      <c r="AW705">
        <v>2</v>
      </c>
      <c r="AX705" t="s">
        <v>74</v>
      </c>
      <c r="AY705" t="s">
        <v>74</v>
      </c>
      <c r="AZ705" t="s">
        <v>74</v>
      </c>
      <c r="BA705" t="s">
        <v>74</v>
      </c>
      <c r="BB705">
        <v>375</v>
      </c>
      <c r="BC705">
        <v>433</v>
      </c>
      <c r="BD705" t="s">
        <v>74</v>
      </c>
      <c r="BE705" t="s">
        <v>13149</v>
      </c>
      <c r="BF705" t="str">
        <f>HYPERLINK("http://dx.doi.org/10.1163/157180812X637984","http://dx.doi.org/10.1163/157180812X637984")</f>
        <v>http://dx.doi.org/10.1163/157180812X637984</v>
      </c>
      <c r="BG705" t="s">
        <v>74</v>
      </c>
      <c r="BH705" t="s">
        <v>74</v>
      </c>
      <c r="BI705">
        <v>59</v>
      </c>
      <c r="BJ705" t="s">
        <v>13150</v>
      </c>
      <c r="BK705" t="s">
        <v>2192</v>
      </c>
      <c r="BL705" t="s">
        <v>7149</v>
      </c>
      <c r="BM705" t="s">
        <v>13151</v>
      </c>
      <c r="BN705" t="s">
        <v>74</v>
      </c>
      <c r="BO705" t="s">
        <v>156</v>
      </c>
      <c r="BP705" t="s">
        <v>74</v>
      </c>
      <c r="BQ705" t="s">
        <v>74</v>
      </c>
      <c r="BR705" t="s">
        <v>101</v>
      </c>
      <c r="BS705" t="s">
        <v>13152</v>
      </c>
      <c r="BT705" t="str">
        <f>HYPERLINK("https%3A%2F%2Fwww.webofscience.com%2Fwos%2Fwoscc%2Ffull-record%2FWOS:000313823900007","View Full Record in Web of Science")</f>
        <v>View Full Record in Web of Science</v>
      </c>
    </row>
    <row r="706" spans="1:72" x14ac:dyDescent="0.15">
      <c r="A706" t="s">
        <v>72</v>
      </c>
      <c r="B706" t="s">
        <v>13153</v>
      </c>
      <c r="C706" t="s">
        <v>74</v>
      </c>
      <c r="D706" t="s">
        <v>74</v>
      </c>
      <c r="E706" t="s">
        <v>74</v>
      </c>
      <c r="F706" t="s">
        <v>13154</v>
      </c>
      <c r="G706" t="s">
        <v>74</v>
      </c>
      <c r="H706" t="s">
        <v>74</v>
      </c>
      <c r="I706" t="s">
        <v>13155</v>
      </c>
      <c r="J706" t="s">
        <v>13137</v>
      </c>
      <c r="K706" t="s">
        <v>74</v>
      </c>
      <c r="L706" t="s">
        <v>74</v>
      </c>
      <c r="M706" t="s">
        <v>78</v>
      </c>
      <c r="N706" t="s">
        <v>79</v>
      </c>
      <c r="O706" t="s">
        <v>74</v>
      </c>
      <c r="P706" t="s">
        <v>74</v>
      </c>
      <c r="Q706" t="s">
        <v>74</v>
      </c>
      <c r="R706" t="s">
        <v>74</v>
      </c>
      <c r="S706" t="s">
        <v>74</v>
      </c>
      <c r="T706" t="s">
        <v>13156</v>
      </c>
      <c r="U706" t="s">
        <v>13157</v>
      </c>
      <c r="V706" t="s">
        <v>13158</v>
      </c>
      <c r="W706" t="s">
        <v>13159</v>
      </c>
      <c r="X706" t="s">
        <v>13160</v>
      </c>
      <c r="Y706" t="s">
        <v>13161</v>
      </c>
      <c r="Z706" t="s">
        <v>13162</v>
      </c>
      <c r="AA706" t="s">
        <v>74</v>
      </c>
      <c r="AB706" t="s">
        <v>13163</v>
      </c>
      <c r="AC706" t="s">
        <v>74</v>
      </c>
      <c r="AD706" t="s">
        <v>74</v>
      </c>
      <c r="AE706" t="s">
        <v>74</v>
      </c>
      <c r="AF706" t="s">
        <v>74</v>
      </c>
      <c r="AG706">
        <v>34</v>
      </c>
      <c r="AH706">
        <v>13</v>
      </c>
      <c r="AI706">
        <v>14</v>
      </c>
      <c r="AJ706">
        <v>1</v>
      </c>
      <c r="AK706">
        <v>17</v>
      </c>
      <c r="AL706" t="s">
        <v>13143</v>
      </c>
      <c r="AM706" t="s">
        <v>582</v>
      </c>
      <c r="AN706" t="s">
        <v>13144</v>
      </c>
      <c r="AO706" t="s">
        <v>13145</v>
      </c>
      <c r="AP706" t="s">
        <v>13146</v>
      </c>
      <c r="AQ706" t="s">
        <v>74</v>
      </c>
      <c r="AR706" t="s">
        <v>13147</v>
      </c>
      <c r="AS706" t="s">
        <v>13148</v>
      </c>
      <c r="AT706" t="s">
        <v>74</v>
      </c>
      <c r="AU706">
        <v>2012</v>
      </c>
      <c r="AV706">
        <v>27</v>
      </c>
      <c r="AW706">
        <v>2</v>
      </c>
      <c r="AX706" t="s">
        <v>74</v>
      </c>
      <c r="AY706" t="s">
        <v>74</v>
      </c>
      <c r="AZ706" t="s">
        <v>74</v>
      </c>
      <c r="BA706" t="s">
        <v>74</v>
      </c>
      <c r="BB706">
        <v>435</v>
      </c>
      <c r="BC706">
        <v>448</v>
      </c>
      <c r="BD706" t="s">
        <v>74</v>
      </c>
      <c r="BE706" t="s">
        <v>13164</v>
      </c>
      <c r="BF706" t="str">
        <f>HYPERLINK("http://dx.doi.org/10.1163/157180812X633645","http://dx.doi.org/10.1163/157180812X633645")</f>
        <v>http://dx.doi.org/10.1163/157180812X633645</v>
      </c>
      <c r="BG706" t="s">
        <v>74</v>
      </c>
      <c r="BH706" t="s">
        <v>74</v>
      </c>
      <c r="BI706">
        <v>14</v>
      </c>
      <c r="BJ706" t="s">
        <v>13150</v>
      </c>
      <c r="BK706" t="s">
        <v>2192</v>
      </c>
      <c r="BL706" t="s">
        <v>7149</v>
      </c>
      <c r="BM706" t="s">
        <v>13151</v>
      </c>
      <c r="BN706" t="s">
        <v>74</v>
      </c>
      <c r="BO706" t="s">
        <v>74</v>
      </c>
      <c r="BP706" t="s">
        <v>74</v>
      </c>
      <c r="BQ706" t="s">
        <v>74</v>
      </c>
      <c r="BR706" t="s">
        <v>101</v>
      </c>
      <c r="BS706" t="s">
        <v>13165</v>
      </c>
      <c r="BT706" t="str">
        <f>HYPERLINK("https%3A%2F%2Fwww.webofscience.com%2Fwos%2Fwoscc%2Ffull-record%2FWOS:000313823900008","View Full Record in Web of Science")</f>
        <v>View Full Record in Web of Science</v>
      </c>
    </row>
    <row r="707" spans="1:72" x14ac:dyDescent="0.15">
      <c r="A707" t="s">
        <v>72</v>
      </c>
      <c r="B707" t="s">
        <v>13166</v>
      </c>
      <c r="C707" t="s">
        <v>74</v>
      </c>
      <c r="D707" t="s">
        <v>74</v>
      </c>
      <c r="E707" t="s">
        <v>74</v>
      </c>
      <c r="F707" t="s">
        <v>13167</v>
      </c>
      <c r="G707" t="s">
        <v>74</v>
      </c>
      <c r="H707" t="s">
        <v>74</v>
      </c>
      <c r="I707" t="s">
        <v>13168</v>
      </c>
      <c r="J707" t="s">
        <v>13169</v>
      </c>
      <c r="K707" t="s">
        <v>74</v>
      </c>
      <c r="L707" t="s">
        <v>74</v>
      </c>
      <c r="M707" t="s">
        <v>78</v>
      </c>
      <c r="N707" t="s">
        <v>2606</v>
      </c>
      <c r="O707" t="s">
        <v>13170</v>
      </c>
      <c r="P707" t="s">
        <v>13171</v>
      </c>
      <c r="Q707" t="s">
        <v>13172</v>
      </c>
      <c r="R707" t="s">
        <v>74</v>
      </c>
      <c r="S707" t="s">
        <v>74</v>
      </c>
      <c r="T707" t="s">
        <v>74</v>
      </c>
      <c r="U707" t="s">
        <v>74</v>
      </c>
      <c r="V707" t="s">
        <v>13173</v>
      </c>
      <c r="W707" t="s">
        <v>13174</v>
      </c>
      <c r="X707" t="s">
        <v>13175</v>
      </c>
      <c r="Y707" t="s">
        <v>13176</v>
      </c>
      <c r="Z707" t="s">
        <v>13177</v>
      </c>
      <c r="AA707" t="s">
        <v>74</v>
      </c>
      <c r="AB707" t="s">
        <v>13178</v>
      </c>
      <c r="AC707" t="s">
        <v>74</v>
      </c>
      <c r="AD707" t="s">
        <v>74</v>
      </c>
      <c r="AE707" t="s">
        <v>74</v>
      </c>
      <c r="AF707" t="s">
        <v>74</v>
      </c>
      <c r="AG707">
        <v>3</v>
      </c>
      <c r="AH707">
        <v>13</v>
      </c>
      <c r="AI707">
        <v>13</v>
      </c>
      <c r="AJ707">
        <v>0</v>
      </c>
      <c r="AK707">
        <v>6</v>
      </c>
      <c r="AL707" t="s">
        <v>13179</v>
      </c>
      <c r="AM707" t="s">
        <v>147</v>
      </c>
      <c r="AN707" t="s">
        <v>13180</v>
      </c>
      <c r="AO707" t="s">
        <v>13181</v>
      </c>
      <c r="AP707" t="s">
        <v>74</v>
      </c>
      <c r="AQ707" t="s">
        <v>74</v>
      </c>
      <c r="AR707" t="s">
        <v>13182</v>
      </c>
      <c r="AS707" t="s">
        <v>13183</v>
      </c>
      <c r="AT707" t="s">
        <v>74</v>
      </c>
      <c r="AU707">
        <v>2012</v>
      </c>
      <c r="AV707">
        <v>18</v>
      </c>
      <c r="AW707">
        <v>8</v>
      </c>
      <c r="AX707" t="s">
        <v>74</v>
      </c>
      <c r="AY707" t="s">
        <v>74</v>
      </c>
      <c r="AZ707" t="s">
        <v>74</v>
      </c>
      <c r="BA707" t="s">
        <v>74</v>
      </c>
      <c r="BB707">
        <v>473</v>
      </c>
      <c r="BC707">
        <v>475</v>
      </c>
      <c r="BD707" t="s">
        <v>74</v>
      </c>
      <c r="BE707" t="s">
        <v>13184</v>
      </c>
      <c r="BF707" t="str">
        <f>HYPERLINK("http://dx.doi.org/10.1258/jtt.2012.GTH111","http://dx.doi.org/10.1258/jtt.2012.GTH111")</f>
        <v>http://dx.doi.org/10.1258/jtt.2012.GTH111</v>
      </c>
      <c r="BG707" t="s">
        <v>74</v>
      </c>
      <c r="BH707" t="s">
        <v>74</v>
      </c>
      <c r="BI707">
        <v>3</v>
      </c>
      <c r="BJ707" t="s">
        <v>13185</v>
      </c>
      <c r="BK707" t="s">
        <v>2624</v>
      </c>
      <c r="BL707" t="s">
        <v>13185</v>
      </c>
      <c r="BM707" t="s">
        <v>13186</v>
      </c>
      <c r="BN707">
        <v>23209273</v>
      </c>
      <c r="BO707" t="s">
        <v>74</v>
      </c>
      <c r="BP707" t="s">
        <v>74</v>
      </c>
      <c r="BQ707" t="s">
        <v>74</v>
      </c>
      <c r="BR707" t="s">
        <v>101</v>
      </c>
      <c r="BS707" t="s">
        <v>13187</v>
      </c>
      <c r="BT707" t="str">
        <f>HYPERLINK("https%3A%2F%2Fwww.webofscience.com%2Fwos%2Fwoscc%2Ffull-record%2FWOS:000314139400011","View Full Record in Web of Science")</f>
        <v>View Full Record in Web of Science</v>
      </c>
    </row>
    <row r="708" spans="1:72" x14ac:dyDescent="0.15">
      <c r="A708" t="s">
        <v>72</v>
      </c>
      <c r="B708" t="s">
        <v>13188</v>
      </c>
      <c r="C708" t="s">
        <v>74</v>
      </c>
      <c r="D708" t="s">
        <v>74</v>
      </c>
      <c r="E708" t="s">
        <v>74</v>
      </c>
      <c r="F708" t="s">
        <v>13189</v>
      </c>
      <c r="G708" t="s">
        <v>74</v>
      </c>
      <c r="H708" t="s">
        <v>74</v>
      </c>
      <c r="I708" t="s">
        <v>13190</v>
      </c>
      <c r="J708" t="s">
        <v>13191</v>
      </c>
      <c r="K708" t="s">
        <v>74</v>
      </c>
      <c r="L708" t="s">
        <v>74</v>
      </c>
      <c r="M708" t="s">
        <v>78</v>
      </c>
      <c r="N708" t="s">
        <v>79</v>
      </c>
      <c r="O708" t="s">
        <v>74</v>
      </c>
      <c r="P708" t="s">
        <v>74</v>
      </c>
      <c r="Q708" t="s">
        <v>74</v>
      </c>
      <c r="R708" t="s">
        <v>74</v>
      </c>
      <c r="S708" t="s">
        <v>74</v>
      </c>
      <c r="T708" t="s">
        <v>13192</v>
      </c>
      <c r="U708" t="s">
        <v>13193</v>
      </c>
      <c r="V708" t="s">
        <v>13194</v>
      </c>
      <c r="W708" t="s">
        <v>13195</v>
      </c>
      <c r="X708" t="s">
        <v>13196</v>
      </c>
      <c r="Y708" t="s">
        <v>13197</v>
      </c>
      <c r="Z708" t="s">
        <v>13198</v>
      </c>
      <c r="AA708" t="s">
        <v>74</v>
      </c>
      <c r="AB708" t="s">
        <v>13199</v>
      </c>
      <c r="AC708" t="s">
        <v>13200</v>
      </c>
      <c r="AD708" t="s">
        <v>13201</v>
      </c>
      <c r="AE708" t="s">
        <v>13202</v>
      </c>
      <c r="AF708" t="s">
        <v>74</v>
      </c>
      <c r="AG708">
        <v>47</v>
      </c>
      <c r="AH708">
        <v>3</v>
      </c>
      <c r="AI708">
        <v>4</v>
      </c>
      <c r="AJ708">
        <v>0</v>
      </c>
      <c r="AK708">
        <v>10</v>
      </c>
      <c r="AL708" t="s">
        <v>13203</v>
      </c>
      <c r="AM708" t="s">
        <v>13204</v>
      </c>
      <c r="AN708" t="s">
        <v>13205</v>
      </c>
      <c r="AO708" t="s">
        <v>13206</v>
      </c>
      <c r="AP708" t="s">
        <v>74</v>
      </c>
      <c r="AQ708" t="s">
        <v>74</v>
      </c>
      <c r="AR708" t="s">
        <v>13207</v>
      </c>
      <c r="AS708" t="s">
        <v>13208</v>
      </c>
      <c r="AT708" t="s">
        <v>74</v>
      </c>
      <c r="AU708">
        <v>2012</v>
      </c>
      <c r="AV708">
        <v>39</v>
      </c>
      <c r="AW708">
        <v>3</v>
      </c>
      <c r="AX708" t="s">
        <v>74</v>
      </c>
      <c r="AY708" t="s">
        <v>74</v>
      </c>
      <c r="AZ708" t="s">
        <v>74</v>
      </c>
      <c r="BA708" t="s">
        <v>74</v>
      </c>
      <c r="BB708">
        <v>548</v>
      </c>
      <c r="BC708">
        <v>557</v>
      </c>
      <c r="BD708" t="s">
        <v>74</v>
      </c>
      <c r="BE708" t="s">
        <v>13209</v>
      </c>
      <c r="BF708" t="str">
        <f>HYPERLINK("http://dx.doi.org/10.5027/andgeoV39n3-a10","http://dx.doi.org/10.5027/andgeoV39n3-a10")</f>
        <v>http://dx.doi.org/10.5027/andgeoV39n3-a10</v>
      </c>
      <c r="BG708" t="s">
        <v>74</v>
      </c>
      <c r="BH708" t="s">
        <v>74</v>
      </c>
      <c r="BI708">
        <v>10</v>
      </c>
      <c r="BJ708" t="s">
        <v>195</v>
      </c>
      <c r="BK708" t="s">
        <v>99</v>
      </c>
      <c r="BL708" t="s">
        <v>195</v>
      </c>
      <c r="BM708" t="s">
        <v>13210</v>
      </c>
      <c r="BN708" t="s">
        <v>74</v>
      </c>
      <c r="BO708" t="s">
        <v>13069</v>
      </c>
      <c r="BP708" t="s">
        <v>74</v>
      </c>
      <c r="BQ708" t="s">
        <v>74</v>
      </c>
      <c r="BR708" t="s">
        <v>101</v>
      </c>
      <c r="BS708" t="s">
        <v>13211</v>
      </c>
      <c r="BT708" t="str">
        <f>HYPERLINK("https%3A%2F%2Fwww.webofscience.com%2Fwos%2Fwoscc%2Ffull-record%2FWOS:000313418600010","View Full Record in Web of Science")</f>
        <v>View Full Record in Web of Science</v>
      </c>
    </row>
    <row r="709" spans="1:72" x14ac:dyDescent="0.15">
      <c r="A709" t="s">
        <v>12086</v>
      </c>
      <c r="B709" t="s">
        <v>13212</v>
      </c>
      <c r="C709" t="s">
        <v>74</v>
      </c>
      <c r="D709" t="s">
        <v>13213</v>
      </c>
      <c r="E709" t="s">
        <v>74</v>
      </c>
      <c r="F709" t="s">
        <v>13214</v>
      </c>
      <c r="G709" t="s">
        <v>74</v>
      </c>
      <c r="H709" t="s">
        <v>74</v>
      </c>
      <c r="I709" t="s">
        <v>13215</v>
      </c>
      <c r="J709" t="s">
        <v>13216</v>
      </c>
      <c r="K709" t="s">
        <v>13217</v>
      </c>
      <c r="L709" t="s">
        <v>74</v>
      </c>
      <c r="M709" t="s">
        <v>78</v>
      </c>
      <c r="N709" t="s">
        <v>12093</v>
      </c>
      <c r="O709" t="s">
        <v>13218</v>
      </c>
      <c r="P709" t="s">
        <v>13219</v>
      </c>
      <c r="Q709" t="s">
        <v>13220</v>
      </c>
      <c r="R709" t="s">
        <v>74</v>
      </c>
      <c r="S709" t="s">
        <v>74</v>
      </c>
      <c r="T709" t="s">
        <v>74</v>
      </c>
      <c r="U709" t="s">
        <v>74</v>
      </c>
      <c r="V709" t="s">
        <v>13221</v>
      </c>
      <c r="W709" t="s">
        <v>13222</v>
      </c>
      <c r="X709" t="s">
        <v>13223</v>
      </c>
      <c r="Y709" t="s">
        <v>13224</v>
      </c>
      <c r="Z709" t="s">
        <v>13225</v>
      </c>
      <c r="AA709" t="s">
        <v>13226</v>
      </c>
      <c r="AB709" t="s">
        <v>74</v>
      </c>
      <c r="AC709" t="s">
        <v>74</v>
      </c>
      <c r="AD709" t="s">
        <v>74</v>
      </c>
      <c r="AE709" t="s">
        <v>74</v>
      </c>
      <c r="AF709" t="s">
        <v>74</v>
      </c>
      <c r="AG709">
        <v>5</v>
      </c>
      <c r="AH709">
        <v>0</v>
      </c>
      <c r="AI709">
        <v>0</v>
      </c>
      <c r="AJ709">
        <v>0</v>
      </c>
      <c r="AK709">
        <v>2</v>
      </c>
      <c r="AL709" t="s">
        <v>13227</v>
      </c>
      <c r="AM709" t="s">
        <v>13228</v>
      </c>
      <c r="AN709" t="s">
        <v>13229</v>
      </c>
      <c r="AO709" t="s">
        <v>13230</v>
      </c>
      <c r="AP709" t="s">
        <v>74</v>
      </c>
      <c r="AQ709" t="s">
        <v>13231</v>
      </c>
      <c r="AR709" t="s">
        <v>13232</v>
      </c>
      <c r="AS709" t="s">
        <v>74</v>
      </c>
      <c r="AT709" t="s">
        <v>74</v>
      </c>
      <c r="AU709">
        <v>2012</v>
      </c>
      <c r="AV709">
        <v>55</v>
      </c>
      <c r="AW709" t="s">
        <v>74</v>
      </c>
      <c r="AX709" t="s">
        <v>74</v>
      </c>
      <c r="AY709" t="s">
        <v>74</v>
      </c>
      <c r="AZ709" t="s">
        <v>74</v>
      </c>
      <c r="BA709" t="s">
        <v>74</v>
      </c>
      <c r="BB709">
        <v>359</v>
      </c>
      <c r="BC709" t="s">
        <v>1734</v>
      </c>
      <c r="BD709" t="s">
        <v>74</v>
      </c>
      <c r="BE709" t="s">
        <v>13233</v>
      </c>
      <c r="BF709" t="str">
        <f>HYPERLINK("http://dx.doi.org/10.1051/eas/1255050","http://dx.doi.org/10.1051/eas/1255050")</f>
        <v>http://dx.doi.org/10.1051/eas/1255050</v>
      </c>
      <c r="BG709" t="s">
        <v>74</v>
      </c>
      <c r="BH709" t="s">
        <v>74</v>
      </c>
      <c r="BI709">
        <v>2</v>
      </c>
      <c r="BJ709" t="s">
        <v>438</v>
      </c>
      <c r="BK709" t="s">
        <v>12109</v>
      </c>
      <c r="BL709" t="s">
        <v>438</v>
      </c>
      <c r="BM709" t="s">
        <v>13234</v>
      </c>
      <c r="BN709" t="s">
        <v>74</v>
      </c>
      <c r="BO709" t="s">
        <v>74</v>
      </c>
      <c r="BP709" t="s">
        <v>74</v>
      </c>
      <c r="BQ709" t="s">
        <v>74</v>
      </c>
      <c r="BR709" t="s">
        <v>101</v>
      </c>
      <c r="BS709" t="s">
        <v>13235</v>
      </c>
      <c r="BT709" t="str">
        <f>HYPERLINK("https%3A%2F%2Fwww.webofscience.com%2Fwos%2Fwoscc%2Ffull-record%2FWOS:000312967500050","View Full Record in Web of Science")</f>
        <v>View Full Record in Web of Science</v>
      </c>
    </row>
    <row r="710" spans="1:72" x14ac:dyDescent="0.15">
      <c r="A710" t="s">
        <v>72</v>
      </c>
      <c r="B710" t="s">
        <v>13236</v>
      </c>
      <c r="C710" t="s">
        <v>74</v>
      </c>
      <c r="D710" t="s">
        <v>74</v>
      </c>
      <c r="E710" t="s">
        <v>74</v>
      </c>
      <c r="F710" t="s">
        <v>13237</v>
      </c>
      <c r="G710" t="s">
        <v>74</v>
      </c>
      <c r="H710" t="s">
        <v>74</v>
      </c>
      <c r="I710" t="s">
        <v>13238</v>
      </c>
      <c r="J710" t="s">
        <v>13239</v>
      </c>
      <c r="K710" t="s">
        <v>74</v>
      </c>
      <c r="L710" t="s">
        <v>74</v>
      </c>
      <c r="M710" t="s">
        <v>78</v>
      </c>
      <c r="N710" t="s">
        <v>79</v>
      </c>
      <c r="O710" t="s">
        <v>74</v>
      </c>
      <c r="P710" t="s">
        <v>74</v>
      </c>
      <c r="Q710" t="s">
        <v>74</v>
      </c>
      <c r="R710" t="s">
        <v>74</v>
      </c>
      <c r="S710" t="s">
        <v>74</v>
      </c>
      <c r="T710" t="s">
        <v>74</v>
      </c>
      <c r="U710" t="s">
        <v>13240</v>
      </c>
      <c r="V710" t="s">
        <v>13241</v>
      </c>
      <c r="W710" t="s">
        <v>13242</v>
      </c>
      <c r="X710" t="s">
        <v>13243</v>
      </c>
      <c r="Y710" t="s">
        <v>13244</v>
      </c>
      <c r="Z710" t="s">
        <v>13245</v>
      </c>
      <c r="AA710" t="s">
        <v>74</v>
      </c>
      <c r="AB710" t="s">
        <v>74</v>
      </c>
      <c r="AC710" t="s">
        <v>74</v>
      </c>
      <c r="AD710" t="s">
        <v>74</v>
      </c>
      <c r="AE710" t="s">
        <v>74</v>
      </c>
      <c r="AF710" t="s">
        <v>74</v>
      </c>
      <c r="AG710">
        <v>10</v>
      </c>
      <c r="AH710">
        <v>4</v>
      </c>
      <c r="AI710">
        <v>4</v>
      </c>
      <c r="AJ710">
        <v>0</v>
      </c>
      <c r="AK710">
        <v>10</v>
      </c>
      <c r="AL710" t="s">
        <v>13246</v>
      </c>
      <c r="AM710" t="s">
        <v>147</v>
      </c>
      <c r="AN710" t="s">
        <v>13247</v>
      </c>
      <c r="AO710" t="s">
        <v>13248</v>
      </c>
      <c r="AP710" t="s">
        <v>13249</v>
      </c>
      <c r="AQ710" t="s">
        <v>74</v>
      </c>
      <c r="AR710" t="s">
        <v>13250</v>
      </c>
      <c r="AS710" t="s">
        <v>13251</v>
      </c>
      <c r="AT710" t="s">
        <v>74</v>
      </c>
      <c r="AU710">
        <v>2012</v>
      </c>
      <c r="AV710">
        <v>2012</v>
      </c>
      <c r="AW710" t="s">
        <v>74</v>
      </c>
      <c r="AX710" t="s">
        <v>74</v>
      </c>
      <c r="AY710" t="s">
        <v>74</v>
      </c>
      <c r="AZ710" t="s">
        <v>74</v>
      </c>
      <c r="BA710" t="s">
        <v>74</v>
      </c>
      <c r="BB710" t="s">
        <v>74</v>
      </c>
      <c r="BC710" t="s">
        <v>74</v>
      </c>
      <c r="BD710">
        <v>213743</v>
      </c>
      <c r="BE710" t="s">
        <v>13252</v>
      </c>
      <c r="BF710" t="str">
        <f>HYPERLINK("http://dx.doi.org/10.1155/2012/213743","http://dx.doi.org/10.1155/2012/213743")</f>
        <v>http://dx.doi.org/10.1155/2012/213743</v>
      </c>
      <c r="BG710" t="s">
        <v>74</v>
      </c>
      <c r="BH710" t="s">
        <v>74</v>
      </c>
      <c r="BI710">
        <v>8</v>
      </c>
      <c r="BJ710" t="s">
        <v>128</v>
      </c>
      <c r="BK710" t="s">
        <v>99</v>
      </c>
      <c r="BL710" t="s">
        <v>128</v>
      </c>
      <c r="BM710" t="s">
        <v>13253</v>
      </c>
      <c r="BN710" t="s">
        <v>74</v>
      </c>
      <c r="BO710" t="s">
        <v>2787</v>
      </c>
      <c r="BP710" t="s">
        <v>74</v>
      </c>
      <c r="BQ710" t="s">
        <v>74</v>
      </c>
      <c r="BR710" t="s">
        <v>101</v>
      </c>
      <c r="BS710" t="s">
        <v>13254</v>
      </c>
      <c r="BT710" t="str">
        <f>HYPERLINK("https%3A%2F%2Fwww.webofscience.com%2Fwos%2Fwoscc%2Ffull-record%2FWOS:000312818300001","View Full Record in Web of Science")</f>
        <v>View Full Record in Web of Science</v>
      </c>
    </row>
    <row r="711" spans="1:72" x14ac:dyDescent="0.15">
      <c r="A711" t="s">
        <v>72</v>
      </c>
      <c r="B711" t="s">
        <v>13255</v>
      </c>
      <c r="C711" t="s">
        <v>74</v>
      </c>
      <c r="D711" t="s">
        <v>74</v>
      </c>
      <c r="E711" t="s">
        <v>74</v>
      </c>
      <c r="F711" t="s">
        <v>13256</v>
      </c>
      <c r="G711" t="s">
        <v>74</v>
      </c>
      <c r="H711" t="s">
        <v>74</v>
      </c>
      <c r="I711" t="s">
        <v>13257</v>
      </c>
      <c r="J711" t="s">
        <v>13258</v>
      </c>
      <c r="K711" t="s">
        <v>74</v>
      </c>
      <c r="L711" t="s">
        <v>74</v>
      </c>
      <c r="M711" t="s">
        <v>78</v>
      </c>
      <c r="N711" t="s">
        <v>79</v>
      </c>
      <c r="O711" t="s">
        <v>74</v>
      </c>
      <c r="P711" t="s">
        <v>74</v>
      </c>
      <c r="Q711" t="s">
        <v>74</v>
      </c>
      <c r="R711" t="s">
        <v>74</v>
      </c>
      <c r="S711" t="s">
        <v>74</v>
      </c>
      <c r="T711" t="s">
        <v>74</v>
      </c>
      <c r="U711" t="s">
        <v>13259</v>
      </c>
      <c r="V711" t="s">
        <v>13260</v>
      </c>
      <c r="W711" t="s">
        <v>13261</v>
      </c>
      <c r="X711" t="s">
        <v>13262</v>
      </c>
      <c r="Y711" t="s">
        <v>13263</v>
      </c>
      <c r="Z711" t="s">
        <v>13264</v>
      </c>
      <c r="AA711" t="s">
        <v>13265</v>
      </c>
      <c r="AB711" t="s">
        <v>13266</v>
      </c>
      <c r="AC711" t="s">
        <v>13267</v>
      </c>
      <c r="AD711" t="s">
        <v>13268</v>
      </c>
      <c r="AE711" t="s">
        <v>13269</v>
      </c>
      <c r="AF711" t="s">
        <v>74</v>
      </c>
      <c r="AG711">
        <v>63</v>
      </c>
      <c r="AH711">
        <v>36</v>
      </c>
      <c r="AI711">
        <v>37</v>
      </c>
      <c r="AJ711">
        <v>0</v>
      </c>
      <c r="AK711">
        <v>46</v>
      </c>
      <c r="AL711" t="s">
        <v>13270</v>
      </c>
      <c r="AM711" t="s">
        <v>13271</v>
      </c>
      <c r="AN711" t="s">
        <v>13272</v>
      </c>
      <c r="AO711" t="s">
        <v>13273</v>
      </c>
      <c r="AP711" t="s">
        <v>13274</v>
      </c>
      <c r="AQ711" t="s">
        <v>74</v>
      </c>
      <c r="AR711" t="s">
        <v>13258</v>
      </c>
      <c r="AS711" t="s">
        <v>13275</v>
      </c>
      <c r="AT711" t="s">
        <v>74</v>
      </c>
      <c r="AU711">
        <v>2012</v>
      </c>
      <c r="AV711">
        <v>9</v>
      </c>
      <c r="AW711">
        <v>11</v>
      </c>
      <c r="AX711" t="s">
        <v>74</v>
      </c>
      <c r="AY711" t="s">
        <v>74</v>
      </c>
      <c r="AZ711" t="s">
        <v>74</v>
      </c>
      <c r="BA711" t="s">
        <v>74</v>
      </c>
      <c r="BB711">
        <v>4199</v>
      </c>
      <c r="BC711">
        <v>4213</v>
      </c>
      <c r="BD711" t="s">
        <v>74</v>
      </c>
      <c r="BE711" t="s">
        <v>13276</v>
      </c>
      <c r="BF711" t="str">
        <f>HYPERLINK("http://dx.doi.org/10.5194/bg-9-4199-2012","http://dx.doi.org/10.5194/bg-9-4199-2012")</f>
        <v>http://dx.doi.org/10.5194/bg-9-4199-2012</v>
      </c>
      <c r="BG711" t="s">
        <v>74</v>
      </c>
      <c r="BH711" t="s">
        <v>74</v>
      </c>
      <c r="BI711">
        <v>15</v>
      </c>
      <c r="BJ711" t="s">
        <v>13277</v>
      </c>
      <c r="BK711" t="s">
        <v>99</v>
      </c>
      <c r="BL711" t="s">
        <v>6665</v>
      </c>
      <c r="BM711" t="s">
        <v>13278</v>
      </c>
      <c r="BN711" t="s">
        <v>74</v>
      </c>
      <c r="BO711" t="s">
        <v>13069</v>
      </c>
      <c r="BP711" t="s">
        <v>74</v>
      </c>
      <c r="BQ711" t="s">
        <v>74</v>
      </c>
      <c r="BR711" t="s">
        <v>101</v>
      </c>
      <c r="BS711" t="s">
        <v>13279</v>
      </c>
      <c r="BT711" t="str">
        <f>HYPERLINK("https%3A%2F%2Fwww.webofscience.com%2Fwos%2Fwoscc%2Ffull-record%2FWOS:000312667300001","View Full Record in Web of Science")</f>
        <v>View Full Record in Web of Science</v>
      </c>
    </row>
    <row r="712" spans="1:72" x14ac:dyDescent="0.15">
      <c r="A712" t="s">
        <v>72</v>
      </c>
      <c r="B712" t="s">
        <v>13280</v>
      </c>
      <c r="C712" t="s">
        <v>74</v>
      </c>
      <c r="D712" t="s">
        <v>74</v>
      </c>
      <c r="E712" t="s">
        <v>74</v>
      </c>
      <c r="F712" t="s">
        <v>13281</v>
      </c>
      <c r="G712" t="s">
        <v>74</v>
      </c>
      <c r="H712" t="s">
        <v>74</v>
      </c>
      <c r="I712" t="s">
        <v>13282</v>
      </c>
      <c r="J712" t="s">
        <v>13258</v>
      </c>
      <c r="K712" t="s">
        <v>74</v>
      </c>
      <c r="L712" t="s">
        <v>74</v>
      </c>
      <c r="M712" t="s">
        <v>78</v>
      </c>
      <c r="N712" t="s">
        <v>79</v>
      </c>
      <c r="O712" t="s">
        <v>74</v>
      </c>
      <c r="P712" t="s">
        <v>74</v>
      </c>
      <c r="Q712" t="s">
        <v>74</v>
      </c>
      <c r="R712" t="s">
        <v>74</v>
      </c>
      <c r="S712" t="s">
        <v>74</v>
      </c>
      <c r="T712" t="s">
        <v>74</v>
      </c>
      <c r="U712" t="s">
        <v>13283</v>
      </c>
      <c r="V712" t="s">
        <v>13284</v>
      </c>
      <c r="W712" t="s">
        <v>13285</v>
      </c>
      <c r="X712" t="s">
        <v>13286</v>
      </c>
      <c r="Y712" t="s">
        <v>13287</v>
      </c>
      <c r="Z712" t="s">
        <v>13288</v>
      </c>
      <c r="AA712" t="s">
        <v>13289</v>
      </c>
      <c r="AB712" t="s">
        <v>13290</v>
      </c>
      <c r="AC712" t="s">
        <v>13291</v>
      </c>
      <c r="AD712" t="s">
        <v>13292</v>
      </c>
      <c r="AE712" t="s">
        <v>13293</v>
      </c>
      <c r="AF712" t="s">
        <v>74</v>
      </c>
      <c r="AG712">
        <v>41</v>
      </c>
      <c r="AH712">
        <v>7</v>
      </c>
      <c r="AI712">
        <v>7</v>
      </c>
      <c r="AJ712">
        <v>0</v>
      </c>
      <c r="AK712">
        <v>16</v>
      </c>
      <c r="AL712" t="s">
        <v>13270</v>
      </c>
      <c r="AM712" t="s">
        <v>13271</v>
      </c>
      <c r="AN712" t="s">
        <v>13272</v>
      </c>
      <c r="AO712" t="s">
        <v>13273</v>
      </c>
      <c r="AP712" t="s">
        <v>74</v>
      </c>
      <c r="AQ712" t="s">
        <v>74</v>
      </c>
      <c r="AR712" t="s">
        <v>13258</v>
      </c>
      <c r="AS712" t="s">
        <v>13275</v>
      </c>
      <c r="AT712" t="s">
        <v>74</v>
      </c>
      <c r="AU712">
        <v>2012</v>
      </c>
      <c r="AV712">
        <v>9</v>
      </c>
      <c r="AW712">
        <v>12</v>
      </c>
      <c r="AX712" t="s">
        <v>74</v>
      </c>
      <c r="AY712" t="s">
        <v>74</v>
      </c>
      <c r="AZ712" t="s">
        <v>74</v>
      </c>
      <c r="BA712" t="s">
        <v>74</v>
      </c>
      <c r="BB712">
        <v>5279</v>
      </c>
      <c r="BC712">
        <v>5290</v>
      </c>
      <c r="BD712" t="s">
        <v>74</v>
      </c>
      <c r="BE712" t="s">
        <v>13294</v>
      </c>
      <c r="BF712" t="str">
        <f>HYPERLINK("http://dx.doi.org/10.5194/bg-9-5279-2012","http://dx.doi.org/10.5194/bg-9-5279-2012")</f>
        <v>http://dx.doi.org/10.5194/bg-9-5279-2012</v>
      </c>
      <c r="BG712" t="s">
        <v>74</v>
      </c>
      <c r="BH712" t="s">
        <v>74</v>
      </c>
      <c r="BI712">
        <v>12</v>
      </c>
      <c r="BJ712" t="s">
        <v>13277</v>
      </c>
      <c r="BK712" t="s">
        <v>99</v>
      </c>
      <c r="BL712" t="s">
        <v>6665</v>
      </c>
      <c r="BM712" t="s">
        <v>13295</v>
      </c>
      <c r="BN712" t="s">
        <v>74</v>
      </c>
      <c r="BO712" t="s">
        <v>2373</v>
      </c>
      <c r="BP712" t="s">
        <v>74</v>
      </c>
      <c r="BQ712" t="s">
        <v>74</v>
      </c>
      <c r="BR712" t="s">
        <v>101</v>
      </c>
      <c r="BS712" t="s">
        <v>13296</v>
      </c>
      <c r="BT712" t="str">
        <f>HYPERLINK("https%3A%2F%2Fwww.webofscience.com%2Fwos%2Fwoscc%2Ffull-record%2FWOS:000312668100025","View Full Record in Web of Science")</f>
        <v>View Full Record in Web of Science</v>
      </c>
    </row>
    <row r="713" spans="1:72" x14ac:dyDescent="0.15">
      <c r="A713" t="s">
        <v>72</v>
      </c>
      <c r="B713" t="s">
        <v>13297</v>
      </c>
      <c r="C713" t="s">
        <v>74</v>
      </c>
      <c r="D713" t="s">
        <v>74</v>
      </c>
      <c r="E713" t="s">
        <v>74</v>
      </c>
      <c r="F713" t="s">
        <v>13298</v>
      </c>
      <c r="G713" t="s">
        <v>74</v>
      </c>
      <c r="H713" t="s">
        <v>74</v>
      </c>
      <c r="I713" t="s">
        <v>13299</v>
      </c>
      <c r="J713" t="s">
        <v>13300</v>
      </c>
      <c r="K713" t="s">
        <v>74</v>
      </c>
      <c r="L713" t="s">
        <v>74</v>
      </c>
      <c r="M713" t="s">
        <v>78</v>
      </c>
      <c r="N713" t="s">
        <v>79</v>
      </c>
      <c r="O713" t="s">
        <v>74</v>
      </c>
      <c r="P713" t="s">
        <v>74</v>
      </c>
      <c r="Q713" t="s">
        <v>74</v>
      </c>
      <c r="R713" t="s">
        <v>74</v>
      </c>
      <c r="S713" t="s">
        <v>74</v>
      </c>
      <c r="T713" t="s">
        <v>74</v>
      </c>
      <c r="U713" t="s">
        <v>13301</v>
      </c>
      <c r="V713" t="s">
        <v>13302</v>
      </c>
      <c r="W713" t="s">
        <v>13303</v>
      </c>
      <c r="X713" t="s">
        <v>13304</v>
      </c>
      <c r="Y713" t="s">
        <v>13305</v>
      </c>
      <c r="Z713" t="s">
        <v>13306</v>
      </c>
      <c r="AA713" t="s">
        <v>13307</v>
      </c>
      <c r="AB713" t="s">
        <v>13308</v>
      </c>
      <c r="AC713" t="s">
        <v>13309</v>
      </c>
      <c r="AD713" t="s">
        <v>13310</v>
      </c>
      <c r="AE713" t="s">
        <v>13311</v>
      </c>
      <c r="AF713" t="s">
        <v>74</v>
      </c>
      <c r="AG713">
        <v>36</v>
      </c>
      <c r="AH713">
        <v>13</v>
      </c>
      <c r="AI713">
        <v>18</v>
      </c>
      <c r="AJ713">
        <v>0</v>
      </c>
      <c r="AK713">
        <v>30</v>
      </c>
      <c r="AL713" t="s">
        <v>13270</v>
      </c>
      <c r="AM713" t="s">
        <v>13271</v>
      </c>
      <c r="AN713" t="s">
        <v>13272</v>
      </c>
      <c r="AO713" t="s">
        <v>13312</v>
      </c>
      <c r="AP713" t="s">
        <v>74</v>
      </c>
      <c r="AQ713" t="s">
        <v>74</v>
      </c>
      <c r="AR713" t="s">
        <v>13313</v>
      </c>
      <c r="AS713" t="s">
        <v>13314</v>
      </c>
      <c r="AT713" t="s">
        <v>74</v>
      </c>
      <c r="AU713">
        <v>2012</v>
      </c>
      <c r="AV713">
        <v>8</v>
      </c>
      <c r="AW713">
        <v>6</v>
      </c>
      <c r="AX713" t="s">
        <v>74</v>
      </c>
      <c r="AY713" t="s">
        <v>74</v>
      </c>
      <c r="AZ713" t="s">
        <v>74</v>
      </c>
      <c r="BA713" t="s">
        <v>74</v>
      </c>
      <c r="BB713">
        <v>1839</v>
      </c>
      <c r="BC713">
        <v>1847</v>
      </c>
      <c r="BD713" t="s">
        <v>74</v>
      </c>
      <c r="BE713" t="s">
        <v>13315</v>
      </c>
      <c r="BF713" t="str">
        <f>HYPERLINK("http://dx.doi.org/10.5194/cp-8-1839-2012","http://dx.doi.org/10.5194/cp-8-1839-2012")</f>
        <v>http://dx.doi.org/10.5194/cp-8-1839-2012</v>
      </c>
      <c r="BG713" t="s">
        <v>74</v>
      </c>
      <c r="BH713" t="s">
        <v>74</v>
      </c>
      <c r="BI713">
        <v>9</v>
      </c>
      <c r="BJ713" t="s">
        <v>13316</v>
      </c>
      <c r="BK713" t="s">
        <v>99</v>
      </c>
      <c r="BL713" t="s">
        <v>13317</v>
      </c>
      <c r="BM713" t="s">
        <v>13318</v>
      </c>
      <c r="BN713" t="s">
        <v>74</v>
      </c>
      <c r="BO713" t="s">
        <v>13052</v>
      </c>
      <c r="BP713" t="s">
        <v>74</v>
      </c>
      <c r="BQ713" t="s">
        <v>74</v>
      </c>
      <c r="BR713" t="s">
        <v>101</v>
      </c>
      <c r="BS713" t="s">
        <v>13319</v>
      </c>
      <c r="BT713" t="str">
        <f>HYPERLINK("https%3A%2F%2Fwww.webofscience.com%2Fwos%2Fwoscc%2Ffull-record%2FWOS:000312668700004","View Full Record in Web of Science")</f>
        <v>View Full Record in Web of Science</v>
      </c>
    </row>
    <row r="714" spans="1:72" x14ac:dyDescent="0.15">
      <c r="A714" t="s">
        <v>72</v>
      </c>
      <c r="B714" t="s">
        <v>13320</v>
      </c>
      <c r="C714" t="s">
        <v>74</v>
      </c>
      <c r="D714" t="s">
        <v>74</v>
      </c>
      <c r="E714" t="s">
        <v>74</v>
      </c>
      <c r="F714" t="s">
        <v>13321</v>
      </c>
      <c r="G714" t="s">
        <v>74</v>
      </c>
      <c r="H714" t="s">
        <v>13322</v>
      </c>
      <c r="I714" t="s">
        <v>13323</v>
      </c>
      <c r="J714" t="s">
        <v>13300</v>
      </c>
      <c r="K714" t="s">
        <v>74</v>
      </c>
      <c r="L714" t="s">
        <v>74</v>
      </c>
      <c r="M714" t="s">
        <v>78</v>
      </c>
      <c r="N714" t="s">
        <v>79</v>
      </c>
      <c r="O714" t="s">
        <v>74</v>
      </c>
      <c r="P714" t="s">
        <v>74</v>
      </c>
      <c r="Q714" t="s">
        <v>74</v>
      </c>
      <c r="R714" t="s">
        <v>74</v>
      </c>
      <c r="S714" t="s">
        <v>74</v>
      </c>
      <c r="T714" t="s">
        <v>74</v>
      </c>
      <c r="U714" t="s">
        <v>13324</v>
      </c>
      <c r="V714" t="s">
        <v>13325</v>
      </c>
      <c r="W714" t="s">
        <v>13326</v>
      </c>
      <c r="X714" t="s">
        <v>13327</v>
      </c>
      <c r="Y714" t="s">
        <v>13328</v>
      </c>
      <c r="Z714" t="s">
        <v>13329</v>
      </c>
      <c r="AA714" t="s">
        <v>13330</v>
      </c>
      <c r="AB714" t="s">
        <v>13331</v>
      </c>
      <c r="AC714" t="s">
        <v>13332</v>
      </c>
      <c r="AD714" t="s">
        <v>13333</v>
      </c>
      <c r="AE714" t="s">
        <v>13334</v>
      </c>
      <c r="AF714" t="s">
        <v>74</v>
      </c>
      <c r="AG714">
        <v>49</v>
      </c>
      <c r="AH714">
        <v>14</v>
      </c>
      <c r="AI714">
        <v>14</v>
      </c>
      <c r="AJ714">
        <v>0</v>
      </c>
      <c r="AK714">
        <v>14</v>
      </c>
      <c r="AL714" t="s">
        <v>13270</v>
      </c>
      <c r="AM714" t="s">
        <v>13271</v>
      </c>
      <c r="AN714" t="s">
        <v>13272</v>
      </c>
      <c r="AO714" t="s">
        <v>13312</v>
      </c>
      <c r="AP714" t="s">
        <v>13335</v>
      </c>
      <c r="AQ714" t="s">
        <v>74</v>
      </c>
      <c r="AR714" t="s">
        <v>13313</v>
      </c>
      <c r="AS714" t="s">
        <v>13314</v>
      </c>
      <c r="AT714" t="s">
        <v>74</v>
      </c>
      <c r="AU714">
        <v>2012</v>
      </c>
      <c r="AV714">
        <v>8</v>
      </c>
      <c r="AW714">
        <v>6</v>
      </c>
      <c r="AX714" t="s">
        <v>74</v>
      </c>
      <c r="AY714" t="s">
        <v>74</v>
      </c>
      <c r="AZ714" t="s">
        <v>74</v>
      </c>
      <c r="BA714" t="s">
        <v>74</v>
      </c>
      <c r="BB714">
        <v>1897</v>
      </c>
      <c r="BC714">
        <v>1911</v>
      </c>
      <c r="BD714" t="s">
        <v>74</v>
      </c>
      <c r="BE714" t="s">
        <v>13336</v>
      </c>
      <c r="BF714" t="str">
        <f>HYPERLINK("http://dx.doi.org/10.5194/cp-8-1897-2012","http://dx.doi.org/10.5194/cp-8-1897-2012")</f>
        <v>http://dx.doi.org/10.5194/cp-8-1897-2012</v>
      </c>
      <c r="BG714" t="s">
        <v>74</v>
      </c>
      <c r="BH714" t="s">
        <v>74</v>
      </c>
      <c r="BI714">
        <v>15</v>
      </c>
      <c r="BJ714" t="s">
        <v>13316</v>
      </c>
      <c r="BK714" t="s">
        <v>99</v>
      </c>
      <c r="BL714" t="s">
        <v>13317</v>
      </c>
      <c r="BM714" t="s">
        <v>13318</v>
      </c>
      <c r="BN714" t="s">
        <v>74</v>
      </c>
      <c r="BO714" t="s">
        <v>7430</v>
      </c>
      <c r="BP714" t="s">
        <v>74</v>
      </c>
      <c r="BQ714" t="s">
        <v>74</v>
      </c>
      <c r="BR714" t="s">
        <v>101</v>
      </c>
      <c r="BS714" t="s">
        <v>13337</v>
      </c>
      <c r="BT714" t="str">
        <f>HYPERLINK("https%3A%2F%2Fwww.webofscience.com%2Fwos%2Fwoscc%2Ffull-record%2FWOS:000312668700008","View Full Record in Web of Science")</f>
        <v>View Full Record in Web of Science</v>
      </c>
    </row>
    <row r="715" spans="1:72" x14ac:dyDescent="0.15">
      <c r="A715" t="s">
        <v>72</v>
      </c>
      <c r="B715" t="s">
        <v>13338</v>
      </c>
      <c r="C715" t="s">
        <v>74</v>
      </c>
      <c r="D715" t="s">
        <v>74</v>
      </c>
      <c r="E715" t="s">
        <v>74</v>
      </c>
      <c r="F715" t="s">
        <v>13339</v>
      </c>
      <c r="G715" t="s">
        <v>74</v>
      </c>
      <c r="H715" t="s">
        <v>74</v>
      </c>
      <c r="I715" t="s">
        <v>13340</v>
      </c>
      <c r="J715" t="s">
        <v>13300</v>
      </c>
      <c r="K715" t="s">
        <v>74</v>
      </c>
      <c r="L715" t="s">
        <v>74</v>
      </c>
      <c r="M715" t="s">
        <v>78</v>
      </c>
      <c r="N715" t="s">
        <v>79</v>
      </c>
      <c r="O715" t="s">
        <v>74</v>
      </c>
      <c r="P715" t="s">
        <v>74</v>
      </c>
      <c r="Q715" t="s">
        <v>74</v>
      </c>
      <c r="R715" t="s">
        <v>74</v>
      </c>
      <c r="S715" t="s">
        <v>74</v>
      </c>
      <c r="T715" t="s">
        <v>74</v>
      </c>
      <c r="U715" t="s">
        <v>13341</v>
      </c>
      <c r="V715" t="s">
        <v>13342</v>
      </c>
      <c r="W715" t="s">
        <v>13343</v>
      </c>
      <c r="X715" t="s">
        <v>13344</v>
      </c>
      <c r="Y715" t="s">
        <v>13345</v>
      </c>
      <c r="Z715" t="s">
        <v>13346</v>
      </c>
      <c r="AA715" t="s">
        <v>13347</v>
      </c>
      <c r="AB715" t="s">
        <v>13348</v>
      </c>
      <c r="AC715" t="s">
        <v>74</v>
      </c>
      <c r="AD715" t="s">
        <v>74</v>
      </c>
      <c r="AE715" t="s">
        <v>74</v>
      </c>
      <c r="AF715" t="s">
        <v>74</v>
      </c>
      <c r="AG715">
        <v>47</v>
      </c>
      <c r="AH715">
        <v>92</v>
      </c>
      <c r="AI715">
        <v>102</v>
      </c>
      <c r="AJ715">
        <v>0</v>
      </c>
      <c r="AK715">
        <v>31</v>
      </c>
      <c r="AL715" t="s">
        <v>13270</v>
      </c>
      <c r="AM715" t="s">
        <v>13271</v>
      </c>
      <c r="AN715" t="s">
        <v>13272</v>
      </c>
      <c r="AO715" t="s">
        <v>13312</v>
      </c>
      <c r="AP715" t="s">
        <v>13335</v>
      </c>
      <c r="AQ715" t="s">
        <v>74</v>
      </c>
      <c r="AR715" t="s">
        <v>13313</v>
      </c>
      <c r="AS715" t="s">
        <v>13314</v>
      </c>
      <c r="AT715" t="s">
        <v>74</v>
      </c>
      <c r="AU715">
        <v>2012</v>
      </c>
      <c r="AV715">
        <v>8</v>
      </c>
      <c r="AW715">
        <v>6</v>
      </c>
      <c r="AX715" t="s">
        <v>74</v>
      </c>
      <c r="AY715" t="s">
        <v>74</v>
      </c>
      <c r="AZ715" t="s">
        <v>74</v>
      </c>
      <c r="BA715" t="s">
        <v>74</v>
      </c>
      <c r="BB715">
        <v>1929</v>
      </c>
      <c r="BC715">
        <v>1940</v>
      </c>
      <c r="BD715" t="s">
        <v>74</v>
      </c>
      <c r="BE715" t="s">
        <v>13349</v>
      </c>
      <c r="BF715" t="str">
        <f>HYPERLINK("http://dx.doi.org/10.5194/cp-8-1929-2012","http://dx.doi.org/10.5194/cp-8-1929-2012")</f>
        <v>http://dx.doi.org/10.5194/cp-8-1929-2012</v>
      </c>
      <c r="BG715" t="s">
        <v>74</v>
      </c>
      <c r="BH715" t="s">
        <v>74</v>
      </c>
      <c r="BI715">
        <v>12</v>
      </c>
      <c r="BJ715" t="s">
        <v>13316</v>
      </c>
      <c r="BK715" t="s">
        <v>99</v>
      </c>
      <c r="BL715" t="s">
        <v>13317</v>
      </c>
      <c r="BM715" t="s">
        <v>13318</v>
      </c>
      <c r="BN715" t="s">
        <v>74</v>
      </c>
      <c r="BO715" t="s">
        <v>564</v>
      </c>
      <c r="BP715" t="s">
        <v>74</v>
      </c>
      <c r="BQ715" t="s">
        <v>74</v>
      </c>
      <c r="BR715" t="s">
        <v>101</v>
      </c>
      <c r="BS715" t="s">
        <v>13350</v>
      </c>
      <c r="BT715" t="str">
        <f>HYPERLINK("https%3A%2F%2Fwww.webofscience.com%2Fwos%2Fwoscc%2Ffull-record%2FWOS:000312668700010","View Full Record in Web of Science")</f>
        <v>View Full Record in Web of Science</v>
      </c>
    </row>
    <row r="716" spans="1:72" x14ac:dyDescent="0.15">
      <c r="A716" t="s">
        <v>72</v>
      </c>
      <c r="B716" t="s">
        <v>13351</v>
      </c>
      <c r="C716" t="s">
        <v>74</v>
      </c>
      <c r="D716" t="s">
        <v>74</v>
      </c>
      <c r="E716" t="s">
        <v>74</v>
      </c>
      <c r="F716" t="s">
        <v>13352</v>
      </c>
      <c r="G716" t="s">
        <v>74</v>
      </c>
      <c r="H716" t="s">
        <v>74</v>
      </c>
      <c r="I716" t="s">
        <v>13353</v>
      </c>
      <c r="J716" t="s">
        <v>13300</v>
      </c>
      <c r="K716" t="s">
        <v>74</v>
      </c>
      <c r="L716" t="s">
        <v>74</v>
      </c>
      <c r="M716" t="s">
        <v>78</v>
      </c>
      <c r="N716" t="s">
        <v>79</v>
      </c>
      <c r="O716" t="s">
        <v>74</v>
      </c>
      <c r="P716" t="s">
        <v>74</v>
      </c>
      <c r="Q716" t="s">
        <v>74</v>
      </c>
      <c r="R716" t="s">
        <v>74</v>
      </c>
      <c r="S716" t="s">
        <v>74</v>
      </c>
      <c r="T716" t="s">
        <v>74</v>
      </c>
      <c r="U716" t="s">
        <v>13354</v>
      </c>
      <c r="V716" t="s">
        <v>13355</v>
      </c>
      <c r="W716" t="s">
        <v>13356</v>
      </c>
      <c r="X716" t="s">
        <v>13357</v>
      </c>
      <c r="Y716" t="s">
        <v>13358</v>
      </c>
      <c r="Z716" t="s">
        <v>13359</v>
      </c>
      <c r="AA716" t="s">
        <v>13360</v>
      </c>
      <c r="AB716" t="s">
        <v>13361</v>
      </c>
      <c r="AC716" t="s">
        <v>13362</v>
      </c>
      <c r="AD716" t="s">
        <v>13363</v>
      </c>
      <c r="AE716" t="s">
        <v>13364</v>
      </c>
      <c r="AF716" t="s">
        <v>74</v>
      </c>
      <c r="AG716">
        <v>77</v>
      </c>
      <c r="AH716">
        <v>4</v>
      </c>
      <c r="AI716">
        <v>5</v>
      </c>
      <c r="AJ716">
        <v>0</v>
      </c>
      <c r="AK716">
        <v>22</v>
      </c>
      <c r="AL716" t="s">
        <v>13270</v>
      </c>
      <c r="AM716" t="s">
        <v>13271</v>
      </c>
      <c r="AN716" t="s">
        <v>13272</v>
      </c>
      <c r="AO716" t="s">
        <v>13312</v>
      </c>
      <c r="AP716" t="s">
        <v>13335</v>
      </c>
      <c r="AQ716" t="s">
        <v>74</v>
      </c>
      <c r="AR716" t="s">
        <v>13313</v>
      </c>
      <c r="AS716" t="s">
        <v>13314</v>
      </c>
      <c r="AT716" t="s">
        <v>74</v>
      </c>
      <c r="AU716">
        <v>2012</v>
      </c>
      <c r="AV716">
        <v>8</v>
      </c>
      <c r="AW716">
        <v>6</v>
      </c>
      <c r="AX716" t="s">
        <v>74</v>
      </c>
      <c r="AY716" t="s">
        <v>74</v>
      </c>
      <c r="AZ716" t="s">
        <v>74</v>
      </c>
      <c r="BA716" t="s">
        <v>74</v>
      </c>
      <c r="BB716">
        <v>1957</v>
      </c>
      <c r="BC716">
        <v>1971</v>
      </c>
      <c r="BD716" t="s">
        <v>74</v>
      </c>
      <c r="BE716" t="s">
        <v>13365</v>
      </c>
      <c r="BF716" t="str">
        <f>HYPERLINK("http://dx.doi.org/10.5194/cp-8-1957-2012","http://dx.doi.org/10.5194/cp-8-1957-2012")</f>
        <v>http://dx.doi.org/10.5194/cp-8-1957-2012</v>
      </c>
      <c r="BG716" t="s">
        <v>74</v>
      </c>
      <c r="BH716" t="s">
        <v>74</v>
      </c>
      <c r="BI716">
        <v>15</v>
      </c>
      <c r="BJ716" t="s">
        <v>13316</v>
      </c>
      <c r="BK716" t="s">
        <v>99</v>
      </c>
      <c r="BL716" t="s">
        <v>13317</v>
      </c>
      <c r="BM716" t="s">
        <v>13318</v>
      </c>
      <c r="BN716" t="s">
        <v>74</v>
      </c>
      <c r="BO716" t="s">
        <v>3496</v>
      </c>
      <c r="BP716" t="s">
        <v>74</v>
      </c>
      <c r="BQ716" t="s">
        <v>74</v>
      </c>
      <c r="BR716" t="s">
        <v>101</v>
      </c>
      <c r="BS716" t="s">
        <v>13366</v>
      </c>
      <c r="BT716" t="str">
        <f>HYPERLINK("https%3A%2F%2Fwww.webofscience.com%2Fwos%2Fwoscc%2Ffull-record%2FWOS:000312668700012","View Full Record in Web of Science")</f>
        <v>View Full Record in Web of Science</v>
      </c>
    </row>
    <row r="717" spans="1:72" x14ac:dyDescent="0.15">
      <c r="A717" t="s">
        <v>72</v>
      </c>
      <c r="B717" t="s">
        <v>13367</v>
      </c>
      <c r="C717" t="s">
        <v>74</v>
      </c>
      <c r="D717" t="s">
        <v>74</v>
      </c>
      <c r="E717" t="s">
        <v>74</v>
      </c>
      <c r="F717" t="s">
        <v>13368</v>
      </c>
      <c r="G717" t="s">
        <v>74</v>
      </c>
      <c r="H717" t="s">
        <v>74</v>
      </c>
      <c r="I717" t="s">
        <v>13369</v>
      </c>
      <c r="J717" t="s">
        <v>13370</v>
      </c>
      <c r="K717" t="s">
        <v>74</v>
      </c>
      <c r="L717" t="s">
        <v>74</v>
      </c>
      <c r="M717" t="s">
        <v>78</v>
      </c>
      <c r="N717" t="s">
        <v>79</v>
      </c>
      <c r="O717" t="s">
        <v>74</v>
      </c>
      <c r="P717" t="s">
        <v>74</v>
      </c>
      <c r="Q717" t="s">
        <v>74</v>
      </c>
      <c r="R717" t="s">
        <v>74</v>
      </c>
      <c r="S717" t="s">
        <v>74</v>
      </c>
      <c r="T717" t="s">
        <v>74</v>
      </c>
      <c r="U717" t="s">
        <v>13371</v>
      </c>
      <c r="V717" t="s">
        <v>13372</v>
      </c>
      <c r="W717" t="s">
        <v>13373</v>
      </c>
      <c r="X717" t="s">
        <v>74</v>
      </c>
      <c r="Y717" t="s">
        <v>13374</v>
      </c>
      <c r="Z717" t="s">
        <v>13375</v>
      </c>
      <c r="AA717" t="s">
        <v>13376</v>
      </c>
      <c r="AB717" t="s">
        <v>13377</v>
      </c>
      <c r="AC717" t="s">
        <v>13378</v>
      </c>
      <c r="AD717" t="s">
        <v>13379</v>
      </c>
      <c r="AE717" t="s">
        <v>13380</v>
      </c>
      <c r="AF717" t="s">
        <v>74</v>
      </c>
      <c r="AG717">
        <v>46</v>
      </c>
      <c r="AH717">
        <v>25</v>
      </c>
      <c r="AI717">
        <v>26</v>
      </c>
      <c r="AJ717">
        <v>0</v>
      </c>
      <c r="AK717">
        <v>15</v>
      </c>
      <c r="AL717" t="s">
        <v>13270</v>
      </c>
      <c r="AM717" t="s">
        <v>13271</v>
      </c>
      <c r="AN717" t="s">
        <v>13272</v>
      </c>
      <c r="AO717" t="s">
        <v>13381</v>
      </c>
      <c r="AP717" t="s">
        <v>13382</v>
      </c>
      <c r="AQ717" t="s">
        <v>74</v>
      </c>
      <c r="AR717" t="s">
        <v>13370</v>
      </c>
      <c r="AS717" t="s">
        <v>13383</v>
      </c>
      <c r="AT717" t="s">
        <v>74</v>
      </c>
      <c r="AU717">
        <v>2012</v>
      </c>
      <c r="AV717">
        <v>6</v>
      </c>
      <c r="AW717">
        <v>6</v>
      </c>
      <c r="AX717" t="s">
        <v>74</v>
      </c>
      <c r="AY717" t="s">
        <v>74</v>
      </c>
      <c r="AZ717" t="s">
        <v>74</v>
      </c>
      <c r="BA717" t="s">
        <v>74</v>
      </c>
      <c r="BB717">
        <v>1345</v>
      </c>
      <c r="BC717">
        <v>1358</v>
      </c>
      <c r="BD717" t="s">
        <v>74</v>
      </c>
      <c r="BE717" t="s">
        <v>13384</v>
      </c>
      <c r="BF717" t="str">
        <f>HYPERLINK("http://dx.doi.org/10.5194/tc-6-1345-2012","http://dx.doi.org/10.5194/tc-6-1345-2012")</f>
        <v>http://dx.doi.org/10.5194/tc-6-1345-2012</v>
      </c>
      <c r="BG717" t="s">
        <v>74</v>
      </c>
      <c r="BH717" t="s">
        <v>74</v>
      </c>
      <c r="BI717">
        <v>14</v>
      </c>
      <c r="BJ717" t="s">
        <v>943</v>
      </c>
      <c r="BK717" t="s">
        <v>99</v>
      </c>
      <c r="BL717" t="s">
        <v>944</v>
      </c>
      <c r="BM717" t="s">
        <v>13385</v>
      </c>
      <c r="BN717" t="s">
        <v>74</v>
      </c>
      <c r="BO717" t="s">
        <v>3496</v>
      </c>
      <c r="BP717" t="s">
        <v>74</v>
      </c>
      <c r="BQ717" t="s">
        <v>74</v>
      </c>
      <c r="BR717" t="s">
        <v>101</v>
      </c>
      <c r="BS717" t="s">
        <v>13386</v>
      </c>
      <c r="BT717" t="str">
        <f>HYPERLINK("https%3A%2F%2Fwww.webofscience.com%2Fwos%2Fwoscc%2Ffull-record%2FWOS:000312698800009","View Full Record in Web of Science")</f>
        <v>View Full Record in Web of Science</v>
      </c>
    </row>
    <row r="718" spans="1:72" x14ac:dyDescent="0.15">
      <c r="A718" t="s">
        <v>12086</v>
      </c>
      <c r="B718" t="s">
        <v>13387</v>
      </c>
      <c r="C718" t="s">
        <v>74</v>
      </c>
      <c r="D718" t="s">
        <v>13388</v>
      </c>
      <c r="E718" t="s">
        <v>74</v>
      </c>
      <c r="F718" t="s">
        <v>13389</v>
      </c>
      <c r="G718" t="s">
        <v>74</v>
      </c>
      <c r="H718" t="s">
        <v>74</v>
      </c>
      <c r="I718" t="s">
        <v>13390</v>
      </c>
      <c r="J718" t="s">
        <v>13391</v>
      </c>
      <c r="K718" t="s">
        <v>12669</v>
      </c>
      <c r="L718" t="s">
        <v>74</v>
      </c>
      <c r="M718" t="s">
        <v>78</v>
      </c>
      <c r="N718" t="s">
        <v>12093</v>
      </c>
      <c r="O718" t="s">
        <v>12803</v>
      </c>
      <c r="P718" t="s">
        <v>12186</v>
      </c>
      <c r="Q718" t="s">
        <v>12096</v>
      </c>
      <c r="R718" t="s">
        <v>74</v>
      </c>
      <c r="S718" t="s">
        <v>74</v>
      </c>
      <c r="T718" t="s">
        <v>13392</v>
      </c>
      <c r="U718" t="s">
        <v>12823</v>
      </c>
      <c r="V718" t="s">
        <v>13393</v>
      </c>
      <c r="W718" t="s">
        <v>13394</v>
      </c>
      <c r="X718" t="s">
        <v>13395</v>
      </c>
      <c r="Y718" t="s">
        <v>13396</v>
      </c>
      <c r="Z718" t="s">
        <v>13397</v>
      </c>
      <c r="AA718" t="s">
        <v>74</v>
      </c>
      <c r="AB718" t="s">
        <v>13398</v>
      </c>
      <c r="AC718" t="s">
        <v>13399</v>
      </c>
      <c r="AD718" t="s">
        <v>13400</v>
      </c>
      <c r="AE718" t="s">
        <v>13401</v>
      </c>
      <c r="AF718" t="s">
        <v>74</v>
      </c>
      <c r="AG718">
        <v>14</v>
      </c>
      <c r="AH718">
        <v>1</v>
      </c>
      <c r="AI718">
        <v>1</v>
      </c>
      <c r="AJ718">
        <v>0</v>
      </c>
      <c r="AK718">
        <v>6</v>
      </c>
      <c r="AL718" t="s">
        <v>12677</v>
      </c>
      <c r="AM718" t="s">
        <v>12678</v>
      </c>
      <c r="AN718" t="s">
        <v>12679</v>
      </c>
      <c r="AO718" t="s">
        <v>12680</v>
      </c>
      <c r="AP718" t="s">
        <v>12681</v>
      </c>
      <c r="AQ718" t="s">
        <v>13402</v>
      </c>
      <c r="AR718" t="s">
        <v>12683</v>
      </c>
      <c r="AS718" t="s">
        <v>74</v>
      </c>
      <c r="AT718" t="s">
        <v>74</v>
      </c>
      <c r="AU718">
        <v>2012</v>
      </c>
      <c r="AV718">
        <v>8444</v>
      </c>
      <c r="AW718" t="s">
        <v>74</v>
      </c>
      <c r="AX718" t="s">
        <v>74</v>
      </c>
      <c r="AY718" t="s">
        <v>74</v>
      </c>
      <c r="AZ718" t="s">
        <v>74</v>
      </c>
      <c r="BA718" t="s">
        <v>74</v>
      </c>
      <c r="BB718" t="s">
        <v>74</v>
      </c>
      <c r="BC718" t="s">
        <v>74</v>
      </c>
      <c r="BD718" t="s">
        <v>13403</v>
      </c>
      <c r="BE718" t="s">
        <v>13404</v>
      </c>
      <c r="BF718" t="str">
        <f>HYPERLINK("http://dx.doi.org/10.1117/12.925514","http://dx.doi.org/10.1117/12.925514")</f>
        <v>http://dx.doi.org/10.1117/12.925514</v>
      </c>
      <c r="BG718" t="s">
        <v>74</v>
      </c>
      <c r="BH718" t="s">
        <v>74</v>
      </c>
      <c r="BI718">
        <v>9</v>
      </c>
      <c r="BJ718" t="s">
        <v>13405</v>
      </c>
      <c r="BK718" t="s">
        <v>12109</v>
      </c>
      <c r="BL718" t="s">
        <v>13405</v>
      </c>
      <c r="BM718" t="s">
        <v>13406</v>
      </c>
      <c r="BN718" t="s">
        <v>74</v>
      </c>
      <c r="BO718" t="s">
        <v>156</v>
      </c>
      <c r="BP718" t="s">
        <v>74</v>
      </c>
      <c r="BQ718" t="s">
        <v>74</v>
      </c>
      <c r="BR718" t="s">
        <v>101</v>
      </c>
      <c r="BS718" t="s">
        <v>13407</v>
      </c>
      <c r="BT718" t="str">
        <f>HYPERLINK("https%3A%2F%2Fwww.webofscience.com%2Fwos%2Fwoscc%2Ffull-record%2FWOS:000312276100058","View Full Record in Web of Science")</f>
        <v>View Full Record in Web of Science</v>
      </c>
    </row>
    <row r="719" spans="1:72" x14ac:dyDescent="0.15">
      <c r="A719" t="s">
        <v>12086</v>
      </c>
      <c r="B719" t="s">
        <v>13408</v>
      </c>
      <c r="C719" t="s">
        <v>74</v>
      </c>
      <c r="D719" t="s">
        <v>13388</v>
      </c>
      <c r="E719" t="s">
        <v>74</v>
      </c>
      <c r="F719" t="s">
        <v>13409</v>
      </c>
      <c r="G719" t="s">
        <v>74</v>
      </c>
      <c r="H719" t="s">
        <v>74</v>
      </c>
      <c r="I719" t="s">
        <v>13410</v>
      </c>
      <c r="J719" t="s">
        <v>13391</v>
      </c>
      <c r="K719" t="s">
        <v>12669</v>
      </c>
      <c r="L719" t="s">
        <v>74</v>
      </c>
      <c r="M719" t="s">
        <v>78</v>
      </c>
      <c r="N719" t="s">
        <v>12093</v>
      </c>
      <c r="O719" t="s">
        <v>12803</v>
      </c>
      <c r="P719" t="s">
        <v>12186</v>
      </c>
      <c r="Q719" t="s">
        <v>12096</v>
      </c>
      <c r="R719" t="s">
        <v>74</v>
      </c>
      <c r="S719" t="s">
        <v>74</v>
      </c>
      <c r="T719" t="s">
        <v>13411</v>
      </c>
      <c r="U719" t="s">
        <v>13412</v>
      </c>
      <c r="V719" t="s">
        <v>13413</v>
      </c>
      <c r="W719" t="s">
        <v>13414</v>
      </c>
      <c r="X719" t="s">
        <v>13415</v>
      </c>
      <c r="Y719" t="s">
        <v>13416</v>
      </c>
      <c r="Z719" t="s">
        <v>13417</v>
      </c>
      <c r="AA719" t="s">
        <v>13418</v>
      </c>
      <c r="AB719" t="s">
        <v>12830</v>
      </c>
      <c r="AC719" t="s">
        <v>74</v>
      </c>
      <c r="AD719" t="s">
        <v>74</v>
      </c>
      <c r="AE719" t="s">
        <v>74</v>
      </c>
      <c r="AF719" t="s">
        <v>74</v>
      </c>
      <c r="AG719">
        <v>11</v>
      </c>
      <c r="AH719">
        <v>6</v>
      </c>
      <c r="AI719">
        <v>7</v>
      </c>
      <c r="AJ719">
        <v>1</v>
      </c>
      <c r="AK719">
        <v>10</v>
      </c>
      <c r="AL719" t="s">
        <v>12677</v>
      </c>
      <c r="AM719" t="s">
        <v>12678</v>
      </c>
      <c r="AN719" t="s">
        <v>12679</v>
      </c>
      <c r="AO719" t="s">
        <v>12680</v>
      </c>
      <c r="AP719" t="s">
        <v>12681</v>
      </c>
      <c r="AQ719" t="s">
        <v>13402</v>
      </c>
      <c r="AR719" t="s">
        <v>12683</v>
      </c>
      <c r="AS719" t="s">
        <v>74</v>
      </c>
      <c r="AT719" t="s">
        <v>74</v>
      </c>
      <c r="AU719">
        <v>2012</v>
      </c>
      <c r="AV719">
        <v>8444</v>
      </c>
      <c r="AW719" t="s">
        <v>74</v>
      </c>
      <c r="AX719" t="s">
        <v>74</v>
      </c>
      <c r="AY719" t="s">
        <v>74</v>
      </c>
      <c r="AZ719" t="s">
        <v>74</v>
      </c>
      <c r="BA719" t="s">
        <v>74</v>
      </c>
      <c r="BB719" t="s">
        <v>74</v>
      </c>
      <c r="BC719" t="s">
        <v>74</v>
      </c>
      <c r="BD719" t="s">
        <v>13419</v>
      </c>
      <c r="BE719" t="s">
        <v>13420</v>
      </c>
      <c r="BF719" t="str">
        <f>HYPERLINK("http://dx.doi.org/10.1117/12.925867","http://dx.doi.org/10.1117/12.925867")</f>
        <v>http://dx.doi.org/10.1117/12.925867</v>
      </c>
      <c r="BG719" t="s">
        <v>74</v>
      </c>
      <c r="BH719" t="s">
        <v>74</v>
      </c>
      <c r="BI719">
        <v>7</v>
      </c>
      <c r="BJ719" t="s">
        <v>13405</v>
      </c>
      <c r="BK719" t="s">
        <v>12109</v>
      </c>
      <c r="BL719" t="s">
        <v>13405</v>
      </c>
      <c r="BM719" t="s">
        <v>13406</v>
      </c>
      <c r="BN719" t="s">
        <v>74</v>
      </c>
      <c r="BO719" t="s">
        <v>74</v>
      </c>
      <c r="BP719" t="s">
        <v>74</v>
      </c>
      <c r="BQ719" t="s">
        <v>74</v>
      </c>
      <c r="BR719" t="s">
        <v>101</v>
      </c>
      <c r="BS719" t="s">
        <v>13421</v>
      </c>
      <c r="BT719" t="str">
        <f>HYPERLINK("https%3A%2F%2Fwww.webofscience.com%2Fwos%2Fwoscc%2Ffull-record%2FWOS:000312276100055","View Full Record in Web of Science")</f>
        <v>View Full Record in Web of Science</v>
      </c>
    </row>
    <row r="720" spans="1:72" x14ac:dyDescent="0.15">
      <c r="A720" t="s">
        <v>12086</v>
      </c>
      <c r="B720" t="s">
        <v>13422</v>
      </c>
      <c r="C720" t="s">
        <v>74</v>
      </c>
      <c r="D720" t="s">
        <v>13388</v>
      </c>
      <c r="E720" t="s">
        <v>74</v>
      </c>
      <c r="F720" t="s">
        <v>13423</v>
      </c>
      <c r="G720" t="s">
        <v>74</v>
      </c>
      <c r="H720" t="s">
        <v>74</v>
      </c>
      <c r="I720" t="s">
        <v>13424</v>
      </c>
      <c r="J720" t="s">
        <v>13391</v>
      </c>
      <c r="K720" t="s">
        <v>12669</v>
      </c>
      <c r="L720" t="s">
        <v>74</v>
      </c>
      <c r="M720" t="s">
        <v>78</v>
      </c>
      <c r="N720" t="s">
        <v>12093</v>
      </c>
      <c r="O720" t="s">
        <v>12803</v>
      </c>
      <c r="P720" t="s">
        <v>12186</v>
      </c>
      <c r="Q720" t="s">
        <v>12096</v>
      </c>
      <c r="R720" t="s">
        <v>74</v>
      </c>
      <c r="S720" t="s">
        <v>74</v>
      </c>
      <c r="T720" t="s">
        <v>13425</v>
      </c>
      <c r="U720" t="s">
        <v>74</v>
      </c>
      <c r="V720" t="s">
        <v>13426</v>
      </c>
      <c r="W720" t="s">
        <v>13427</v>
      </c>
      <c r="X720" t="s">
        <v>13428</v>
      </c>
      <c r="Y720" t="s">
        <v>13429</v>
      </c>
      <c r="Z720" t="s">
        <v>13430</v>
      </c>
      <c r="AA720" t="s">
        <v>13431</v>
      </c>
      <c r="AB720" t="s">
        <v>13432</v>
      </c>
      <c r="AC720" t="s">
        <v>13433</v>
      </c>
      <c r="AD720" t="s">
        <v>13434</v>
      </c>
      <c r="AE720" t="s">
        <v>13435</v>
      </c>
      <c r="AF720" t="s">
        <v>74</v>
      </c>
      <c r="AG720">
        <v>4</v>
      </c>
      <c r="AH720">
        <v>0</v>
      </c>
      <c r="AI720">
        <v>0</v>
      </c>
      <c r="AJ720">
        <v>0</v>
      </c>
      <c r="AK720">
        <v>2</v>
      </c>
      <c r="AL720" t="s">
        <v>12677</v>
      </c>
      <c r="AM720" t="s">
        <v>12678</v>
      </c>
      <c r="AN720" t="s">
        <v>12679</v>
      </c>
      <c r="AO720" t="s">
        <v>12680</v>
      </c>
      <c r="AP720" t="s">
        <v>74</v>
      </c>
      <c r="AQ720" t="s">
        <v>13402</v>
      </c>
      <c r="AR720" t="s">
        <v>12683</v>
      </c>
      <c r="AS720" t="s">
        <v>74</v>
      </c>
      <c r="AT720" t="s">
        <v>74</v>
      </c>
      <c r="AU720">
        <v>2012</v>
      </c>
      <c r="AV720">
        <v>8444</v>
      </c>
      <c r="AW720" t="s">
        <v>74</v>
      </c>
      <c r="AX720" t="s">
        <v>74</v>
      </c>
      <c r="AY720" t="s">
        <v>74</v>
      </c>
      <c r="AZ720" t="s">
        <v>74</v>
      </c>
      <c r="BA720" t="s">
        <v>74</v>
      </c>
      <c r="BB720" t="s">
        <v>74</v>
      </c>
      <c r="BC720" t="s">
        <v>74</v>
      </c>
      <c r="BD720" t="s">
        <v>13436</v>
      </c>
      <c r="BE720" t="s">
        <v>13437</v>
      </c>
      <c r="BF720" t="str">
        <f>HYPERLINK("http://dx.doi.org/10.1117/12.927313","http://dx.doi.org/10.1117/12.927313")</f>
        <v>http://dx.doi.org/10.1117/12.927313</v>
      </c>
      <c r="BG720" t="s">
        <v>74</v>
      </c>
      <c r="BH720" t="s">
        <v>74</v>
      </c>
      <c r="BI720">
        <v>11</v>
      </c>
      <c r="BJ720" t="s">
        <v>13405</v>
      </c>
      <c r="BK720" t="s">
        <v>12109</v>
      </c>
      <c r="BL720" t="s">
        <v>13405</v>
      </c>
      <c r="BM720" t="s">
        <v>13406</v>
      </c>
      <c r="BN720" t="s">
        <v>74</v>
      </c>
      <c r="BO720" t="s">
        <v>2812</v>
      </c>
      <c r="BP720" t="s">
        <v>74</v>
      </c>
      <c r="BQ720" t="s">
        <v>74</v>
      </c>
      <c r="BR720" t="s">
        <v>101</v>
      </c>
      <c r="BS720" t="s">
        <v>13438</v>
      </c>
      <c r="BT720" t="str">
        <f>HYPERLINK("https%3A%2F%2Fwww.webofscience.com%2Fwos%2Fwoscc%2Ffull-record%2FWOS:000312276100057","View Full Record in Web of Science")</f>
        <v>View Full Record in Web of Science</v>
      </c>
    </row>
    <row r="721" spans="1:72" x14ac:dyDescent="0.15">
      <c r="A721" t="s">
        <v>12086</v>
      </c>
      <c r="B721" t="s">
        <v>13439</v>
      </c>
      <c r="C721" t="s">
        <v>74</v>
      </c>
      <c r="D721" t="s">
        <v>13388</v>
      </c>
      <c r="E721" t="s">
        <v>74</v>
      </c>
      <c r="F721" t="s">
        <v>13440</v>
      </c>
      <c r="G721" t="s">
        <v>74</v>
      </c>
      <c r="H721" t="s">
        <v>74</v>
      </c>
      <c r="I721" t="s">
        <v>13441</v>
      </c>
      <c r="J721" t="s">
        <v>13391</v>
      </c>
      <c r="K721" t="s">
        <v>12669</v>
      </c>
      <c r="L721" t="s">
        <v>74</v>
      </c>
      <c r="M721" t="s">
        <v>78</v>
      </c>
      <c r="N721" t="s">
        <v>12093</v>
      </c>
      <c r="O721" t="s">
        <v>12803</v>
      </c>
      <c r="P721" t="s">
        <v>12186</v>
      </c>
      <c r="Q721" t="s">
        <v>12096</v>
      </c>
      <c r="R721" t="s">
        <v>74</v>
      </c>
      <c r="S721" t="s">
        <v>74</v>
      </c>
      <c r="T721" t="s">
        <v>13442</v>
      </c>
      <c r="U721" t="s">
        <v>13443</v>
      </c>
      <c r="V721" t="s">
        <v>13444</v>
      </c>
      <c r="W721" t="s">
        <v>13445</v>
      </c>
      <c r="X721" t="s">
        <v>13446</v>
      </c>
      <c r="Y721" t="s">
        <v>13447</v>
      </c>
      <c r="Z721" t="s">
        <v>13448</v>
      </c>
      <c r="AA721" t="s">
        <v>74</v>
      </c>
      <c r="AB721" t="s">
        <v>13449</v>
      </c>
      <c r="AC721" t="s">
        <v>74</v>
      </c>
      <c r="AD721" t="s">
        <v>74</v>
      </c>
      <c r="AE721" t="s">
        <v>74</v>
      </c>
      <c r="AF721" t="s">
        <v>74</v>
      </c>
      <c r="AG721">
        <v>16</v>
      </c>
      <c r="AH721">
        <v>0</v>
      </c>
      <c r="AI721">
        <v>0</v>
      </c>
      <c r="AJ721">
        <v>0</v>
      </c>
      <c r="AK721">
        <v>0</v>
      </c>
      <c r="AL721" t="s">
        <v>12677</v>
      </c>
      <c r="AM721" t="s">
        <v>12678</v>
      </c>
      <c r="AN721" t="s">
        <v>12679</v>
      </c>
      <c r="AO721" t="s">
        <v>12680</v>
      </c>
      <c r="AP721" t="s">
        <v>12681</v>
      </c>
      <c r="AQ721" t="s">
        <v>13402</v>
      </c>
      <c r="AR721" t="s">
        <v>12683</v>
      </c>
      <c r="AS721" t="s">
        <v>74</v>
      </c>
      <c r="AT721" t="s">
        <v>74</v>
      </c>
      <c r="AU721">
        <v>2012</v>
      </c>
      <c r="AV721">
        <v>8444</v>
      </c>
      <c r="AW721" t="s">
        <v>74</v>
      </c>
      <c r="AX721" t="s">
        <v>74</v>
      </c>
      <c r="AY721" t="s">
        <v>74</v>
      </c>
      <c r="AZ721" t="s">
        <v>74</v>
      </c>
      <c r="BA721" t="s">
        <v>74</v>
      </c>
      <c r="BB721" t="s">
        <v>74</v>
      </c>
      <c r="BC721" t="s">
        <v>74</v>
      </c>
      <c r="BD721" t="s">
        <v>13450</v>
      </c>
      <c r="BE721" t="s">
        <v>13451</v>
      </c>
      <c r="BF721" t="str">
        <f>HYPERLINK("http://dx.doi.org/10.1117/12.927257","http://dx.doi.org/10.1117/12.927257")</f>
        <v>http://dx.doi.org/10.1117/12.927257</v>
      </c>
      <c r="BG721" t="s">
        <v>74</v>
      </c>
      <c r="BH721" t="s">
        <v>74</v>
      </c>
      <c r="BI721">
        <v>8</v>
      </c>
      <c r="BJ721" t="s">
        <v>13405</v>
      </c>
      <c r="BK721" t="s">
        <v>12109</v>
      </c>
      <c r="BL721" t="s">
        <v>13405</v>
      </c>
      <c r="BM721" t="s">
        <v>13406</v>
      </c>
      <c r="BN721" t="s">
        <v>74</v>
      </c>
      <c r="BO721" t="s">
        <v>2083</v>
      </c>
      <c r="BP721" t="s">
        <v>74</v>
      </c>
      <c r="BQ721" t="s">
        <v>74</v>
      </c>
      <c r="BR721" t="s">
        <v>101</v>
      </c>
      <c r="BS721" t="s">
        <v>13452</v>
      </c>
      <c r="BT721" t="str">
        <f>HYPERLINK("https%3A%2F%2Fwww.webofscience.com%2Fwos%2Fwoscc%2Ffull-record%2FWOS:000312276100171","View Full Record in Web of Science")</f>
        <v>View Full Record in Web of Science</v>
      </c>
    </row>
    <row r="722" spans="1:72" x14ac:dyDescent="0.15">
      <c r="A722" t="s">
        <v>12086</v>
      </c>
      <c r="B722" t="s">
        <v>13453</v>
      </c>
      <c r="C722" t="s">
        <v>74</v>
      </c>
      <c r="D722" t="s">
        <v>13388</v>
      </c>
      <c r="E722" t="s">
        <v>74</v>
      </c>
      <c r="F722" t="s">
        <v>13454</v>
      </c>
      <c r="G722" t="s">
        <v>74</v>
      </c>
      <c r="H722" t="s">
        <v>74</v>
      </c>
      <c r="I722" t="s">
        <v>13455</v>
      </c>
      <c r="J722" t="s">
        <v>13391</v>
      </c>
      <c r="K722" t="s">
        <v>12669</v>
      </c>
      <c r="L722" t="s">
        <v>74</v>
      </c>
      <c r="M722" t="s">
        <v>78</v>
      </c>
      <c r="N722" t="s">
        <v>12093</v>
      </c>
      <c r="O722" t="s">
        <v>12803</v>
      </c>
      <c r="P722" t="s">
        <v>12186</v>
      </c>
      <c r="Q722" t="s">
        <v>12096</v>
      </c>
      <c r="R722" t="s">
        <v>74</v>
      </c>
      <c r="S722" t="s">
        <v>74</v>
      </c>
      <c r="T722" t="s">
        <v>13456</v>
      </c>
      <c r="U722" t="s">
        <v>13457</v>
      </c>
      <c r="V722" t="s">
        <v>13458</v>
      </c>
      <c r="W722" t="s">
        <v>13459</v>
      </c>
      <c r="X722" t="s">
        <v>13460</v>
      </c>
      <c r="Y722" t="s">
        <v>13461</v>
      </c>
      <c r="Z722" t="s">
        <v>13462</v>
      </c>
      <c r="AA722" t="s">
        <v>13463</v>
      </c>
      <c r="AB722" t="s">
        <v>13464</v>
      </c>
      <c r="AC722" t="s">
        <v>13465</v>
      </c>
      <c r="AD722" t="s">
        <v>13466</v>
      </c>
      <c r="AE722" t="s">
        <v>13467</v>
      </c>
      <c r="AF722" t="s">
        <v>74</v>
      </c>
      <c r="AG722">
        <v>35</v>
      </c>
      <c r="AH722">
        <v>6</v>
      </c>
      <c r="AI722">
        <v>7</v>
      </c>
      <c r="AJ722">
        <v>0</v>
      </c>
      <c r="AK722">
        <v>4</v>
      </c>
      <c r="AL722" t="s">
        <v>12677</v>
      </c>
      <c r="AM722" t="s">
        <v>12678</v>
      </c>
      <c r="AN722" t="s">
        <v>12679</v>
      </c>
      <c r="AO722" t="s">
        <v>12680</v>
      </c>
      <c r="AP722" t="s">
        <v>12681</v>
      </c>
      <c r="AQ722" t="s">
        <v>13402</v>
      </c>
      <c r="AR722" t="s">
        <v>12683</v>
      </c>
      <c r="AS722" t="s">
        <v>74</v>
      </c>
      <c r="AT722" t="s">
        <v>74</v>
      </c>
      <c r="AU722">
        <v>2012</v>
      </c>
      <c r="AV722">
        <v>8444</v>
      </c>
      <c r="AW722" t="s">
        <v>74</v>
      </c>
      <c r="AX722" t="s">
        <v>74</v>
      </c>
      <c r="AY722" t="s">
        <v>74</v>
      </c>
      <c r="AZ722" t="s">
        <v>74</v>
      </c>
      <c r="BA722" t="s">
        <v>74</v>
      </c>
      <c r="BB722" t="s">
        <v>74</v>
      </c>
      <c r="BC722" t="s">
        <v>74</v>
      </c>
      <c r="BD722">
        <v>844415</v>
      </c>
      <c r="BE722" t="s">
        <v>13468</v>
      </c>
      <c r="BF722" t="str">
        <f>HYPERLINK("http://dx.doi.org/10.1117/12.927211","http://dx.doi.org/10.1117/12.927211")</f>
        <v>http://dx.doi.org/10.1117/12.927211</v>
      </c>
      <c r="BG722" t="s">
        <v>74</v>
      </c>
      <c r="BH722" t="s">
        <v>74</v>
      </c>
      <c r="BI722">
        <v>10</v>
      </c>
      <c r="BJ722" t="s">
        <v>13405</v>
      </c>
      <c r="BK722" t="s">
        <v>12109</v>
      </c>
      <c r="BL722" t="s">
        <v>13405</v>
      </c>
      <c r="BM722" t="s">
        <v>13406</v>
      </c>
      <c r="BN722" t="s">
        <v>74</v>
      </c>
      <c r="BO722" t="s">
        <v>10718</v>
      </c>
      <c r="BP722" t="s">
        <v>74</v>
      </c>
      <c r="BQ722" t="s">
        <v>74</v>
      </c>
      <c r="BR722" t="s">
        <v>101</v>
      </c>
      <c r="BS722" t="s">
        <v>13469</v>
      </c>
      <c r="BT722" t="str">
        <f>HYPERLINK("https%3A%2F%2Fwww.webofscience.com%2Fwos%2Fwoscc%2Ffull-record%2FWOS:000312276100038","View Full Record in Web of Science")</f>
        <v>View Full Record in Web of Science</v>
      </c>
    </row>
    <row r="723" spans="1:72" x14ac:dyDescent="0.15">
      <c r="A723" t="s">
        <v>12086</v>
      </c>
      <c r="B723" t="s">
        <v>13470</v>
      </c>
      <c r="C723" t="s">
        <v>74</v>
      </c>
      <c r="D723" t="s">
        <v>13388</v>
      </c>
      <c r="E723" t="s">
        <v>74</v>
      </c>
      <c r="F723" t="s">
        <v>13471</v>
      </c>
      <c r="G723" t="s">
        <v>74</v>
      </c>
      <c r="H723" t="s">
        <v>74</v>
      </c>
      <c r="I723" t="s">
        <v>13472</v>
      </c>
      <c r="J723" t="s">
        <v>13391</v>
      </c>
      <c r="K723" t="s">
        <v>12669</v>
      </c>
      <c r="L723" t="s">
        <v>74</v>
      </c>
      <c r="M723" t="s">
        <v>78</v>
      </c>
      <c r="N723" t="s">
        <v>12093</v>
      </c>
      <c r="O723" t="s">
        <v>12803</v>
      </c>
      <c r="P723" t="s">
        <v>12186</v>
      </c>
      <c r="Q723" t="s">
        <v>12096</v>
      </c>
      <c r="R723" t="s">
        <v>74</v>
      </c>
      <c r="S723" t="s">
        <v>74</v>
      </c>
      <c r="T723" t="s">
        <v>13473</v>
      </c>
      <c r="U723" t="s">
        <v>74</v>
      </c>
      <c r="V723" t="s">
        <v>13474</v>
      </c>
      <c r="W723" t="s">
        <v>13475</v>
      </c>
      <c r="X723" t="s">
        <v>13476</v>
      </c>
      <c r="Y723" t="s">
        <v>13477</v>
      </c>
      <c r="Z723" t="s">
        <v>13478</v>
      </c>
      <c r="AA723" t="s">
        <v>74</v>
      </c>
      <c r="AB723" t="s">
        <v>13479</v>
      </c>
      <c r="AC723" t="s">
        <v>13480</v>
      </c>
      <c r="AD723" t="s">
        <v>13481</v>
      </c>
      <c r="AE723" t="s">
        <v>13482</v>
      </c>
      <c r="AF723" t="s">
        <v>74</v>
      </c>
      <c r="AG723">
        <v>12</v>
      </c>
      <c r="AH723">
        <v>1</v>
      </c>
      <c r="AI723">
        <v>1</v>
      </c>
      <c r="AJ723">
        <v>0</v>
      </c>
      <c r="AK723">
        <v>2</v>
      </c>
      <c r="AL723" t="s">
        <v>12677</v>
      </c>
      <c r="AM723" t="s">
        <v>12678</v>
      </c>
      <c r="AN723" t="s">
        <v>12679</v>
      </c>
      <c r="AO723" t="s">
        <v>12680</v>
      </c>
      <c r="AP723" t="s">
        <v>12681</v>
      </c>
      <c r="AQ723" t="s">
        <v>13402</v>
      </c>
      <c r="AR723" t="s">
        <v>12683</v>
      </c>
      <c r="AS723" t="s">
        <v>74</v>
      </c>
      <c r="AT723" t="s">
        <v>74</v>
      </c>
      <c r="AU723">
        <v>2012</v>
      </c>
      <c r="AV723">
        <v>8444</v>
      </c>
      <c r="AW723" t="s">
        <v>74</v>
      </c>
      <c r="AX723" t="s">
        <v>74</v>
      </c>
      <c r="AY723" t="s">
        <v>74</v>
      </c>
      <c r="AZ723" t="s">
        <v>74</v>
      </c>
      <c r="BA723" t="s">
        <v>74</v>
      </c>
      <c r="BB723" t="s">
        <v>74</v>
      </c>
      <c r="BC723" t="s">
        <v>74</v>
      </c>
      <c r="BD723" t="s">
        <v>13483</v>
      </c>
      <c r="BE723" t="s">
        <v>13484</v>
      </c>
      <c r="BF723" t="str">
        <f>HYPERLINK("http://dx.doi.org/10.1117/12.925512","http://dx.doi.org/10.1117/12.925512")</f>
        <v>http://dx.doi.org/10.1117/12.925512</v>
      </c>
      <c r="BG723" t="s">
        <v>74</v>
      </c>
      <c r="BH723" t="s">
        <v>74</v>
      </c>
      <c r="BI723">
        <v>9</v>
      </c>
      <c r="BJ723" t="s">
        <v>13405</v>
      </c>
      <c r="BK723" t="s">
        <v>12109</v>
      </c>
      <c r="BL723" t="s">
        <v>13405</v>
      </c>
      <c r="BM723" t="s">
        <v>13406</v>
      </c>
      <c r="BN723" t="s">
        <v>74</v>
      </c>
      <c r="BO723" t="s">
        <v>74</v>
      </c>
      <c r="BP723" t="s">
        <v>74</v>
      </c>
      <c r="BQ723" t="s">
        <v>74</v>
      </c>
      <c r="BR723" t="s">
        <v>101</v>
      </c>
      <c r="BS723" t="s">
        <v>13485</v>
      </c>
      <c r="BT723" t="str">
        <f>HYPERLINK("https%3A%2F%2Fwww.webofscience.com%2Fwos%2Fwoscc%2Ffull-record%2FWOS:000312276100174","View Full Record in Web of Science")</f>
        <v>View Full Record in Web of Science</v>
      </c>
    </row>
    <row r="724" spans="1:72" x14ac:dyDescent="0.15">
      <c r="A724" t="s">
        <v>12086</v>
      </c>
      <c r="B724" t="s">
        <v>13486</v>
      </c>
      <c r="C724" t="s">
        <v>74</v>
      </c>
      <c r="D724" t="s">
        <v>13388</v>
      </c>
      <c r="E724" t="s">
        <v>74</v>
      </c>
      <c r="F724" t="s">
        <v>13487</v>
      </c>
      <c r="G724" t="s">
        <v>74</v>
      </c>
      <c r="H724" t="s">
        <v>74</v>
      </c>
      <c r="I724" t="s">
        <v>13488</v>
      </c>
      <c r="J724" t="s">
        <v>13391</v>
      </c>
      <c r="K724" t="s">
        <v>12669</v>
      </c>
      <c r="L724" t="s">
        <v>74</v>
      </c>
      <c r="M724" t="s">
        <v>78</v>
      </c>
      <c r="N724" t="s">
        <v>12093</v>
      </c>
      <c r="O724" t="s">
        <v>12803</v>
      </c>
      <c r="P724" t="s">
        <v>12186</v>
      </c>
      <c r="Q724" t="s">
        <v>12096</v>
      </c>
      <c r="R724" t="s">
        <v>74</v>
      </c>
      <c r="S724" t="s">
        <v>74</v>
      </c>
      <c r="T724" t="s">
        <v>13489</v>
      </c>
      <c r="U724" t="s">
        <v>74</v>
      </c>
      <c r="V724" t="s">
        <v>13490</v>
      </c>
      <c r="W724" t="s">
        <v>13491</v>
      </c>
      <c r="X724" t="s">
        <v>13492</v>
      </c>
      <c r="Y724" t="s">
        <v>13493</v>
      </c>
      <c r="Z724" t="s">
        <v>13494</v>
      </c>
      <c r="AA724" t="s">
        <v>74</v>
      </c>
      <c r="AB724" t="s">
        <v>74</v>
      </c>
      <c r="AC724" t="s">
        <v>74</v>
      </c>
      <c r="AD724" t="s">
        <v>74</v>
      </c>
      <c r="AE724" t="s">
        <v>74</v>
      </c>
      <c r="AF724" t="s">
        <v>74</v>
      </c>
      <c r="AG724">
        <v>9</v>
      </c>
      <c r="AH724">
        <v>3</v>
      </c>
      <c r="AI724">
        <v>3</v>
      </c>
      <c r="AJ724">
        <v>1</v>
      </c>
      <c r="AK724">
        <v>3</v>
      </c>
      <c r="AL724" t="s">
        <v>12677</v>
      </c>
      <c r="AM724" t="s">
        <v>12678</v>
      </c>
      <c r="AN724" t="s">
        <v>12679</v>
      </c>
      <c r="AO724" t="s">
        <v>12680</v>
      </c>
      <c r="AP724" t="s">
        <v>12681</v>
      </c>
      <c r="AQ724" t="s">
        <v>13402</v>
      </c>
      <c r="AR724" t="s">
        <v>12683</v>
      </c>
      <c r="AS724" t="s">
        <v>74</v>
      </c>
      <c r="AT724" t="s">
        <v>74</v>
      </c>
      <c r="AU724">
        <v>2012</v>
      </c>
      <c r="AV724">
        <v>8444</v>
      </c>
      <c r="AW724" t="s">
        <v>74</v>
      </c>
      <c r="AX724" t="s">
        <v>74</v>
      </c>
      <c r="AY724" t="s">
        <v>74</v>
      </c>
      <c r="AZ724" t="s">
        <v>74</v>
      </c>
      <c r="BA724" t="s">
        <v>74</v>
      </c>
      <c r="BB724" t="s">
        <v>74</v>
      </c>
      <c r="BC724" t="s">
        <v>74</v>
      </c>
      <c r="BD724" t="s">
        <v>13495</v>
      </c>
      <c r="BE724" t="s">
        <v>13496</v>
      </c>
      <c r="BF724" t="str">
        <f>HYPERLINK("http://dx.doi.org/10.1117/12.925097","http://dx.doi.org/10.1117/12.925097")</f>
        <v>http://dx.doi.org/10.1117/12.925097</v>
      </c>
      <c r="BG724" t="s">
        <v>74</v>
      </c>
      <c r="BH724" t="s">
        <v>74</v>
      </c>
      <c r="BI724">
        <v>8</v>
      </c>
      <c r="BJ724" t="s">
        <v>13405</v>
      </c>
      <c r="BK724" t="s">
        <v>12109</v>
      </c>
      <c r="BL724" t="s">
        <v>13405</v>
      </c>
      <c r="BM724" t="s">
        <v>13406</v>
      </c>
      <c r="BN724" t="s">
        <v>74</v>
      </c>
      <c r="BO724" t="s">
        <v>74</v>
      </c>
      <c r="BP724" t="s">
        <v>74</v>
      </c>
      <c r="BQ724" t="s">
        <v>74</v>
      </c>
      <c r="BR724" t="s">
        <v>101</v>
      </c>
      <c r="BS724" t="s">
        <v>13497</v>
      </c>
      <c r="BT724" t="str">
        <f>HYPERLINK("https%3A%2F%2Fwww.webofscience.com%2Fwos%2Fwoscc%2Ffull-record%2FWOS:000312276100172","View Full Record in Web of Science")</f>
        <v>View Full Record in Web of Science</v>
      </c>
    </row>
    <row r="725" spans="1:72" x14ac:dyDescent="0.15">
      <c r="A725" t="s">
        <v>12086</v>
      </c>
      <c r="B725" t="s">
        <v>13498</v>
      </c>
      <c r="C725" t="s">
        <v>74</v>
      </c>
      <c r="D725" t="s">
        <v>13388</v>
      </c>
      <c r="E725" t="s">
        <v>74</v>
      </c>
      <c r="F725" t="s">
        <v>13499</v>
      </c>
      <c r="G725" t="s">
        <v>74</v>
      </c>
      <c r="H725" t="s">
        <v>74</v>
      </c>
      <c r="I725" t="s">
        <v>13500</v>
      </c>
      <c r="J725" t="s">
        <v>13391</v>
      </c>
      <c r="K725" t="s">
        <v>12669</v>
      </c>
      <c r="L725" t="s">
        <v>74</v>
      </c>
      <c r="M725" t="s">
        <v>78</v>
      </c>
      <c r="N725" t="s">
        <v>12093</v>
      </c>
      <c r="O725" t="s">
        <v>12803</v>
      </c>
      <c r="P725" t="s">
        <v>12186</v>
      </c>
      <c r="Q725" t="s">
        <v>12096</v>
      </c>
      <c r="R725" t="s">
        <v>74</v>
      </c>
      <c r="S725" t="s">
        <v>74</v>
      </c>
      <c r="T725" t="s">
        <v>13501</v>
      </c>
      <c r="U725" t="s">
        <v>74</v>
      </c>
      <c r="V725" t="s">
        <v>13502</v>
      </c>
      <c r="W725" t="s">
        <v>13503</v>
      </c>
      <c r="X725" t="s">
        <v>13492</v>
      </c>
      <c r="Y725" t="s">
        <v>13504</v>
      </c>
      <c r="Z725" t="s">
        <v>74</v>
      </c>
      <c r="AA725" t="s">
        <v>74</v>
      </c>
      <c r="AB725" t="s">
        <v>74</v>
      </c>
      <c r="AC725" t="s">
        <v>74</v>
      </c>
      <c r="AD725" t="s">
        <v>74</v>
      </c>
      <c r="AE725" t="s">
        <v>74</v>
      </c>
      <c r="AF725" t="s">
        <v>74</v>
      </c>
      <c r="AG725">
        <v>5</v>
      </c>
      <c r="AH725">
        <v>0</v>
      </c>
      <c r="AI725">
        <v>0</v>
      </c>
      <c r="AJ725">
        <v>1</v>
      </c>
      <c r="AK725">
        <v>6</v>
      </c>
      <c r="AL725" t="s">
        <v>12677</v>
      </c>
      <c r="AM725" t="s">
        <v>12678</v>
      </c>
      <c r="AN725" t="s">
        <v>12679</v>
      </c>
      <c r="AO725" t="s">
        <v>12680</v>
      </c>
      <c r="AP725" t="s">
        <v>74</v>
      </c>
      <c r="AQ725" t="s">
        <v>13402</v>
      </c>
      <c r="AR725" t="s">
        <v>12683</v>
      </c>
      <c r="AS725" t="s">
        <v>74</v>
      </c>
      <c r="AT725" t="s">
        <v>74</v>
      </c>
      <c r="AU725">
        <v>2012</v>
      </c>
      <c r="AV725">
        <v>8444</v>
      </c>
      <c r="AW725" t="s">
        <v>74</v>
      </c>
      <c r="AX725" t="s">
        <v>74</v>
      </c>
      <c r="AY725" t="s">
        <v>74</v>
      </c>
      <c r="AZ725" t="s">
        <v>74</v>
      </c>
      <c r="BA725" t="s">
        <v>74</v>
      </c>
      <c r="BB725" t="s">
        <v>74</v>
      </c>
      <c r="BC725" t="s">
        <v>74</v>
      </c>
      <c r="BD725" t="s">
        <v>13505</v>
      </c>
      <c r="BE725" t="s">
        <v>13506</v>
      </c>
      <c r="BF725" t="str">
        <f>HYPERLINK("http://dx.doi.org/10.1117/12.925296","http://dx.doi.org/10.1117/12.925296")</f>
        <v>http://dx.doi.org/10.1117/12.925296</v>
      </c>
      <c r="BG725" t="s">
        <v>74</v>
      </c>
      <c r="BH725" t="s">
        <v>74</v>
      </c>
      <c r="BI725">
        <v>7</v>
      </c>
      <c r="BJ725" t="s">
        <v>13405</v>
      </c>
      <c r="BK725" t="s">
        <v>12109</v>
      </c>
      <c r="BL725" t="s">
        <v>13405</v>
      </c>
      <c r="BM725" t="s">
        <v>13406</v>
      </c>
      <c r="BN725" t="s">
        <v>74</v>
      </c>
      <c r="BO725" t="s">
        <v>74</v>
      </c>
      <c r="BP725" t="s">
        <v>74</v>
      </c>
      <c r="BQ725" t="s">
        <v>74</v>
      </c>
      <c r="BR725" t="s">
        <v>101</v>
      </c>
      <c r="BS725" t="s">
        <v>13507</v>
      </c>
      <c r="BT725" t="str">
        <f>HYPERLINK("https%3A%2F%2Fwww.webofscience.com%2Fwos%2Fwoscc%2Ffull-record%2FWOS:000312276100173","View Full Record in Web of Science")</f>
        <v>View Full Record in Web of Science</v>
      </c>
    </row>
    <row r="726" spans="1:72" x14ac:dyDescent="0.15">
      <c r="A726" t="s">
        <v>12086</v>
      </c>
      <c r="B726" t="s">
        <v>13508</v>
      </c>
      <c r="C726" t="s">
        <v>74</v>
      </c>
      <c r="D726" t="s">
        <v>13509</v>
      </c>
      <c r="E726" t="s">
        <v>74</v>
      </c>
      <c r="F726" t="s">
        <v>13510</v>
      </c>
      <c r="G726" t="s">
        <v>74</v>
      </c>
      <c r="H726" t="s">
        <v>11852</v>
      </c>
      <c r="I726" t="s">
        <v>13511</v>
      </c>
      <c r="J726" t="s">
        <v>13512</v>
      </c>
      <c r="K726" t="s">
        <v>13513</v>
      </c>
      <c r="L726" t="s">
        <v>74</v>
      </c>
      <c r="M726" t="s">
        <v>78</v>
      </c>
      <c r="N726" t="s">
        <v>12093</v>
      </c>
      <c r="O726" t="s">
        <v>13514</v>
      </c>
      <c r="P726" t="s">
        <v>13515</v>
      </c>
      <c r="Q726" t="s">
        <v>13516</v>
      </c>
      <c r="R726" t="s">
        <v>74</v>
      </c>
      <c r="S726" t="s">
        <v>74</v>
      </c>
      <c r="T726" t="s">
        <v>13517</v>
      </c>
      <c r="U726" t="s">
        <v>13518</v>
      </c>
      <c r="V726" t="s">
        <v>13519</v>
      </c>
      <c r="W726" t="s">
        <v>13520</v>
      </c>
      <c r="X726" t="s">
        <v>13521</v>
      </c>
      <c r="Y726" t="s">
        <v>13522</v>
      </c>
      <c r="Z726" t="s">
        <v>74</v>
      </c>
      <c r="AA726" t="s">
        <v>11864</v>
      </c>
      <c r="AB726" t="s">
        <v>13523</v>
      </c>
      <c r="AC726" t="s">
        <v>74</v>
      </c>
      <c r="AD726" t="s">
        <v>74</v>
      </c>
      <c r="AE726" t="s">
        <v>74</v>
      </c>
      <c r="AF726" t="s">
        <v>74</v>
      </c>
      <c r="AG726">
        <v>31</v>
      </c>
      <c r="AH726">
        <v>0</v>
      </c>
      <c r="AI726">
        <v>0</v>
      </c>
      <c r="AJ726">
        <v>0</v>
      </c>
      <c r="AK726">
        <v>0</v>
      </c>
      <c r="AL726" t="s">
        <v>13524</v>
      </c>
      <c r="AM726" t="s">
        <v>13525</v>
      </c>
      <c r="AN726" t="s">
        <v>13526</v>
      </c>
      <c r="AO726" t="s">
        <v>13527</v>
      </c>
      <c r="AP726" t="s">
        <v>74</v>
      </c>
      <c r="AQ726" t="s">
        <v>13528</v>
      </c>
      <c r="AR726" t="s">
        <v>13529</v>
      </c>
      <c r="AS726" t="s">
        <v>74</v>
      </c>
      <c r="AT726" t="s">
        <v>74</v>
      </c>
      <c r="AU726">
        <v>2012</v>
      </c>
      <c r="AV726">
        <v>1505</v>
      </c>
      <c r="AW726" t="s">
        <v>74</v>
      </c>
      <c r="AX726" t="s">
        <v>74</v>
      </c>
      <c r="AY726" t="s">
        <v>74</v>
      </c>
      <c r="AZ726" t="s">
        <v>74</v>
      </c>
      <c r="BA726" t="s">
        <v>74</v>
      </c>
      <c r="BB726">
        <v>209</v>
      </c>
      <c r="BC726">
        <v>216</v>
      </c>
      <c r="BD726" t="s">
        <v>74</v>
      </c>
      <c r="BE726" t="s">
        <v>13530</v>
      </c>
      <c r="BF726" t="str">
        <f>HYPERLINK("http://dx.doi.org/10.1063/1.4772235","http://dx.doi.org/10.1063/1.4772235")</f>
        <v>http://dx.doi.org/10.1063/1.4772235</v>
      </c>
      <c r="BG726" t="s">
        <v>74</v>
      </c>
      <c r="BH726" t="s">
        <v>74</v>
      </c>
      <c r="BI726">
        <v>8</v>
      </c>
      <c r="BJ726" t="s">
        <v>438</v>
      </c>
      <c r="BK726" t="s">
        <v>12109</v>
      </c>
      <c r="BL726" t="s">
        <v>438</v>
      </c>
      <c r="BM726" t="s">
        <v>13531</v>
      </c>
      <c r="BN726" t="s">
        <v>74</v>
      </c>
      <c r="BO726" t="s">
        <v>74</v>
      </c>
      <c r="BP726" t="s">
        <v>74</v>
      </c>
      <c r="BQ726" t="s">
        <v>74</v>
      </c>
      <c r="BR726" t="s">
        <v>101</v>
      </c>
      <c r="BS726" t="s">
        <v>13532</v>
      </c>
      <c r="BT726" t="str">
        <f>HYPERLINK("https%3A%2F%2Fwww.webofscience.com%2Fwos%2Fwoscc%2Ffull-record%2FWOS:000312503500022","View Full Record in Web of Science")</f>
        <v>View Full Record in Web of Science</v>
      </c>
    </row>
    <row r="727" spans="1:72" x14ac:dyDescent="0.15">
      <c r="A727" t="s">
        <v>12086</v>
      </c>
      <c r="B727" t="s">
        <v>13533</v>
      </c>
      <c r="C727" t="s">
        <v>74</v>
      </c>
      <c r="D727" t="s">
        <v>13534</v>
      </c>
      <c r="E727" t="s">
        <v>74</v>
      </c>
      <c r="F727" t="s">
        <v>13535</v>
      </c>
      <c r="G727" t="s">
        <v>74</v>
      </c>
      <c r="H727" t="s">
        <v>74</v>
      </c>
      <c r="I727" t="s">
        <v>13536</v>
      </c>
      <c r="J727" t="s">
        <v>13537</v>
      </c>
      <c r="K727" t="s">
        <v>12669</v>
      </c>
      <c r="L727" t="s">
        <v>74</v>
      </c>
      <c r="M727" t="s">
        <v>78</v>
      </c>
      <c r="N727" t="s">
        <v>12093</v>
      </c>
      <c r="O727" t="s">
        <v>13538</v>
      </c>
      <c r="P727" t="s">
        <v>13539</v>
      </c>
      <c r="Q727" t="s">
        <v>13540</v>
      </c>
      <c r="R727" t="s">
        <v>74</v>
      </c>
      <c r="S727" t="s">
        <v>74</v>
      </c>
      <c r="T727" t="s">
        <v>13541</v>
      </c>
      <c r="U727" t="s">
        <v>13542</v>
      </c>
      <c r="V727" t="s">
        <v>13543</v>
      </c>
      <c r="W727" t="s">
        <v>13544</v>
      </c>
      <c r="X727" t="s">
        <v>13545</v>
      </c>
      <c r="Y727" t="s">
        <v>13546</v>
      </c>
      <c r="Z727" t="s">
        <v>74</v>
      </c>
      <c r="AA727" t="s">
        <v>74</v>
      </c>
      <c r="AB727" t="s">
        <v>74</v>
      </c>
      <c r="AC727" t="s">
        <v>74</v>
      </c>
      <c r="AD727" t="s">
        <v>74</v>
      </c>
      <c r="AE727" t="s">
        <v>74</v>
      </c>
      <c r="AF727" t="s">
        <v>74</v>
      </c>
      <c r="AG727">
        <v>66</v>
      </c>
      <c r="AH727">
        <v>0</v>
      </c>
      <c r="AI727">
        <v>0</v>
      </c>
      <c r="AJ727">
        <v>0</v>
      </c>
      <c r="AK727">
        <v>8</v>
      </c>
      <c r="AL727" t="s">
        <v>12677</v>
      </c>
      <c r="AM727" t="s">
        <v>12678</v>
      </c>
      <c r="AN727" t="s">
        <v>12679</v>
      </c>
      <c r="AO727" t="s">
        <v>12680</v>
      </c>
      <c r="AP727" t="s">
        <v>12681</v>
      </c>
      <c r="AQ727" t="s">
        <v>13547</v>
      </c>
      <c r="AR727" t="s">
        <v>12683</v>
      </c>
      <c r="AS727" t="s">
        <v>74</v>
      </c>
      <c r="AT727" t="s">
        <v>74</v>
      </c>
      <c r="AU727">
        <v>2012</v>
      </c>
      <c r="AV727">
        <v>8521</v>
      </c>
      <c r="AW727" t="s">
        <v>74</v>
      </c>
      <c r="AX727" t="s">
        <v>74</v>
      </c>
      <c r="AY727" t="s">
        <v>74</v>
      </c>
      <c r="AZ727" t="s">
        <v>74</v>
      </c>
      <c r="BA727" t="s">
        <v>74</v>
      </c>
      <c r="BB727" t="s">
        <v>74</v>
      </c>
      <c r="BC727" t="s">
        <v>74</v>
      </c>
      <c r="BD727" t="s">
        <v>13548</v>
      </c>
      <c r="BE727" t="s">
        <v>13549</v>
      </c>
      <c r="BF727" t="str">
        <f>HYPERLINK("http://dx.doi.org/10.1117/12.970517","http://dx.doi.org/10.1117/12.970517")</f>
        <v>http://dx.doi.org/10.1117/12.970517</v>
      </c>
      <c r="BG727" t="s">
        <v>74</v>
      </c>
      <c r="BH727" t="s">
        <v>74</v>
      </c>
      <c r="BI727">
        <v>9</v>
      </c>
      <c r="BJ727" t="s">
        <v>13550</v>
      </c>
      <c r="BK727" t="s">
        <v>12109</v>
      </c>
      <c r="BL727" t="s">
        <v>13551</v>
      </c>
      <c r="BM727" t="s">
        <v>13552</v>
      </c>
      <c r="BN727" t="s">
        <v>74</v>
      </c>
      <c r="BO727" t="s">
        <v>74</v>
      </c>
      <c r="BP727" t="s">
        <v>74</v>
      </c>
      <c r="BQ727" t="s">
        <v>74</v>
      </c>
      <c r="BR727" t="s">
        <v>101</v>
      </c>
      <c r="BS727" t="s">
        <v>13553</v>
      </c>
      <c r="BT727" t="str">
        <f>HYPERLINK("https%3A%2F%2Fwww.webofscience.com%2Fwos%2Fwoscc%2Ffull-record%2FWOS:000312591700016","View Full Record in Web of Science")</f>
        <v>View Full Record in Web of Science</v>
      </c>
    </row>
    <row r="728" spans="1:72" x14ac:dyDescent="0.15">
      <c r="A728" t="s">
        <v>72</v>
      </c>
      <c r="B728" t="s">
        <v>13554</v>
      </c>
      <c r="C728" t="s">
        <v>74</v>
      </c>
      <c r="D728" t="s">
        <v>74</v>
      </c>
      <c r="E728" t="s">
        <v>74</v>
      </c>
      <c r="F728" t="s">
        <v>13555</v>
      </c>
      <c r="G728" t="s">
        <v>74</v>
      </c>
      <c r="H728" t="s">
        <v>74</v>
      </c>
      <c r="I728" t="s">
        <v>13556</v>
      </c>
      <c r="J728" t="s">
        <v>13557</v>
      </c>
      <c r="K728" t="s">
        <v>74</v>
      </c>
      <c r="L728" t="s">
        <v>74</v>
      </c>
      <c r="M728" t="s">
        <v>78</v>
      </c>
      <c r="N728" t="s">
        <v>79</v>
      </c>
      <c r="O728" t="s">
        <v>74</v>
      </c>
      <c r="P728" t="s">
        <v>74</v>
      </c>
      <c r="Q728" t="s">
        <v>74</v>
      </c>
      <c r="R728" t="s">
        <v>74</v>
      </c>
      <c r="S728" t="s">
        <v>74</v>
      </c>
      <c r="T728" t="s">
        <v>13558</v>
      </c>
      <c r="U728" t="s">
        <v>13559</v>
      </c>
      <c r="V728" t="s">
        <v>13560</v>
      </c>
      <c r="W728" t="s">
        <v>13561</v>
      </c>
      <c r="X728" t="s">
        <v>13562</v>
      </c>
      <c r="Y728" t="s">
        <v>13563</v>
      </c>
      <c r="Z728" t="s">
        <v>13564</v>
      </c>
      <c r="AA728" t="s">
        <v>13565</v>
      </c>
      <c r="AB728" t="s">
        <v>13566</v>
      </c>
      <c r="AC728" t="s">
        <v>13567</v>
      </c>
      <c r="AD728" t="s">
        <v>13568</v>
      </c>
      <c r="AE728" t="s">
        <v>13569</v>
      </c>
      <c r="AF728" t="s">
        <v>74</v>
      </c>
      <c r="AG728">
        <v>23</v>
      </c>
      <c r="AH728">
        <v>9</v>
      </c>
      <c r="AI728">
        <v>10</v>
      </c>
      <c r="AJ728">
        <v>3</v>
      </c>
      <c r="AK728">
        <v>35</v>
      </c>
      <c r="AL728" t="s">
        <v>761</v>
      </c>
      <c r="AM728" t="s">
        <v>762</v>
      </c>
      <c r="AN728" t="s">
        <v>763</v>
      </c>
      <c r="AO728" t="s">
        <v>13570</v>
      </c>
      <c r="AP728" t="s">
        <v>74</v>
      </c>
      <c r="AQ728" t="s">
        <v>74</v>
      </c>
      <c r="AR728" t="s">
        <v>13571</v>
      </c>
      <c r="AS728" t="s">
        <v>13572</v>
      </c>
      <c r="AT728" t="s">
        <v>74</v>
      </c>
      <c r="AU728">
        <v>2012</v>
      </c>
      <c r="AV728">
        <v>8</v>
      </c>
      <c r="AW728">
        <v>4</v>
      </c>
      <c r="AX728" t="s">
        <v>74</v>
      </c>
      <c r="AY728" t="s">
        <v>74</v>
      </c>
      <c r="AZ728" t="s">
        <v>74</v>
      </c>
      <c r="BA728" t="s">
        <v>74</v>
      </c>
      <c r="BB728">
        <v>473</v>
      </c>
      <c r="BC728">
        <v>477</v>
      </c>
      <c r="BD728" t="s">
        <v>74</v>
      </c>
      <c r="BE728" t="s">
        <v>13573</v>
      </c>
      <c r="BF728" t="str">
        <f>HYPERLINK("http://dx.doi.org/10.1080/17445647.2012.747355","http://dx.doi.org/10.1080/17445647.2012.747355")</f>
        <v>http://dx.doi.org/10.1080/17445647.2012.747355</v>
      </c>
      <c r="BG728" t="s">
        <v>74</v>
      </c>
      <c r="BH728" t="s">
        <v>74</v>
      </c>
      <c r="BI728">
        <v>5</v>
      </c>
      <c r="BJ728" t="s">
        <v>13574</v>
      </c>
      <c r="BK728" t="s">
        <v>2236</v>
      </c>
      <c r="BL728" t="s">
        <v>13575</v>
      </c>
      <c r="BM728" t="s">
        <v>13576</v>
      </c>
      <c r="BN728" t="s">
        <v>74</v>
      </c>
      <c r="BO728" t="s">
        <v>217</v>
      </c>
      <c r="BP728" t="s">
        <v>74</v>
      </c>
      <c r="BQ728" t="s">
        <v>74</v>
      </c>
      <c r="BR728" t="s">
        <v>101</v>
      </c>
      <c r="BS728" t="s">
        <v>13577</v>
      </c>
      <c r="BT728" t="str">
        <f>HYPERLINK("https%3A%2F%2Fwww.webofscience.com%2Fwos%2Fwoscc%2Ffull-record%2FWOS:000313074200021","View Full Record in Web of Science")</f>
        <v>View Full Record in Web of Science</v>
      </c>
    </row>
    <row r="729" spans="1:72" x14ac:dyDescent="0.15">
      <c r="A729" t="s">
        <v>12256</v>
      </c>
      <c r="B729" t="s">
        <v>13578</v>
      </c>
      <c r="C729" t="s">
        <v>74</v>
      </c>
      <c r="D729" t="s">
        <v>13579</v>
      </c>
      <c r="E729" t="s">
        <v>74</v>
      </c>
      <c r="F729" t="s">
        <v>13580</v>
      </c>
      <c r="G729" t="s">
        <v>74</v>
      </c>
      <c r="H729" t="s">
        <v>74</v>
      </c>
      <c r="I729" t="s">
        <v>13581</v>
      </c>
      <c r="J729" t="s">
        <v>13582</v>
      </c>
      <c r="K729" t="s">
        <v>74</v>
      </c>
      <c r="L729" t="s">
        <v>74</v>
      </c>
      <c r="M729" t="s">
        <v>78</v>
      </c>
      <c r="N729" t="s">
        <v>12141</v>
      </c>
      <c r="O729" t="s">
        <v>74</v>
      </c>
      <c r="P729" t="s">
        <v>74</v>
      </c>
      <c r="Q729" t="s">
        <v>74</v>
      </c>
      <c r="R729" t="s">
        <v>74</v>
      </c>
      <c r="S729" t="s">
        <v>74</v>
      </c>
      <c r="T729" t="s">
        <v>74</v>
      </c>
      <c r="U729" t="s">
        <v>13583</v>
      </c>
      <c r="V729" t="s">
        <v>74</v>
      </c>
      <c r="W729" t="s">
        <v>3326</v>
      </c>
      <c r="X729" t="s">
        <v>3176</v>
      </c>
      <c r="Y729" t="s">
        <v>13584</v>
      </c>
      <c r="Z729" t="s">
        <v>13585</v>
      </c>
      <c r="AA729" t="s">
        <v>74</v>
      </c>
      <c r="AB729" t="s">
        <v>74</v>
      </c>
      <c r="AC729" t="s">
        <v>74</v>
      </c>
      <c r="AD729" t="s">
        <v>74</v>
      </c>
      <c r="AE729" t="s">
        <v>74</v>
      </c>
      <c r="AF729" t="s">
        <v>74</v>
      </c>
      <c r="AG729">
        <v>19</v>
      </c>
      <c r="AH729">
        <v>2</v>
      </c>
      <c r="AI729">
        <v>2</v>
      </c>
      <c r="AJ729">
        <v>0</v>
      </c>
      <c r="AK729">
        <v>1</v>
      </c>
      <c r="AL729" t="s">
        <v>13586</v>
      </c>
      <c r="AM729" t="s">
        <v>13587</v>
      </c>
      <c r="AN729" t="s">
        <v>13588</v>
      </c>
      <c r="AO729" t="s">
        <v>74</v>
      </c>
      <c r="AP729" t="s">
        <v>74</v>
      </c>
      <c r="AQ729" t="s">
        <v>13589</v>
      </c>
      <c r="AR729" t="s">
        <v>74</v>
      </c>
      <c r="AS729" t="s">
        <v>74</v>
      </c>
      <c r="AT729" t="s">
        <v>74</v>
      </c>
      <c r="AU729">
        <v>2012</v>
      </c>
      <c r="AV729" t="s">
        <v>74</v>
      </c>
      <c r="AW729" t="s">
        <v>74</v>
      </c>
      <c r="AX729" t="s">
        <v>74</v>
      </c>
      <c r="AY729" t="s">
        <v>74</v>
      </c>
      <c r="AZ729" t="s">
        <v>74</v>
      </c>
      <c r="BA729" t="s">
        <v>74</v>
      </c>
      <c r="BB729">
        <v>36</v>
      </c>
      <c r="BC729">
        <v>61</v>
      </c>
      <c r="BD729" t="s">
        <v>74</v>
      </c>
      <c r="BE729" t="s">
        <v>74</v>
      </c>
      <c r="BF729" t="s">
        <v>74</v>
      </c>
      <c r="BG729" t="s">
        <v>13590</v>
      </c>
      <c r="BH729" t="s">
        <v>74</v>
      </c>
      <c r="BI729">
        <v>26</v>
      </c>
      <c r="BJ729" t="s">
        <v>13591</v>
      </c>
      <c r="BK729" t="s">
        <v>12155</v>
      </c>
      <c r="BL729" t="s">
        <v>13591</v>
      </c>
      <c r="BM729" t="s">
        <v>13592</v>
      </c>
      <c r="BN729" t="s">
        <v>74</v>
      </c>
      <c r="BO729" t="s">
        <v>74</v>
      </c>
      <c r="BP729" t="s">
        <v>74</v>
      </c>
      <c r="BQ729" t="s">
        <v>74</v>
      </c>
      <c r="BR729" t="s">
        <v>101</v>
      </c>
      <c r="BS729" t="s">
        <v>13593</v>
      </c>
      <c r="BT729" t="str">
        <f>HYPERLINK("https%3A%2F%2Fwww.webofscience.com%2Fwos%2Fwoscc%2Ffull-record%2FWOS:000312995600003","View Full Record in Web of Science")</f>
        <v>View Full Record in Web of Science</v>
      </c>
    </row>
    <row r="730" spans="1:72" x14ac:dyDescent="0.15">
      <c r="A730" t="s">
        <v>12256</v>
      </c>
      <c r="B730" t="s">
        <v>13594</v>
      </c>
      <c r="C730" t="s">
        <v>74</v>
      </c>
      <c r="D730" t="s">
        <v>13579</v>
      </c>
      <c r="E730" t="s">
        <v>74</v>
      </c>
      <c r="F730" t="s">
        <v>13595</v>
      </c>
      <c r="G730" t="s">
        <v>74</v>
      </c>
      <c r="H730" t="s">
        <v>74</v>
      </c>
      <c r="I730" t="s">
        <v>13596</v>
      </c>
      <c r="J730" t="s">
        <v>13582</v>
      </c>
      <c r="K730" t="s">
        <v>74</v>
      </c>
      <c r="L730" t="s">
        <v>74</v>
      </c>
      <c r="M730" t="s">
        <v>78</v>
      </c>
      <c r="N730" t="s">
        <v>12141</v>
      </c>
      <c r="O730" t="s">
        <v>74</v>
      </c>
      <c r="P730" t="s">
        <v>74</v>
      </c>
      <c r="Q730" t="s">
        <v>74</v>
      </c>
      <c r="R730" t="s">
        <v>74</v>
      </c>
      <c r="S730" t="s">
        <v>74</v>
      </c>
      <c r="T730" t="s">
        <v>74</v>
      </c>
      <c r="U730" t="s">
        <v>13597</v>
      </c>
      <c r="V730" t="s">
        <v>74</v>
      </c>
      <c r="W730" t="s">
        <v>6115</v>
      </c>
      <c r="X730" t="s">
        <v>3176</v>
      </c>
      <c r="Y730" t="s">
        <v>13598</v>
      </c>
      <c r="Z730" t="s">
        <v>13599</v>
      </c>
      <c r="AA730" t="s">
        <v>10586</v>
      </c>
      <c r="AB730" t="s">
        <v>10587</v>
      </c>
      <c r="AC730" t="s">
        <v>74</v>
      </c>
      <c r="AD730" t="s">
        <v>74</v>
      </c>
      <c r="AE730" t="s">
        <v>74</v>
      </c>
      <c r="AF730" t="s">
        <v>74</v>
      </c>
      <c r="AG730">
        <v>95</v>
      </c>
      <c r="AH730">
        <v>10</v>
      </c>
      <c r="AI730">
        <v>12</v>
      </c>
      <c r="AJ730">
        <v>0</v>
      </c>
      <c r="AK730">
        <v>9</v>
      </c>
      <c r="AL730" t="s">
        <v>13586</v>
      </c>
      <c r="AM730" t="s">
        <v>13587</v>
      </c>
      <c r="AN730" t="s">
        <v>13588</v>
      </c>
      <c r="AO730" t="s">
        <v>74</v>
      </c>
      <c r="AP730" t="s">
        <v>74</v>
      </c>
      <c r="AQ730" t="s">
        <v>13589</v>
      </c>
      <c r="AR730" t="s">
        <v>74</v>
      </c>
      <c r="AS730" t="s">
        <v>74</v>
      </c>
      <c r="AT730" t="s">
        <v>74</v>
      </c>
      <c r="AU730">
        <v>2012</v>
      </c>
      <c r="AV730" t="s">
        <v>74</v>
      </c>
      <c r="AW730" t="s">
        <v>74</v>
      </c>
      <c r="AX730" t="s">
        <v>74</v>
      </c>
      <c r="AY730" t="s">
        <v>74</v>
      </c>
      <c r="AZ730" t="s">
        <v>74</v>
      </c>
      <c r="BA730" t="s">
        <v>74</v>
      </c>
      <c r="BB730">
        <v>81</v>
      </c>
      <c r="BC730">
        <v>102</v>
      </c>
      <c r="BD730" t="s">
        <v>74</v>
      </c>
      <c r="BE730" t="s">
        <v>74</v>
      </c>
      <c r="BF730" t="s">
        <v>74</v>
      </c>
      <c r="BG730" t="s">
        <v>13590</v>
      </c>
      <c r="BH730" t="s">
        <v>74</v>
      </c>
      <c r="BI730">
        <v>22</v>
      </c>
      <c r="BJ730" t="s">
        <v>13591</v>
      </c>
      <c r="BK730" t="s">
        <v>12155</v>
      </c>
      <c r="BL730" t="s">
        <v>13591</v>
      </c>
      <c r="BM730" t="s">
        <v>13592</v>
      </c>
      <c r="BN730" t="s">
        <v>74</v>
      </c>
      <c r="BO730" t="s">
        <v>74</v>
      </c>
      <c r="BP730" t="s">
        <v>74</v>
      </c>
      <c r="BQ730" t="s">
        <v>74</v>
      </c>
      <c r="BR730" t="s">
        <v>101</v>
      </c>
      <c r="BS730" t="s">
        <v>13600</v>
      </c>
      <c r="BT730" t="str">
        <f>HYPERLINK("https%3A%2F%2Fwww.webofscience.com%2Fwos%2Fwoscc%2Ffull-record%2FWOS:000312995600005","View Full Record in Web of Science")</f>
        <v>View Full Record in Web of Science</v>
      </c>
    </row>
    <row r="731" spans="1:72" x14ac:dyDescent="0.15">
      <c r="A731" t="s">
        <v>12256</v>
      </c>
      <c r="B731" t="s">
        <v>13601</v>
      </c>
      <c r="C731" t="s">
        <v>74</v>
      </c>
      <c r="D731" t="s">
        <v>13579</v>
      </c>
      <c r="E731" t="s">
        <v>74</v>
      </c>
      <c r="F731" t="s">
        <v>13602</v>
      </c>
      <c r="G731" t="s">
        <v>74</v>
      </c>
      <c r="H731" t="s">
        <v>74</v>
      </c>
      <c r="I731" t="s">
        <v>13603</v>
      </c>
      <c r="J731" t="s">
        <v>13582</v>
      </c>
      <c r="K731" t="s">
        <v>74</v>
      </c>
      <c r="L731" t="s">
        <v>74</v>
      </c>
      <c r="M731" t="s">
        <v>78</v>
      </c>
      <c r="N731" t="s">
        <v>12141</v>
      </c>
      <c r="O731" t="s">
        <v>74</v>
      </c>
      <c r="P731" t="s">
        <v>74</v>
      </c>
      <c r="Q731" t="s">
        <v>74</v>
      </c>
      <c r="R731" t="s">
        <v>74</v>
      </c>
      <c r="S731" t="s">
        <v>74</v>
      </c>
      <c r="T731" t="s">
        <v>74</v>
      </c>
      <c r="U731" t="s">
        <v>13604</v>
      </c>
      <c r="V731" t="s">
        <v>74</v>
      </c>
      <c r="W731" t="s">
        <v>13605</v>
      </c>
      <c r="X731" t="s">
        <v>5426</v>
      </c>
      <c r="Y731" t="s">
        <v>13606</v>
      </c>
      <c r="Z731" t="s">
        <v>13607</v>
      </c>
      <c r="AA731" t="s">
        <v>74</v>
      </c>
      <c r="AB731" t="s">
        <v>74</v>
      </c>
      <c r="AC731" t="s">
        <v>74</v>
      </c>
      <c r="AD731" t="s">
        <v>74</v>
      </c>
      <c r="AE731" t="s">
        <v>74</v>
      </c>
      <c r="AF731" t="s">
        <v>74</v>
      </c>
      <c r="AG731">
        <v>70</v>
      </c>
      <c r="AH731">
        <v>2</v>
      </c>
      <c r="AI731">
        <v>3</v>
      </c>
      <c r="AJ731">
        <v>0</v>
      </c>
      <c r="AK731">
        <v>10</v>
      </c>
      <c r="AL731" t="s">
        <v>13586</v>
      </c>
      <c r="AM731" t="s">
        <v>13587</v>
      </c>
      <c r="AN731" t="s">
        <v>13588</v>
      </c>
      <c r="AO731" t="s">
        <v>74</v>
      </c>
      <c r="AP731" t="s">
        <v>74</v>
      </c>
      <c r="AQ731" t="s">
        <v>13589</v>
      </c>
      <c r="AR731" t="s">
        <v>74</v>
      </c>
      <c r="AS731" t="s">
        <v>74</v>
      </c>
      <c r="AT731" t="s">
        <v>74</v>
      </c>
      <c r="AU731">
        <v>2012</v>
      </c>
      <c r="AV731" t="s">
        <v>74</v>
      </c>
      <c r="AW731" t="s">
        <v>74</v>
      </c>
      <c r="AX731" t="s">
        <v>74</v>
      </c>
      <c r="AY731" t="s">
        <v>74</v>
      </c>
      <c r="AZ731" t="s">
        <v>74</v>
      </c>
      <c r="BA731" t="s">
        <v>74</v>
      </c>
      <c r="BB731">
        <v>103</v>
      </c>
      <c r="BC731">
        <v>121</v>
      </c>
      <c r="BD731" t="s">
        <v>74</v>
      </c>
      <c r="BE731" t="s">
        <v>74</v>
      </c>
      <c r="BF731" t="s">
        <v>74</v>
      </c>
      <c r="BG731" t="s">
        <v>13590</v>
      </c>
      <c r="BH731" t="s">
        <v>74</v>
      </c>
      <c r="BI731">
        <v>19</v>
      </c>
      <c r="BJ731" t="s">
        <v>13591</v>
      </c>
      <c r="BK731" t="s">
        <v>12155</v>
      </c>
      <c r="BL731" t="s">
        <v>13591</v>
      </c>
      <c r="BM731" t="s">
        <v>13592</v>
      </c>
      <c r="BN731" t="s">
        <v>74</v>
      </c>
      <c r="BO731" t="s">
        <v>74</v>
      </c>
      <c r="BP731" t="s">
        <v>74</v>
      </c>
      <c r="BQ731" t="s">
        <v>74</v>
      </c>
      <c r="BR731" t="s">
        <v>101</v>
      </c>
      <c r="BS731" t="s">
        <v>13608</v>
      </c>
      <c r="BT731" t="str">
        <f>HYPERLINK("https%3A%2F%2Fwww.webofscience.com%2Fwos%2Fwoscc%2Ffull-record%2FWOS:000312995600006","View Full Record in Web of Science")</f>
        <v>View Full Record in Web of Science</v>
      </c>
    </row>
    <row r="732" spans="1:72" x14ac:dyDescent="0.15">
      <c r="A732" t="s">
        <v>12256</v>
      </c>
      <c r="B732" t="s">
        <v>13609</v>
      </c>
      <c r="C732" t="s">
        <v>74</v>
      </c>
      <c r="D732" t="s">
        <v>13579</v>
      </c>
      <c r="E732" t="s">
        <v>74</v>
      </c>
      <c r="F732" t="s">
        <v>13610</v>
      </c>
      <c r="G732" t="s">
        <v>74</v>
      </c>
      <c r="H732" t="s">
        <v>74</v>
      </c>
      <c r="I732" t="s">
        <v>13611</v>
      </c>
      <c r="J732" t="s">
        <v>13582</v>
      </c>
      <c r="K732" t="s">
        <v>74</v>
      </c>
      <c r="L732" t="s">
        <v>74</v>
      </c>
      <c r="M732" t="s">
        <v>78</v>
      </c>
      <c r="N732" t="s">
        <v>12141</v>
      </c>
      <c r="O732" t="s">
        <v>74</v>
      </c>
      <c r="P732" t="s">
        <v>74</v>
      </c>
      <c r="Q732" t="s">
        <v>74</v>
      </c>
      <c r="R732" t="s">
        <v>74</v>
      </c>
      <c r="S732" t="s">
        <v>74</v>
      </c>
      <c r="T732" t="s">
        <v>74</v>
      </c>
      <c r="U732" t="s">
        <v>13612</v>
      </c>
      <c r="V732" t="s">
        <v>74</v>
      </c>
      <c r="W732" t="s">
        <v>3326</v>
      </c>
      <c r="X732" t="s">
        <v>3176</v>
      </c>
      <c r="Y732" t="s">
        <v>13613</v>
      </c>
      <c r="Z732" t="s">
        <v>1880</v>
      </c>
      <c r="AA732" t="s">
        <v>74</v>
      </c>
      <c r="AB732" t="s">
        <v>13614</v>
      </c>
      <c r="AC732" t="s">
        <v>74</v>
      </c>
      <c r="AD732" t="s">
        <v>74</v>
      </c>
      <c r="AE732" t="s">
        <v>74</v>
      </c>
      <c r="AF732" t="s">
        <v>74</v>
      </c>
      <c r="AG732">
        <v>75</v>
      </c>
      <c r="AH732">
        <v>1</v>
      </c>
      <c r="AI732">
        <v>1</v>
      </c>
      <c r="AJ732">
        <v>0</v>
      </c>
      <c r="AK732">
        <v>10</v>
      </c>
      <c r="AL732" t="s">
        <v>13586</v>
      </c>
      <c r="AM732" t="s">
        <v>13587</v>
      </c>
      <c r="AN732" t="s">
        <v>13588</v>
      </c>
      <c r="AO732" t="s">
        <v>74</v>
      </c>
      <c r="AP732" t="s">
        <v>74</v>
      </c>
      <c r="AQ732" t="s">
        <v>13589</v>
      </c>
      <c r="AR732" t="s">
        <v>74</v>
      </c>
      <c r="AS732" t="s">
        <v>74</v>
      </c>
      <c r="AT732" t="s">
        <v>74</v>
      </c>
      <c r="AU732">
        <v>2012</v>
      </c>
      <c r="AV732" t="s">
        <v>74</v>
      </c>
      <c r="AW732" t="s">
        <v>74</v>
      </c>
      <c r="AX732" t="s">
        <v>74</v>
      </c>
      <c r="AY732" t="s">
        <v>74</v>
      </c>
      <c r="AZ732" t="s">
        <v>74</v>
      </c>
      <c r="BA732" t="s">
        <v>74</v>
      </c>
      <c r="BB732">
        <v>122</v>
      </c>
      <c r="BC732">
        <v>137</v>
      </c>
      <c r="BD732" t="s">
        <v>74</v>
      </c>
      <c r="BE732" t="s">
        <v>74</v>
      </c>
      <c r="BF732" t="s">
        <v>74</v>
      </c>
      <c r="BG732" t="s">
        <v>13590</v>
      </c>
      <c r="BH732" t="s">
        <v>74</v>
      </c>
      <c r="BI732">
        <v>16</v>
      </c>
      <c r="BJ732" t="s">
        <v>13591</v>
      </c>
      <c r="BK732" t="s">
        <v>12155</v>
      </c>
      <c r="BL732" t="s">
        <v>13591</v>
      </c>
      <c r="BM732" t="s">
        <v>13592</v>
      </c>
      <c r="BN732" t="s">
        <v>74</v>
      </c>
      <c r="BO732" t="s">
        <v>74</v>
      </c>
      <c r="BP732" t="s">
        <v>74</v>
      </c>
      <c r="BQ732" t="s">
        <v>74</v>
      </c>
      <c r="BR732" t="s">
        <v>101</v>
      </c>
      <c r="BS732" t="s">
        <v>13615</v>
      </c>
      <c r="BT732" t="str">
        <f>HYPERLINK("https%3A%2F%2Fwww.webofscience.com%2Fwos%2Fwoscc%2Ffull-record%2FWOS:000312995600007","View Full Record in Web of Science")</f>
        <v>View Full Record in Web of Science</v>
      </c>
    </row>
    <row r="733" spans="1:72" x14ac:dyDescent="0.15">
      <c r="A733" t="s">
        <v>12256</v>
      </c>
      <c r="B733" t="s">
        <v>13616</v>
      </c>
      <c r="C733" t="s">
        <v>74</v>
      </c>
      <c r="D733" t="s">
        <v>13579</v>
      </c>
      <c r="E733" t="s">
        <v>74</v>
      </c>
      <c r="F733" t="s">
        <v>13617</v>
      </c>
      <c r="G733" t="s">
        <v>74</v>
      </c>
      <c r="H733" t="s">
        <v>74</v>
      </c>
      <c r="I733" t="s">
        <v>13618</v>
      </c>
      <c r="J733" t="s">
        <v>13582</v>
      </c>
      <c r="K733" t="s">
        <v>74</v>
      </c>
      <c r="L733" t="s">
        <v>74</v>
      </c>
      <c r="M733" t="s">
        <v>78</v>
      </c>
      <c r="N733" t="s">
        <v>12141</v>
      </c>
      <c r="O733" t="s">
        <v>74</v>
      </c>
      <c r="P733" t="s">
        <v>74</v>
      </c>
      <c r="Q733" t="s">
        <v>74</v>
      </c>
      <c r="R733" t="s">
        <v>74</v>
      </c>
      <c r="S733" t="s">
        <v>74</v>
      </c>
      <c r="T733" t="s">
        <v>74</v>
      </c>
      <c r="U733" t="s">
        <v>13619</v>
      </c>
      <c r="V733" t="s">
        <v>74</v>
      </c>
      <c r="W733" t="s">
        <v>13620</v>
      </c>
      <c r="X733" t="s">
        <v>13621</v>
      </c>
      <c r="Y733" t="s">
        <v>13622</v>
      </c>
      <c r="Z733" t="s">
        <v>13623</v>
      </c>
      <c r="AA733" t="s">
        <v>74</v>
      </c>
      <c r="AB733" t="s">
        <v>74</v>
      </c>
      <c r="AC733" t="s">
        <v>74</v>
      </c>
      <c r="AD733" t="s">
        <v>74</v>
      </c>
      <c r="AE733" t="s">
        <v>74</v>
      </c>
      <c r="AF733" t="s">
        <v>74</v>
      </c>
      <c r="AG733">
        <v>82</v>
      </c>
      <c r="AH733">
        <v>1</v>
      </c>
      <c r="AI733">
        <v>1</v>
      </c>
      <c r="AJ733">
        <v>0</v>
      </c>
      <c r="AK733">
        <v>4</v>
      </c>
      <c r="AL733" t="s">
        <v>13586</v>
      </c>
      <c r="AM733" t="s">
        <v>13587</v>
      </c>
      <c r="AN733" t="s">
        <v>13588</v>
      </c>
      <c r="AO733" t="s">
        <v>74</v>
      </c>
      <c r="AP733" t="s">
        <v>74</v>
      </c>
      <c r="AQ733" t="s">
        <v>13589</v>
      </c>
      <c r="AR733" t="s">
        <v>74</v>
      </c>
      <c r="AS733" t="s">
        <v>74</v>
      </c>
      <c r="AT733" t="s">
        <v>74</v>
      </c>
      <c r="AU733">
        <v>2012</v>
      </c>
      <c r="AV733" t="s">
        <v>74</v>
      </c>
      <c r="AW733" t="s">
        <v>74</v>
      </c>
      <c r="AX733" t="s">
        <v>74</v>
      </c>
      <c r="AY733" t="s">
        <v>74</v>
      </c>
      <c r="AZ733" t="s">
        <v>74</v>
      </c>
      <c r="BA733" t="s">
        <v>74</v>
      </c>
      <c r="BB733">
        <v>454</v>
      </c>
      <c r="BC733">
        <v>473</v>
      </c>
      <c r="BD733" t="s">
        <v>74</v>
      </c>
      <c r="BE733" t="s">
        <v>74</v>
      </c>
      <c r="BF733" t="s">
        <v>74</v>
      </c>
      <c r="BG733" t="s">
        <v>13590</v>
      </c>
      <c r="BH733" t="s">
        <v>74</v>
      </c>
      <c r="BI733">
        <v>20</v>
      </c>
      <c r="BJ733" t="s">
        <v>13591</v>
      </c>
      <c r="BK733" t="s">
        <v>12155</v>
      </c>
      <c r="BL733" t="s">
        <v>13591</v>
      </c>
      <c r="BM733" t="s">
        <v>13592</v>
      </c>
      <c r="BN733" t="s">
        <v>74</v>
      </c>
      <c r="BO733" t="s">
        <v>74</v>
      </c>
      <c r="BP733" t="s">
        <v>74</v>
      </c>
      <c r="BQ733" t="s">
        <v>74</v>
      </c>
      <c r="BR733" t="s">
        <v>101</v>
      </c>
      <c r="BS733" t="s">
        <v>13624</v>
      </c>
      <c r="BT733" t="str">
        <f>HYPERLINK("https%3A%2F%2Fwww.webofscience.com%2Fwos%2Fwoscc%2Ffull-record%2FWOS:000312995600022","View Full Record in Web of Science")</f>
        <v>View Full Record in Web of Science</v>
      </c>
    </row>
    <row r="734" spans="1:72" x14ac:dyDescent="0.15">
      <c r="A734" t="s">
        <v>72</v>
      </c>
      <c r="B734" t="s">
        <v>13625</v>
      </c>
      <c r="C734" t="s">
        <v>74</v>
      </c>
      <c r="D734" t="s">
        <v>74</v>
      </c>
      <c r="E734" t="s">
        <v>74</v>
      </c>
      <c r="F734" t="s">
        <v>13626</v>
      </c>
      <c r="G734" t="s">
        <v>74</v>
      </c>
      <c r="H734" t="s">
        <v>74</v>
      </c>
      <c r="I734" t="s">
        <v>13627</v>
      </c>
      <c r="J734" t="s">
        <v>13628</v>
      </c>
      <c r="K734" t="s">
        <v>74</v>
      </c>
      <c r="L734" t="s">
        <v>74</v>
      </c>
      <c r="M734" t="s">
        <v>78</v>
      </c>
      <c r="N734" t="s">
        <v>79</v>
      </c>
      <c r="O734" t="s">
        <v>74</v>
      </c>
      <c r="P734" t="s">
        <v>74</v>
      </c>
      <c r="Q734" t="s">
        <v>74</v>
      </c>
      <c r="R734" t="s">
        <v>74</v>
      </c>
      <c r="S734" t="s">
        <v>74</v>
      </c>
      <c r="T734" t="s">
        <v>13629</v>
      </c>
      <c r="U734" t="s">
        <v>13630</v>
      </c>
      <c r="V734" t="s">
        <v>13631</v>
      </c>
      <c r="W734" t="s">
        <v>13632</v>
      </c>
      <c r="X734" t="s">
        <v>13633</v>
      </c>
      <c r="Y734" t="s">
        <v>13634</v>
      </c>
      <c r="Z734" t="s">
        <v>13635</v>
      </c>
      <c r="AA734" t="s">
        <v>74</v>
      </c>
      <c r="AB734" t="s">
        <v>13636</v>
      </c>
      <c r="AC734" t="s">
        <v>13637</v>
      </c>
      <c r="AD734" t="s">
        <v>13638</v>
      </c>
      <c r="AE734" t="s">
        <v>13639</v>
      </c>
      <c r="AF734" t="s">
        <v>74</v>
      </c>
      <c r="AG734">
        <v>64</v>
      </c>
      <c r="AH734">
        <v>62</v>
      </c>
      <c r="AI734">
        <v>75</v>
      </c>
      <c r="AJ734">
        <v>0</v>
      </c>
      <c r="AK734">
        <v>47</v>
      </c>
      <c r="AL734" t="s">
        <v>13640</v>
      </c>
      <c r="AM734" t="s">
        <v>13641</v>
      </c>
      <c r="AN734" t="s">
        <v>13642</v>
      </c>
      <c r="AO734" t="s">
        <v>13643</v>
      </c>
      <c r="AP734" t="s">
        <v>13644</v>
      </c>
      <c r="AQ734" t="s">
        <v>74</v>
      </c>
      <c r="AR734" t="s">
        <v>13645</v>
      </c>
      <c r="AS734" t="s">
        <v>13646</v>
      </c>
      <c r="AT734" t="s">
        <v>74</v>
      </c>
      <c r="AU734">
        <v>2012</v>
      </c>
      <c r="AV734">
        <v>471</v>
      </c>
      <c r="AW734" t="s">
        <v>74</v>
      </c>
      <c r="AX734" t="s">
        <v>74</v>
      </c>
      <c r="AY734" t="s">
        <v>74</v>
      </c>
      <c r="AZ734" t="s">
        <v>74</v>
      </c>
      <c r="BA734" t="s">
        <v>74</v>
      </c>
      <c r="BB734">
        <v>23</v>
      </c>
      <c r="BC734">
        <v>36</v>
      </c>
      <c r="BD734" t="s">
        <v>74</v>
      </c>
      <c r="BE734" t="s">
        <v>13647</v>
      </c>
      <c r="BF734" t="str">
        <f>HYPERLINK("http://dx.doi.org/10.3354/meps10021","http://dx.doi.org/10.3354/meps10021")</f>
        <v>http://dx.doi.org/10.3354/meps10021</v>
      </c>
      <c r="BG734" t="s">
        <v>74</v>
      </c>
      <c r="BH734" t="s">
        <v>74</v>
      </c>
      <c r="BI734">
        <v>14</v>
      </c>
      <c r="BJ734" t="s">
        <v>13648</v>
      </c>
      <c r="BK734" t="s">
        <v>99</v>
      </c>
      <c r="BL734" t="s">
        <v>13649</v>
      </c>
      <c r="BM734" t="s">
        <v>13650</v>
      </c>
      <c r="BN734" t="s">
        <v>74</v>
      </c>
      <c r="BO734" t="s">
        <v>197</v>
      </c>
      <c r="BP734" t="s">
        <v>74</v>
      </c>
      <c r="BQ734" t="s">
        <v>74</v>
      </c>
      <c r="BR734" t="s">
        <v>101</v>
      </c>
      <c r="BS734" t="s">
        <v>13651</v>
      </c>
      <c r="BT734" t="str">
        <f>HYPERLINK("https%3A%2F%2Fwww.webofscience.com%2Fwos%2Fwoscc%2Ffull-record%2FWOS:000312782700003","View Full Record in Web of Science")</f>
        <v>View Full Record in Web of Science</v>
      </c>
    </row>
    <row r="735" spans="1:72" x14ac:dyDescent="0.15">
      <c r="A735" t="s">
        <v>72</v>
      </c>
      <c r="B735" t="s">
        <v>13652</v>
      </c>
      <c r="C735" t="s">
        <v>74</v>
      </c>
      <c r="D735" t="s">
        <v>74</v>
      </c>
      <c r="E735" t="s">
        <v>74</v>
      </c>
      <c r="F735" t="s">
        <v>13653</v>
      </c>
      <c r="G735" t="s">
        <v>74</v>
      </c>
      <c r="H735" t="s">
        <v>74</v>
      </c>
      <c r="I735" t="s">
        <v>13654</v>
      </c>
      <c r="J735" t="s">
        <v>13655</v>
      </c>
      <c r="K735" t="s">
        <v>74</v>
      </c>
      <c r="L735" t="s">
        <v>74</v>
      </c>
      <c r="M735" t="s">
        <v>78</v>
      </c>
      <c r="N735" t="s">
        <v>79</v>
      </c>
      <c r="O735" t="s">
        <v>74</v>
      </c>
      <c r="P735" t="s">
        <v>74</v>
      </c>
      <c r="Q735" t="s">
        <v>74</v>
      </c>
      <c r="R735" t="s">
        <v>74</v>
      </c>
      <c r="S735" t="s">
        <v>74</v>
      </c>
      <c r="T735" t="s">
        <v>74</v>
      </c>
      <c r="U735" t="s">
        <v>13656</v>
      </c>
      <c r="V735" t="s">
        <v>13657</v>
      </c>
      <c r="W735" t="s">
        <v>13658</v>
      </c>
      <c r="X735" t="s">
        <v>13659</v>
      </c>
      <c r="Y735" t="s">
        <v>13660</v>
      </c>
      <c r="Z735" t="s">
        <v>13661</v>
      </c>
      <c r="AA735" t="s">
        <v>13662</v>
      </c>
      <c r="AB735" t="s">
        <v>13663</v>
      </c>
      <c r="AC735" t="s">
        <v>13664</v>
      </c>
      <c r="AD735" t="s">
        <v>9592</v>
      </c>
      <c r="AE735" t="s">
        <v>13665</v>
      </c>
      <c r="AF735" t="s">
        <v>74</v>
      </c>
      <c r="AG735">
        <v>32</v>
      </c>
      <c r="AH735">
        <v>9</v>
      </c>
      <c r="AI735">
        <v>9</v>
      </c>
      <c r="AJ735">
        <v>0</v>
      </c>
      <c r="AK735">
        <v>16</v>
      </c>
      <c r="AL735" t="s">
        <v>13270</v>
      </c>
      <c r="AM735" t="s">
        <v>13271</v>
      </c>
      <c r="AN735" t="s">
        <v>13272</v>
      </c>
      <c r="AO735" t="s">
        <v>13666</v>
      </c>
      <c r="AP735" t="s">
        <v>13667</v>
      </c>
      <c r="AQ735" t="s">
        <v>74</v>
      </c>
      <c r="AR735" t="s">
        <v>13668</v>
      </c>
      <c r="AS735" t="s">
        <v>13669</v>
      </c>
      <c r="AT735" t="s">
        <v>74</v>
      </c>
      <c r="AU735">
        <v>2012</v>
      </c>
      <c r="AV735">
        <v>19</v>
      </c>
      <c r="AW735">
        <v>6</v>
      </c>
      <c r="AX735" t="s">
        <v>74</v>
      </c>
      <c r="AY735" t="s">
        <v>74</v>
      </c>
      <c r="AZ735" t="s">
        <v>74</v>
      </c>
      <c r="BA735" t="s">
        <v>74</v>
      </c>
      <c r="BB735">
        <v>687</v>
      </c>
      <c r="BC735">
        <v>692</v>
      </c>
      <c r="BD735" t="s">
        <v>74</v>
      </c>
      <c r="BE735" t="s">
        <v>13670</v>
      </c>
      <c r="BF735" t="str">
        <f>HYPERLINK("http://dx.doi.org/10.5194/npg-19-687-2012","http://dx.doi.org/10.5194/npg-19-687-2012")</f>
        <v>http://dx.doi.org/10.5194/npg-19-687-2012</v>
      </c>
      <c r="BG735" t="s">
        <v>74</v>
      </c>
      <c r="BH735" t="s">
        <v>74</v>
      </c>
      <c r="BI735">
        <v>6</v>
      </c>
      <c r="BJ735" t="s">
        <v>13671</v>
      </c>
      <c r="BK735" t="s">
        <v>99</v>
      </c>
      <c r="BL735" t="s">
        <v>13672</v>
      </c>
      <c r="BM735" t="s">
        <v>13673</v>
      </c>
      <c r="BN735" t="s">
        <v>74</v>
      </c>
      <c r="BO735" t="s">
        <v>3496</v>
      </c>
      <c r="BP735" t="s">
        <v>74</v>
      </c>
      <c r="BQ735" t="s">
        <v>74</v>
      </c>
      <c r="BR735" t="s">
        <v>101</v>
      </c>
      <c r="BS735" t="s">
        <v>13674</v>
      </c>
      <c r="BT735" t="str">
        <f>HYPERLINK("https%3A%2F%2Fwww.webofscience.com%2Fwos%2Fwoscc%2Ffull-record%2FWOS:000312697900012","View Full Record in Web of Science")</f>
        <v>View Full Record in Web of Science</v>
      </c>
    </row>
    <row r="736" spans="1:72" x14ac:dyDescent="0.15">
      <c r="A736" t="s">
        <v>72</v>
      </c>
      <c r="B736" t="s">
        <v>13675</v>
      </c>
      <c r="C736" t="s">
        <v>74</v>
      </c>
      <c r="D736" t="s">
        <v>74</v>
      </c>
      <c r="E736" t="s">
        <v>74</v>
      </c>
      <c r="F736" t="s">
        <v>13676</v>
      </c>
      <c r="G736" t="s">
        <v>74</v>
      </c>
      <c r="H736" t="s">
        <v>74</v>
      </c>
      <c r="I736" t="s">
        <v>13677</v>
      </c>
      <c r="J736" t="s">
        <v>13678</v>
      </c>
      <c r="K736" t="s">
        <v>74</v>
      </c>
      <c r="L736" t="s">
        <v>74</v>
      </c>
      <c r="M736" t="s">
        <v>78</v>
      </c>
      <c r="N736" t="s">
        <v>79</v>
      </c>
      <c r="O736" t="s">
        <v>74</v>
      </c>
      <c r="P736" t="s">
        <v>74</v>
      </c>
      <c r="Q736" t="s">
        <v>74</v>
      </c>
      <c r="R736" t="s">
        <v>74</v>
      </c>
      <c r="S736" t="s">
        <v>74</v>
      </c>
      <c r="T736" t="s">
        <v>74</v>
      </c>
      <c r="U736" t="s">
        <v>13679</v>
      </c>
      <c r="V736" t="s">
        <v>13680</v>
      </c>
      <c r="W736" t="s">
        <v>13681</v>
      </c>
      <c r="X736" t="s">
        <v>13682</v>
      </c>
      <c r="Y736" t="s">
        <v>13683</v>
      </c>
      <c r="Z736" t="s">
        <v>13684</v>
      </c>
      <c r="AA736" t="s">
        <v>13685</v>
      </c>
      <c r="AB736" t="s">
        <v>13686</v>
      </c>
      <c r="AC736" t="s">
        <v>13687</v>
      </c>
      <c r="AD736" t="s">
        <v>13688</v>
      </c>
      <c r="AE736" t="s">
        <v>13689</v>
      </c>
      <c r="AF736" t="s">
        <v>74</v>
      </c>
      <c r="AG736">
        <v>62</v>
      </c>
      <c r="AH736">
        <v>8</v>
      </c>
      <c r="AI736">
        <v>8</v>
      </c>
      <c r="AJ736">
        <v>1</v>
      </c>
      <c r="AK736">
        <v>14</v>
      </c>
      <c r="AL736" t="s">
        <v>13270</v>
      </c>
      <c r="AM736" t="s">
        <v>13271</v>
      </c>
      <c r="AN736" t="s">
        <v>13272</v>
      </c>
      <c r="AO736" t="s">
        <v>13690</v>
      </c>
      <c r="AP736" t="s">
        <v>13691</v>
      </c>
      <c r="AQ736" t="s">
        <v>74</v>
      </c>
      <c r="AR736" t="s">
        <v>13692</v>
      </c>
      <c r="AS736" t="s">
        <v>13693</v>
      </c>
      <c r="AT736" t="s">
        <v>74</v>
      </c>
      <c r="AU736">
        <v>2012</v>
      </c>
      <c r="AV736">
        <v>8</v>
      </c>
      <c r="AW736">
        <v>6</v>
      </c>
      <c r="AX736" t="s">
        <v>74</v>
      </c>
      <c r="AY736" t="s">
        <v>74</v>
      </c>
      <c r="AZ736" t="s">
        <v>74</v>
      </c>
      <c r="BA736" t="s">
        <v>74</v>
      </c>
      <c r="BB736">
        <v>1001</v>
      </c>
      <c r="BC736">
        <v>1023</v>
      </c>
      <c r="BD736" t="s">
        <v>74</v>
      </c>
      <c r="BE736" t="s">
        <v>13694</v>
      </c>
      <c r="BF736" t="str">
        <f>HYPERLINK("http://dx.doi.org/10.5194/os-8-1001-2012","http://dx.doi.org/10.5194/os-8-1001-2012")</f>
        <v>http://dx.doi.org/10.5194/os-8-1001-2012</v>
      </c>
      <c r="BG736" t="s">
        <v>74</v>
      </c>
      <c r="BH736" t="s">
        <v>74</v>
      </c>
      <c r="BI736">
        <v>23</v>
      </c>
      <c r="BJ736" t="s">
        <v>1601</v>
      </c>
      <c r="BK736" t="s">
        <v>99</v>
      </c>
      <c r="BL736" t="s">
        <v>1601</v>
      </c>
      <c r="BM736" t="s">
        <v>13695</v>
      </c>
      <c r="BN736" t="s">
        <v>74</v>
      </c>
      <c r="BO736" t="s">
        <v>7430</v>
      </c>
      <c r="BP736" t="s">
        <v>74</v>
      </c>
      <c r="BQ736" t="s">
        <v>74</v>
      </c>
      <c r="BR736" t="s">
        <v>101</v>
      </c>
      <c r="BS736" t="s">
        <v>13696</v>
      </c>
      <c r="BT736" t="str">
        <f>HYPERLINK("https%3A%2F%2Fwww.webofscience.com%2Fwos%2Fwoscc%2Ffull-record%2FWOS:000312698600006","View Full Record in Web of Science")</f>
        <v>View Full Record in Web of Science</v>
      </c>
    </row>
    <row r="737" spans="1:72" x14ac:dyDescent="0.15">
      <c r="A737" t="s">
        <v>72</v>
      </c>
      <c r="B737" t="s">
        <v>13697</v>
      </c>
      <c r="C737" t="s">
        <v>74</v>
      </c>
      <c r="D737" t="s">
        <v>74</v>
      </c>
      <c r="E737" t="s">
        <v>74</v>
      </c>
      <c r="F737" t="s">
        <v>13698</v>
      </c>
      <c r="G737" t="s">
        <v>74</v>
      </c>
      <c r="H737" t="s">
        <v>74</v>
      </c>
      <c r="I737" t="s">
        <v>13699</v>
      </c>
      <c r="J737" t="s">
        <v>13700</v>
      </c>
      <c r="K737" t="s">
        <v>74</v>
      </c>
      <c r="L737" t="s">
        <v>74</v>
      </c>
      <c r="M737" t="s">
        <v>78</v>
      </c>
      <c r="N737" t="s">
        <v>79</v>
      </c>
      <c r="O737" t="s">
        <v>74</v>
      </c>
      <c r="P737" t="s">
        <v>74</v>
      </c>
      <c r="Q737" t="s">
        <v>74</v>
      </c>
      <c r="R737" t="s">
        <v>74</v>
      </c>
      <c r="S737" t="s">
        <v>74</v>
      </c>
      <c r="T737" t="s">
        <v>13701</v>
      </c>
      <c r="U737" t="s">
        <v>74</v>
      </c>
      <c r="V737" t="s">
        <v>13702</v>
      </c>
      <c r="W737" t="s">
        <v>13703</v>
      </c>
      <c r="X737" t="s">
        <v>13704</v>
      </c>
      <c r="Y737" t="s">
        <v>13705</v>
      </c>
      <c r="Z737" t="s">
        <v>13706</v>
      </c>
      <c r="AA737" t="s">
        <v>74</v>
      </c>
      <c r="AB737" t="s">
        <v>74</v>
      </c>
      <c r="AC737" t="s">
        <v>74</v>
      </c>
      <c r="AD737" t="s">
        <v>74</v>
      </c>
      <c r="AE737" t="s">
        <v>74</v>
      </c>
      <c r="AF737" t="s">
        <v>74</v>
      </c>
      <c r="AG737">
        <v>61</v>
      </c>
      <c r="AH737">
        <v>15</v>
      </c>
      <c r="AI737">
        <v>16</v>
      </c>
      <c r="AJ737">
        <v>1</v>
      </c>
      <c r="AK737">
        <v>44</v>
      </c>
      <c r="AL737" t="s">
        <v>13707</v>
      </c>
      <c r="AM737" t="s">
        <v>13708</v>
      </c>
      <c r="AN737" t="s">
        <v>13709</v>
      </c>
      <c r="AO737" t="s">
        <v>13710</v>
      </c>
      <c r="AP737" t="s">
        <v>13711</v>
      </c>
      <c r="AQ737" t="s">
        <v>74</v>
      </c>
      <c r="AR737" t="s">
        <v>13712</v>
      </c>
      <c r="AS737" t="s">
        <v>13713</v>
      </c>
      <c r="AT737" t="s">
        <v>74</v>
      </c>
      <c r="AU737">
        <v>2012</v>
      </c>
      <c r="AV737">
        <v>31</v>
      </c>
      <c r="AW737" t="s">
        <v>74</v>
      </c>
      <c r="AX737" t="s">
        <v>74</v>
      </c>
      <c r="AY737" t="s">
        <v>74</v>
      </c>
      <c r="AZ737" t="s">
        <v>74</v>
      </c>
      <c r="BA737" t="s">
        <v>74</v>
      </c>
      <c r="BB737" t="s">
        <v>74</v>
      </c>
      <c r="BC737" t="s">
        <v>74</v>
      </c>
      <c r="BD737">
        <v>10905</v>
      </c>
      <c r="BE737" t="s">
        <v>13714</v>
      </c>
      <c r="BF737" t="str">
        <f>HYPERLINK("http://dx.doi.org/10.3402/polar.v31i0.10905","http://dx.doi.org/10.3402/polar.v31i0.10905")</f>
        <v>http://dx.doi.org/10.3402/polar.v31i0.10905</v>
      </c>
      <c r="BG737" t="s">
        <v>74</v>
      </c>
      <c r="BH737" t="s">
        <v>74</v>
      </c>
      <c r="BI737">
        <v>23</v>
      </c>
      <c r="BJ737" t="s">
        <v>13715</v>
      </c>
      <c r="BK737" t="s">
        <v>2236</v>
      </c>
      <c r="BL737" t="s">
        <v>13716</v>
      </c>
      <c r="BM737" t="s">
        <v>13717</v>
      </c>
      <c r="BN737" t="s">
        <v>74</v>
      </c>
      <c r="BO737" t="s">
        <v>8543</v>
      </c>
      <c r="BP737" t="s">
        <v>74</v>
      </c>
      <c r="BQ737" t="s">
        <v>74</v>
      </c>
      <c r="BR737" t="s">
        <v>101</v>
      </c>
      <c r="BS737" t="s">
        <v>13718</v>
      </c>
      <c r="BT737" t="str">
        <f>HYPERLINK("https%3A%2F%2Fwww.webofscience.com%2Fwos%2Fwoscc%2Ffull-record%2FWOS:000312906200001","View Full Record in Web of Science")</f>
        <v>View Full Record in Web of Science</v>
      </c>
    </row>
    <row r="738" spans="1:72" x14ac:dyDescent="0.15">
      <c r="A738" t="s">
        <v>72</v>
      </c>
      <c r="B738" t="s">
        <v>13719</v>
      </c>
      <c r="C738" t="s">
        <v>74</v>
      </c>
      <c r="D738" t="s">
        <v>74</v>
      </c>
      <c r="E738" t="s">
        <v>74</v>
      </c>
      <c r="F738" t="s">
        <v>13720</v>
      </c>
      <c r="G738" t="s">
        <v>74</v>
      </c>
      <c r="H738" t="s">
        <v>74</v>
      </c>
      <c r="I738" t="s">
        <v>13721</v>
      </c>
      <c r="J738" t="s">
        <v>13700</v>
      </c>
      <c r="K738" t="s">
        <v>74</v>
      </c>
      <c r="L738" t="s">
        <v>74</v>
      </c>
      <c r="M738" t="s">
        <v>78</v>
      </c>
      <c r="N738" t="s">
        <v>79</v>
      </c>
      <c r="O738" t="s">
        <v>74</v>
      </c>
      <c r="P738" t="s">
        <v>74</v>
      </c>
      <c r="Q738" t="s">
        <v>74</v>
      </c>
      <c r="R738" t="s">
        <v>74</v>
      </c>
      <c r="S738" t="s">
        <v>74</v>
      </c>
      <c r="T738" t="s">
        <v>13722</v>
      </c>
      <c r="U738" t="s">
        <v>13723</v>
      </c>
      <c r="V738" t="s">
        <v>13724</v>
      </c>
      <c r="W738" t="s">
        <v>13725</v>
      </c>
      <c r="X738" t="s">
        <v>13726</v>
      </c>
      <c r="Y738" t="s">
        <v>13727</v>
      </c>
      <c r="Z738" t="s">
        <v>13728</v>
      </c>
      <c r="AA738" t="s">
        <v>13729</v>
      </c>
      <c r="AB738" t="s">
        <v>13730</v>
      </c>
      <c r="AC738" t="s">
        <v>74</v>
      </c>
      <c r="AD738" t="s">
        <v>74</v>
      </c>
      <c r="AE738" t="s">
        <v>74</v>
      </c>
      <c r="AF738" t="s">
        <v>74</v>
      </c>
      <c r="AG738">
        <v>52</v>
      </c>
      <c r="AH738">
        <v>15</v>
      </c>
      <c r="AI738">
        <v>15</v>
      </c>
      <c r="AJ738">
        <v>0</v>
      </c>
      <c r="AK738">
        <v>32</v>
      </c>
      <c r="AL738" t="s">
        <v>13707</v>
      </c>
      <c r="AM738" t="s">
        <v>13708</v>
      </c>
      <c r="AN738" t="s">
        <v>13709</v>
      </c>
      <c r="AO738" t="s">
        <v>13710</v>
      </c>
      <c r="AP738" t="s">
        <v>13711</v>
      </c>
      <c r="AQ738" t="s">
        <v>74</v>
      </c>
      <c r="AR738" t="s">
        <v>13731</v>
      </c>
      <c r="AS738" t="s">
        <v>13713</v>
      </c>
      <c r="AT738" t="s">
        <v>74</v>
      </c>
      <c r="AU738">
        <v>2012</v>
      </c>
      <c r="AV738">
        <v>31</v>
      </c>
      <c r="AW738" t="s">
        <v>74</v>
      </c>
      <c r="AX738" t="s">
        <v>74</v>
      </c>
      <c r="AY738" t="s">
        <v>74</v>
      </c>
      <c r="AZ738" t="s">
        <v>74</v>
      </c>
      <c r="BA738" t="s">
        <v>74</v>
      </c>
      <c r="BB738" t="s">
        <v>74</v>
      </c>
      <c r="BC738" t="s">
        <v>74</v>
      </c>
      <c r="BD738">
        <v>10858</v>
      </c>
      <c r="BE738" t="s">
        <v>13732</v>
      </c>
      <c r="BF738" t="str">
        <f>HYPERLINK("http://dx.doi.org/10.3402/polar.v31i0.10858","http://dx.doi.org/10.3402/polar.v31i0.10858")</f>
        <v>http://dx.doi.org/10.3402/polar.v31i0.10858</v>
      </c>
      <c r="BG738" t="s">
        <v>74</v>
      </c>
      <c r="BH738" t="s">
        <v>74</v>
      </c>
      <c r="BI738">
        <v>21</v>
      </c>
      <c r="BJ738" t="s">
        <v>13715</v>
      </c>
      <c r="BK738" t="s">
        <v>2236</v>
      </c>
      <c r="BL738" t="s">
        <v>13716</v>
      </c>
      <c r="BM738" t="s">
        <v>13733</v>
      </c>
      <c r="BN738" t="s">
        <v>74</v>
      </c>
      <c r="BO738" t="s">
        <v>9400</v>
      </c>
      <c r="BP738" t="s">
        <v>74</v>
      </c>
      <c r="BQ738" t="s">
        <v>74</v>
      </c>
      <c r="BR738" t="s">
        <v>101</v>
      </c>
      <c r="BS738" t="s">
        <v>13734</v>
      </c>
      <c r="BT738" t="str">
        <f>HYPERLINK("https%3A%2F%2Fwww.webofscience.com%2Fwos%2Fwoscc%2Ffull-record%2FWOS:000312904400001","View Full Record in Web of Science")</f>
        <v>View Full Record in Web of Science</v>
      </c>
    </row>
    <row r="739" spans="1:72" x14ac:dyDescent="0.15">
      <c r="A739" t="s">
        <v>72</v>
      </c>
      <c r="B739" t="s">
        <v>13735</v>
      </c>
      <c r="C739" t="s">
        <v>74</v>
      </c>
      <c r="D739" t="s">
        <v>74</v>
      </c>
      <c r="E739" t="s">
        <v>74</v>
      </c>
      <c r="F739" t="s">
        <v>13736</v>
      </c>
      <c r="G739" t="s">
        <v>74</v>
      </c>
      <c r="H739" t="s">
        <v>74</v>
      </c>
      <c r="I739" t="s">
        <v>13737</v>
      </c>
      <c r="J739" t="s">
        <v>13738</v>
      </c>
      <c r="K739" t="s">
        <v>74</v>
      </c>
      <c r="L739" t="s">
        <v>74</v>
      </c>
      <c r="M739" t="s">
        <v>78</v>
      </c>
      <c r="N739" t="s">
        <v>79</v>
      </c>
      <c r="O739" t="s">
        <v>74</v>
      </c>
      <c r="P739" t="s">
        <v>74</v>
      </c>
      <c r="Q739" t="s">
        <v>74</v>
      </c>
      <c r="R739" t="s">
        <v>74</v>
      </c>
      <c r="S739" t="s">
        <v>74</v>
      </c>
      <c r="T739" t="s">
        <v>13739</v>
      </c>
      <c r="U739" t="s">
        <v>13740</v>
      </c>
      <c r="V739" t="s">
        <v>13741</v>
      </c>
      <c r="W739" t="s">
        <v>13742</v>
      </c>
      <c r="X739" t="s">
        <v>13743</v>
      </c>
      <c r="Y739" t="s">
        <v>13744</v>
      </c>
      <c r="Z739" t="s">
        <v>13745</v>
      </c>
      <c r="AA739" t="s">
        <v>74</v>
      </c>
      <c r="AB739" t="s">
        <v>13746</v>
      </c>
      <c r="AC739" t="s">
        <v>74</v>
      </c>
      <c r="AD739" t="s">
        <v>74</v>
      </c>
      <c r="AE739" t="s">
        <v>74</v>
      </c>
      <c r="AF739" t="s">
        <v>74</v>
      </c>
      <c r="AG739">
        <v>59</v>
      </c>
      <c r="AH739">
        <v>7</v>
      </c>
      <c r="AI739">
        <v>8</v>
      </c>
      <c r="AJ739">
        <v>0</v>
      </c>
      <c r="AK739">
        <v>54</v>
      </c>
      <c r="AL739" t="s">
        <v>13747</v>
      </c>
      <c r="AM739" t="s">
        <v>13748</v>
      </c>
      <c r="AN739" t="s">
        <v>13749</v>
      </c>
      <c r="AO739" t="s">
        <v>13750</v>
      </c>
      <c r="AP739" t="s">
        <v>74</v>
      </c>
      <c r="AQ739" t="s">
        <v>74</v>
      </c>
      <c r="AR739" t="s">
        <v>13751</v>
      </c>
      <c r="AS739" t="s">
        <v>13752</v>
      </c>
      <c r="AT739" t="s">
        <v>74</v>
      </c>
      <c r="AU739">
        <v>2012</v>
      </c>
      <c r="AV739">
        <v>60</v>
      </c>
      <c r="AW739">
        <v>4</v>
      </c>
      <c r="AX739" t="s">
        <v>74</v>
      </c>
      <c r="AY739" t="s">
        <v>74</v>
      </c>
      <c r="AZ739" t="s">
        <v>74</v>
      </c>
      <c r="BA739" t="s">
        <v>74</v>
      </c>
      <c r="BB739">
        <v>677</v>
      </c>
      <c r="BC739">
        <v>698</v>
      </c>
      <c r="BD739" t="s">
        <v>74</v>
      </c>
      <c r="BE739" t="s">
        <v>74</v>
      </c>
      <c r="BF739" t="s">
        <v>74</v>
      </c>
      <c r="BG739" t="s">
        <v>74</v>
      </c>
      <c r="BH739" t="s">
        <v>74</v>
      </c>
      <c r="BI739">
        <v>22</v>
      </c>
      <c r="BJ739" t="s">
        <v>2422</v>
      </c>
      <c r="BK739" t="s">
        <v>99</v>
      </c>
      <c r="BL739" t="s">
        <v>1259</v>
      </c>
      <c r="BM739" t="s">
        <v>13753</v>
      </c>
      <c r="BN739" t="s">
        <v>74</v>
      </c>
      <c r="BO739" t="s">
        <v>74</v>
      </c>
      <c r="BP739" t="s">
        <v>74</v>
      </c>
      <c r="BQ739" t="s">
        <v>74</v>
      </c>
      <c r="BR739" t="s">
        <v>101</v>
      </c>
      <c r="BS739" t="s">
        <v>13754</v>
      </c>
      <c r="BT739" t="str">
        <f>HYPERLINK("https%3A%2F%2Fwww.webofscience.com%2Fwos%2Fwoscc%2Ffull-record%2FWOS:000312519300003","View Full Record in Web of Science")</f>
        <v>View Full Record in Web of Science</v>
      </c>
    </row>
    <row r="740" spans="1:72" x14ac:dyDescent="0.15">
      <c r="A740" t="s">
        <v>12086</v>
      </c>
      <c r="B740" t="s">
        <v>13755</v>
      </c>
      <c r="C740" t="s">
        <v>74</v>
      </c>
      <c r="D740" t="s">
        <v>13756</v>
      </c>
      <c r="E740" t="s">
        <v>74</v>
      </c>
      <c r="F740" t="s">
        <v>13757</v>
      </c>
      <c r="G740" t="s">
        <v>74</v>
      </c>
      <c r="H740" t="s">
        <v>74</v>
      </c>
      <c r="I740" t="s">
        <v>13758</v>
      </c>
      <c r="J740" t="s">
        <v>13759</v>
      </c>
      <c r="K740" t="s">
        <v>12669</v>
      </c>
      <c r="L740" t="s">
        <v>74</v>
      </c>
      <c r="M740" t="s">
        <v>78</v>
      </c>
      <c r="N740" t="s">
        <v>12093</v>
      </c>
      <c r="O740" t="s">
        <v>13760</v>
      </c>
      <c r="P740" t="s">
        <v>13761</v>
      </c>
      <c r="Q740" t="s">
        <v>12096</v>
      </c>
      <c r="R740" t="s">
        <v>74</v>
      </c>
      <c r="S740" t="s">
        <v>74</v>
      </c>
      <c r="T740" t="s">
        <v>13762</v>
      </c>
      <c r="U740" t="s">
        <v>74</v>
      </c>
      <c r="V740" t="s">
        <v>13763</v>
      </c>
      <c r="W740" t="s">
        <v>13764</v>
      </c>
      <c r="X740" t="s">
        <v>13765</v>
      </c>
      <c r="Y740" t="s">
        <v>13766</v>
      </c>
      <c r="Z740" t="s">
        <v>13767</v>
      </c>
      <c r="AA740" t="s">
        <v>74</v>
      </c>
      <c r="AB740" t="s">
        <v>74</v>
      </c>
      <c r="AC740" t="s">
        <v>74</v>
      </c>
      <c r="AD740" t="s">
        <v>74</v>
      </c>
      <c r="AE740" t="s">
        <v>74</v>
      </c>
      <c r="AF740" t="s">
        <v>74</v>
      </c>
      <c r="AG740">
        <v>2</v>
      </c>
      <c r="AH740">
        <v>1</v>
      </c>
      <c r="AI740">
        <v>1</v>
      </c>
      <c r="AJ740">
        <v>1</v>
      </c>
      <c r="AK740">
        <v>3</v>
      </c>
      <c r="AL740" t="s">
        <v>12677</v>
      </c>
      <c r="AM740" t="s">
        <v>12678</v>
      </c>
      <c r="AN740" t="s">
        <v>12679</v>
      </c>
      <c r="AO740" t="s">
        <v>12680</v>
      </c>
      <c r="AP740" t="s">
        <v>74</v>
      </c>
      <c r="AQ740" t="s">
        <v>13768</v>
      </c>
      <c r="AR740" t="s">
        <v>12683</v>
      </c>
      <c r="AS740" t="s">
        <v>74</v>
      </c>
      <c r="AT740" t="s">
        <v>74</v>
      </c>
      <c r="AU740">
        <v>2012</v>
      </c>
      <c r="AV740">
        <v>8451</v>
      </c>
      <c r="AW740" t="s">
        <v>74</v>
      </c>
      <c r="AX740" t="s">
        <v>74</v>
      </c>
      <c r="AY740" t="s">
        <v>74</v>
      </c>
      <c r="AZ740" t="s">
        <v>74</v>
      </c>
      <c r="BA740" t="s">
        <v>74</v>
      </c>
      <c r="BB740" t="s">
        <v>74</v>
      </c>
      <c r="BC740" t="s">
        <v>74</v>
      </c>
      <c r="BD740">
        <v>845114</v>
      </c>
      <c r="BE740" t="s">
        <v>13769</v>
      </c>
      <c r="BF740" t="str">
        <f>HYPERLINK("http://dx.doi.org/10.1117/12.925629","http://dx.doi.org/10.1117/12.925629")</f>
        <v>http://dx.doi.org/10.1117/12.925629</v>
      </c>
      <c r="BG740" t="s">
        <v>74</v>
      </c>
      <c r="BH740" t="s">
        <v>74</v>
      </c>
      <c r="BI740">
        <v>7</v>
      </c>
      <c r="BJ740" t="s">
        <v>13770</v>
      </c>
      <c r="BK740" t="s">
        <v>12109</v>
      </c>
      <c r="BL740" t="s">
        <v>13771</v>
      </c>
      <c r="BM740" t="s">
        <v>13772</v>
      </c>
      <c r="BN740" t="s">
        <v>74</v>
      </c>
      <c r="BO740" t="s">
        <v>74</v>
      </c>
      <c r="BP740" t="s">
        <v>74</v>
      </c>
      <c r="BQ740" t="s">
        <v>74</v>
      </c>
      <c r="BR740" t="s">
        <v>101</v>
      </c>
      <c r="BS740" t="s">
        <v>13773</v>
      </c>
      <c r="BT740" t="str">
        <f>HYPERLINK("https%3A%2F%2Fwww.webofscience.com%2Fwos%2Fwoscc%2Ffull-record%2FWOS:000312888700039","View Full Record in Web of Science")</f>
        <v>View Full Record in Web of Science</v>
      </c>
    </row>
    <row r="741" spans="1:72" x14ac:dyDescent="0.15">
      <c r="A741" t="s">
        <v>72</v>
      </c>
      <c r="B741" t="s">
        <v>13774</v>
      </c>
      <c r="C741" t="s">
        <v>74</v>
      </c>
      <c r="D741" t="s">
        <v>74</v>
      </c>
      <c r="E741" t="s">
        <v>74</v>
      </c>
      <c r="F741" t="s">
        <v>13775</v>
      </c>
      <c r="G741" t="s">
        <v>74</v>
      </c>
      <c r="H741" t="s">
        <v>74</v>
      </c>
      <c r="I741" t="s">
        <v>13776</v>
      </c>
      <c r="J741" t="s">
        <v>13777</v>
      </c>
      <c r="K741" t="s">
        <v>74</v>
      </c>
      <c r="L741" t="s">
        <v>74</v>
      </c>
      <c r="M741" t="s">
        <v>78</v>
      </c>
      <c r="N741" t="s">
        <v>79</v>
      </c>
      <c r="O741" t="s">
        <v>74</v>
      </c>
      <c r="P741" t="s">
        <v>74</v>
      </c>
      <c r="Q741" t="s">
        <v>74</v>
      </c>
      <c r="R741" t="s">
        <v>74</v>
      </c>
      <c r="S741" t="s">
        <v>74</v>
      </c>
      <c r="T741" t="s">
        <v>13778</v>
      </c>
      <c r="U741" t="s">
        <v>13779</v>
      </c>
      <c r="V741" t="s">
        <v>13780</v>
      </c>
      <c r="W741" t="s">
        <v>13781</v>
      </c>
      <c r="X741" t="s">
        <v>13782</v>
      </c>
      <c r="Y741" t="s">
        <v>13783</v>
      </c>
      <c r="Z741" t="s">
        <v>13784</v>
      </c>
      <c r="AA741" t="s">
        <v>74</v>
      </c>
      <c r="AB741" t="s">
        <v>74</v>
      </c>
      <c r="AC741" t="s">
        <v>74</v>
      </c>
      <c r="AD741" t="s">
        <v>74</v>
      </c>
      <c r="AE741" t="s">
        <v>74</v>
      </c>
      <c r="AF741" t="s">
        <v>74</v>
      </c>
      <c r="AG741">
        <v>24</v>
      </c>
      <c r="AH741">
        <v>3</v>
      </c>
      <c r="AI741">
        <v>4</v>
      </c>
      <c r="AJ741">
        <v>0</v>
      </c>
      <c r="AK741">
        <v>3</v>
      </c>
      <c r="AL741" t="s">
        <v>13785</v>
      </c>
      <c r="AM741" t="s">
        <v>13786</v>
      </c>
      <c r="AN741" t="s">
        <v>13787</v>
      </c>
      <c r="AO741" t="s">
        <v>13788</v>
      </c>
      <c r="AP741" t="s">
        <v>13789</v>
      </c>
      <c r="AQ741" t="s">
        <v>74</v>
      </c>
      <c r="AR741" t="s">
        <v>13777</v>
      </c>
      <c r="AS741" t="s">
        <v>13790</v>
      </c>
      <c r="AT741" t="s">
        <v>74</v>
      </c>
      <c r="AU741">
        <v>2012</v>
      </c>
      <c r="AV741" t="s">
        <v>74</v>
      </c>
      <c r="AW741">
        <v>247</v>
      </c>
      <c r="AX741" t="s">
        <v>74</v>
      </c>
      <c r="AY741" t="s">
        <v>74</v>
      </c>
      <c r="AZ741" t="s">
        <v>74</v>
      </c>
      <c r="BA741" t="s">
        <v>74</v>
      </c>
      <c r="BB741">
        <v>45</v>
      </c>
      <c r="BC741">
        <v>60</v>
      </c>
      <c r="BD741" t="s">
        <v>74</v>
      </c>
      <c r="BE741" t="s">
        <v>13791</v>
      </c>
      <c r="BF741" t="str">
        <f>HYPERLINK("http://dx.doi.org/10.3897/zookeys.247.3303","http://dx.doi.org/10.3897/zookeys.247.3303")</f>
        <v>http://dx.doi.org/10.3897/zookeys.247.3303</v>
      </c>
      <c r="BG741" t="s">
        <v>74</v>
      </c>
      <c r="BH741" t="s">
        <v>74</v>
      </c>
      <c r="BI741">
        <v>16</v>
      </c>
      <c r="BJ741" t="s">
        <v>98</v>
      </c>
      <c r="BK741" t="s">
        <v>99</v>
      </c>
      <c r="BL741" t="s">
        <v>98</v>
      </c>
      <c r="BM741" t="s">
        <v>13792</v>
      </c>
      <c r="BN741">
        <v>23275755</v>
      </c>
      <c r="BO741" t="s">
        <v>13052</v>
      </c>
      <c r="BP741" t="s">
        <v>74</v>
      </c>
      <c r="BQ741" t="s">
        <v>74</v>
      </c>
      <c r="BR741" t="s">
        <v>101</v>
      </c>
      <c r="BS741" t="s">
        <v>13793</v>
      </c>
      <c r="BT741" t="str">
        <f>HYPERLINK("https%3A%2F%2Fwww.webofscience.com%2Fwos%2Fwoscc%2Ffull-record%2FWOS:000313199400003","View Full Record in Web of Science")</f>
        <v>View Full Record in Web of Science</v>
      </c>
    </row>
    <row r="742" spans="1:72" x14ac:dyDescent="0.15">
      <c r="A742" t="s">
        <v>12086</v>
      </c>
      <c r="B742" t="s">
        <v>13794</v>
      </c>
      <c r="C742" t="s">
        <v>74</v>
      </c>
      <c r="D742" t="s">
        <v>13795</v>
      </c>
      <c r="E742" t="s">
        <v>74</v>
      </c>
      <c r="F742" t="s">
        <v>13796</v>
      </c>
      <c r="G742" t="s">
        <v>74</v>
      </c>
      <c r="H742" t="s">
        <v>74</v>
      </c>
      <c r="I742" t="s">
        <v>13797</v>
      </c>
      <c r="J742" t="s">
        <v>13798</v>
      </c>
      <c r="K742" t="s">
        <v>12669</v>
      </c>
      <c r="L742" t="s">
        <v>74</v>
      </c>
      <c r="M742" t="s">
        <v>78</v>
      </c>
      <c r="N742" t="s">
        <v>12093</v>
      </c>
      <c r="O742" t="s">
        <v>13799</v>
      </c>
      <c r="P742" t="s">
        <v>13800</v>
      </c>
      <c r="Q742" t="s">
        <v>13801</v>
      </c>
      <c r="R742" t="s">
        <v>74</v>
      </c>
      <c r="S742" t="s">
        <v>74</v>
      </c>
      <c r="T742" t="s">
        <v>13802</v>
      </c>
      <c r="U742" t="s">
        <v>74</v>
      </c>
      <c r="V742" t="s">
        <v>13803</v>
      </c>
      <c r="W742" t="s">
        <v>13804</v>
      </c>
      <c r="X742" t="s">
        <v>13765</v>
      </c>
      <c r="Y742" t="s">
        <v>13805</v>
      </c>
      <c r="Z742" t="s">
        <v>74</v>
      </c>
      <c r="AA742" t="s">
        <v>74</v>
      </c>
      <c r="AB742" t="s">
        <v>74</v>
      </c>
      <c r="AC742" t="s">
        <v>74</v>
      </c>
      <c r="AD742" t="s">
        <v>74</v>
      </c>
      <c r="AE742" t="s">
        <v>74</v>
      </c>
      <c r="AF742" t="s">
        <v>74</v>
      </c>
      <c r="AG742">
        <v>8</v>
      </c>
      <c r="AH742">
        <v>1</v>
      </c>
      <c r="AI742">
        <v>1</v>
      </c>
      <c r="AJ742">
        <v>0</v>
      </c>
      <c r="AK742">
        <v>0</v>
      </c>
      <c r="AL742" t="s">
        <v>12677</v>
      </c>
      <c r="AM742" t="s">
        <v>12678</v>
      </c>
      <c r="AN742" t="s">
        <v>12679</v>
      </c>
      <c r="AO742" t="s">
        <v>12680</v>
      </c>
      <c r="AP742" t="s">
        <v>12681</v>
      </c>
      <c r="AQ742" t="s">
        <v>13806</v>
      </c>
      <c r="AR742" t="s">
        <v>12683</v>
      </c>
      <c r="AS742" t="s">
        <v>74</v>
      </c>
      <c r="AT742" t="s">
        <v>74</v>
      </c>
      <c r="AU742">
        <v>2012</v>
      </c>
      <c r="AV742">
        <v>8418</v>
      </c>
      <c r="AW742" t="s">
        <v>74</v>
      </c>
      <c r="AX742" t="s">
        <v>74</v>
      </c>
      <c r="AY742" t="s">
        <v>74</v>
      </c>
      <c r="AZ742" t="s">
        <v>74</v>
      </c>
      <c r="BA742" t="s">
        <v>74</v>
      </c>
      <c r="BB742" t="s">
        <v>74</v>
      </c>
      <c r="BC742" t="s">
        <v>74</v>
      </c>
      <c r="BD742" t="s">
        <v>13807</v>
      </c>
      <c r="BE742" t="s">
        <v>13808</v>
      </c>
      <c r="BF742" t="str">
        <f>HYPERLINK("http://dx.doi.org/10.1117/12.975649","http://dx.doi.org/10.1117/12.975649")</f>
        <v>http://dx.doi.org/10.1117/12.975649</v>
      </c>
      <c r="BG742" t="s">
        <v>74</v>
      </c>
      <c r="BH742" t="s">
        <v>74</v>
      </c>
      <c r="BI742">
        <v>8</v>
      </c>
      <c r="BJ742" t="s">
        <v>13809</v>
      </c>
      <c r="BK742" t="s">
        <v>12109</v>
      </c>
      <c r="BL742" t="s">
        <v>13810</v>
      </c>
      <c r="BM742" t="s">
        <v>13811</v>
      </c>
      <c r="BN742" t="s">
        <v>74</v>
      </c>
      <c r="BO742" t="s">
        <v>74</v>
      </c>
      <c r="BP742" t="s">
        <v>74</v>
      </c>
      <c r="BQ742" t="s">
        <v>74</v>
      </c>
      <c r="BR742" t="s">
        <v>101</v>
      </c>
      <c r="BS742" t="s">
        <v>13812</v>
      </c>
      <c r="BT742" t="str">
        <f>HYPERLINK("https%3A%2F%2Fwww.webofscience.com%2Fwos%2Fwoscc%2Ffull-record%2FWOS:000312217500059","View Full Record in Web of Science")</f>
        <v>View Full Record in Web of Science</v>
      </c>
    </row>
    <row r="743" spans="1:72" x14ac:dyDescent="0.15">
      <c r="A743" t="s">
        <v>72</v>
      </c>
      <c r="B743" t="s">
        <v>13813</v>
      </c>
      <c r="C743" t="s">
        <v>74</v>
      </c>
      <c r="D743" t="s">
        <v>74</v>
      </c>
      <c r="E743" t="s">
        <v>74</v>
      </c>
      <c r="F743" t="s">
        <v>13814</v>
      </c>
      <c r="G743" t="s">
        <v>74</v>
      </c>
      <c r="H743" t="s">
        <v>74</v>
      </c>
      <c r="I743" t="s">
        <v>13815</v>
      </c>
      <c r="J743" t="s">
        <v>13816</v>
      </c>
      <c r="K743" t="s">
        <v>74</v>
      </c>
      <c r="L743" t="s">
        <v>74</v>
      </c>
      <c r="M743" t="s">
        <v>78</v>
      </c>
      <c r="N743" t="s">
        <v>79</v>
      </c>
      <c r="O743" t="s">
        <v>74</v>
      </c>
      <c r="P743" t="s">
        <v>74</v>
      </c>
      <c r="Q743" t="s">
        <v>74</v>
      </c>
      <c r="R743" t="s">
        <v>74</v>
      </c>
      <c r="S743" t="s">
        <v>74</v>
      </c>
      <c r="T743" t="s">
        <v>74</v>
      </c>
      <c r="U743" t="s">
        <v>13817</v>
      </c>
      <c r="V743" t="s">
        <v>13818</v>
      </c>
      <c r="W743" t="s">
        <v>13819</v>
      </c>
      <c r="X743" t="s">
        <v>13820</v>
      </c>
      <c r="Y743" t="s">
        <v>13821</v>
      </c>
      <c r="Z743" t="s">
        <v>13822</v>
      </c>
      <c r="AA743" t="s">
        <v>13823</v>
      </c>
      <c r="AB743" t="s">
        <v>13824</v>
      </c>
      <c r="AC743" t="s">
        <v>13825</v>
      </c>
      <c r="AD743" t="s">
        <v>13826</v>
      </c>
      <c r="AE743" t="s">
        <v>13827</v>
      </c>
      <c r="AF743" t="s">
        <v>74</v>
      </c>
      <c r="AG743">
        <v>60</v>
      </c>
      <c r="AH743">
        <v>22</v>
      </c>
      <c r="AI743">
        <v>23</v>
      </c>
      <c r="AJ743">
        <v>0</v>
      </c>
      <c r="AK743">
        <v>24</v>
      </c>
      <c r="AL743" t="s">
        <v>13270</v>
      </c>
      <c r="AM743" t="s">
        <v>13271</v>
      </c>
      <c r="AN743" t="s">
        <v>13272</v>
      </c>
      <c r="AO743" t="s">
        <v>13828</v>
      </c>
      <c r="AP743" t="s">
        <v>13829</v>
      </c>
      <c r="AQ743" t="s">
        <v>74</v>
      </c>
      <c r="AR743" t="s">
        <v>13830</v>
      </c>
      <c r="AS743" t="s">
        <v>13831</v>
      </c>
      <c r="AT743" t="s">
        <v>74</v>
      </c>
      <c r="AU743">
        <v>2012</v>
      </c>
      <c r="AV743">
        <v>12</v>
      </c>
      <c r="AW743">
        <v>22</v>
      </c>
      <c r="AX743" t="s">
        <v>74</v>
      </c>
      <c r="AY743" t="s">
        <v>74</v>
      </c>
      <c r="AZ743" t="s">
        <v>74</v>
      </c>
      <c r="BA743" t="s">
        <v>74</v>
      </c>
      <c r="BB743">
        <v>11027</v>
      </c>
      <c r="BC743">
        <v>11036</v>
      </c>
      <c r="BD743" t="s">
        <v>74</v>
      </c>
      <c r="BE743" t="s">
        <v>13832</v>
      </c>
      <c r="BF743" t="str">
        <f>HYPERLINK("http://dx.doi.org/10.5194/acp-12-11027-2012","http://dx.doi.org/10.5194/acp-12-11027-2012")</f>
        <v>http://dx.doi.org/10.5194/acp-12-11027-2012</v>
      </c>
      <c r="BG743" t="s">
        <v>74</v>
      </c>
      <c r="BH743" t="s">
        <v>74</v>
      </c>
      <c r="BI743">
        <v>10</v>
      </c>
      <c r="BJ743" t="s">
        <v>1758</v>
      </c>
      <c r="BK743" t="s">
        <v>99</v>
      </c>
      <c r="BL743" t="s">
        <v>1759</v>
      </c>
      <c r="BM743" t="s">
        <v>13833</v>
      </c>
      <c r="BN743" t="s">
        <v>74</v>
      </c>
      <c r="BO743" t="s">
        <v>3496</v>
      </c>
      <c r="BP743" t="s">
        <v>74</v>
      </c>
      <c r="BQ743" t="s">
        <v>74</v>
      </c>
      <c r="BR743" t="s">
        <v>101</v>
      </c>
      <c r="BS743" t="s">
        <v>13834</v>
      </c>
      <c r="BT743" t="str">
        <f>HYPERLINK("https%3A%2F%2Fwww.webofscience.com%2Fwos%2Fwoscc%2Ffull-record%2FWOS:000312411300026","View Full Record in Web of Science")</f>
        <v>View Full Record in Web of Science</v>
      </c>
    </row>
    <row r="744" spans="1:72" x14ac:dyDescent="0.15">
      <c r="A744" t="s">
        <v>72</v>
      </c>
      <c r="B744" t="s">
        <v>13835</v>
      </c>
      <c r="C744" t="s">
        <v>74</v>
      </c>
      <c r="D744" t="s">
        <v>74</v>
      </c>
      <c r="E744" t="s">
        <v>74</v>
      </c>
      <c r="F744" t="s">
        <v>13836</v>
      </c>
      <c r="G744" t="s">
        <v>74</v>
      </c>
      <c r="H744" t="s">
        <v>74</v>
      </c>
      <c r="I744" t="s">
        <v>13837</v>
      </c>
      <c r="J744" t="s">
        <v>13838</v>
      </c>
      <c r="K744" t="s">
        <v>74</v>
      </c>
      <c r="L744" t="s">
        <v>74</v>
      </c>
      <c r="M744" t="s">
        <v>78</v>
      </c>
      <c r="N744" t="s">
        <v>79</v>
      </c>
      <c r="O744" t="s">
        <v>74</v>
      </c>
      <c r="P744" t="s">
        <v>74</v>
      </c>
      <c r="Q744" t="s">
        <v>74</v>
      </c>
      <c r="R744" t="s">
        <v>74</v>
      </c>
      <c r="S744" t="s">
        <v>74</v>
      </c>
      <c r="T744" t="s">
        <v>74</v>
      </c>
      <c r="U744" t="s">
        <v>13839</v>
      </c>
      <c r="V744" t="s">
        <v>13840</v>
      </c>
      <c r="W744" t="s">
        <v>13841</v>
      </c>
      <c r="X744" t="s">
        <v>13842</v>
      </c>
      <c r="Y744" t="s">
        <v>5602</v>
      </c>
      <c r="Z744" t="s">
        <v>5603</v>
      </c>
      <c r="AA744" t="s">
        <v>74</v>
      </c>
      <c r="AB744" t="s">
        <v>74</v>
      </c>
      <c r="AC744" t="s">
        <v>13843</v>
      </c>
      <c r="AD744" t="s">
        <v>13844</v>
      </c>
      <c r="AE744" t="s">
        <v>13845</v>
      </c>
      <c r="AF744" t="s">
        <v>74</v>
      </c>
      <c r="AG744">
        <v>66</v>
      </c>
      <c r="AH744">
        <v>28</v>
      </c>
      <c r="AI744">
        <v>33</v>
      </c>
      <c r="AJ744">
        <v>1</v>
      </c>
      <c r="AK744">
        <v>50</v>
      </c>
      <c r="AL744" t="s">
        <v>12729</v>
      </c>
      <c r="AM744" t="s">
        <v>1112</v>
      </c>
      <c r="AN744" t="s">
        <v>12730</v>
      </c>
      <c r="AO744" t="s">
        <v>13846</v>
      </c>
      <c r="AP744" t="s">
        <v>13847</v>
      </c>
      <c r="AQ744" t="s">
        <v>74</v>
      </c>
      <c r="AR744" t="s">
        <v>13848</v>
      </c>
      <c r="AS744" t="s">
        <v>13849</v>
      </c>
      <c r="AT744" t="s">
        <v>74</v>
      </c>
      <c r="AU744">
        <v>2012</v>
      </c>
      <c r="AV744">
        <v>58</v>
      </c>
      <c r="AW744">
        <v>212</v>
      </c>
      <c r="AX744" t="s">
        <v>74</v>
      </c>
      <c r="AY744" t="s">
        <v>74</v>
      </c>
      <c r="AZ744" t="s">
        <v>74</v>
      </c>
      <c r="BA744" t="s">
        <v>74</v>
      </c>
      <c r="BB744">
        <v>1109</v>
      </c>
      <c r="BC744">
        <v>1118</v>
      </c>
      <c r="BD744" t="s">
        <v>74</v>
      </c>
      <c r="BE744" t="s">
        <v>13850</v>
      </c>
      <c r="BF744" t="str">
        <f>HYPERLINK("http://dx.doi.org/10.3189/2012JoG12J112","http://dx.doi.org/10.3189/2012JoG12J112")</f>
        <v>http://dx.doi.org/10.3189/2012JoG12J112</v>
      </c>
      <c r="BG744" t="s">
        <v>74</v>
      </c>
      <c r="BH744" t="s">
        <v>74</v>
      </c>
      <c r="BI744">
        <v>10</v>
      </c>
      <c r="BJ744" t="s">
        <v>943</v>
      </c>
      <c r="BK744" t="s">
        <v>99</v>
      </c>
      <c r="BL744" t="s">
        <v>944</v>
      </c>
      <c r="BM744" t="s">
        <v>13851</v>
      </c>
      <c r="BN744" t="s">
        <v>74</v>
      </c>
      <c r="BO744" t="s">
        <v>217</v>
      </c>
      <c r="BP744" t="s">
        <v>74</v>
      </c>
      <c r="BQ744" t="s">
        <v>74</v>
      </c>
      <c r="BR744" t="s">
        <v>101</v>
      </c>
      <c r="BS744" t="s">
        <v>13852</v>
      </c>
      <c r="BT744" t="str">
        <f>HYPERLINK("https%3A%2F%2Fwww.webofscience.com%2Fwos%2Fwoscc%2Ffull-record%2FWOS:000312479400007","View Full Record in Web of Science")</f>
        <v>View Full Record in Web of Science</v>
      </c>
    </row>
    <row r="745" spans="1:72" x14ac:dyDescent="0.15">
      <c r="A745" t="s">
        <v>72</v>
      </c>
      <c r="B745" t="s">
        <v>13853</v>
      </c>
      <c r="C745" t="s">
        <v>74</v>
      </c>
      <c r="D745" t="s">
        <v>74</v>
      </c>
      <c r="E745" t="s">
        <v>74</v>
      </c>
      <c r="F745" t="s">
        <v>13854</v>
      </c>
      <c r="G745" t="s">
        <v>74</v>
      </c>
      <c r="H745" t="s">
        <v>74</v>
      </c>
      <c r="I745" t="s">
        <v>13855</v>
      </c>
      <c r="J745" t="s">
        <v>13838</v>
      </c>
      <c r="K745" t="s">
        <v>74</v>
      </c>
      <c r="L745" t="s">
        <v>74</v>
      </c>
      <c r="M745" t="s">
        <v>78</v>
      </c>
      <c r="N745" t="s">
        <v>79</v>
      </c>
      <c r="O745" t="s">
        <v>74</v>
      </c>
      <c r="P745" t="s">
        <v>74</v>
      </c>
      <c r="Q745" t="s">
        <v>74</v>
      </c>
      <c r="R745" t="s">
        <v>74</v>
      </c>
      <c r="S745" t="s">
        <v>74</v>
      </c>
      <c r="T745" t="s">
        <v>74</v>
      </c>
      <c r="U745" t="s">
        <v>13856</v>
      </c>
      <c r="V745" t="s">
        <v>13857</v>
      </c>
      <c r="W745" t="s">
        <v>13858</v>
      </c>
      <c r="X745" t="s">
        <v>13859</v>
      </c>
      <c r="Y745" t="s">
        <v>13860</v>
      </c>
      <c r="Z745" t="s">
        <v>13861</v>
      </c>
      <c r="AA745" t="s">
        <v>13862</v>
      </c>
      <c r="AB745" t="s">
        <v>13863</v>
      </c>
      <c r="AC745" t="s">
        <v>13864</v>
      </c>
      <c r="AD745" t="s">
        <v>13865</v>
      </c>
      <c r="AE745" t="s">
        <v>13866</v>
      </c>
      <c r="AF745" t="s">
        <v>74</v>
      </c>
      <c r="AG745">
        <v>58</v>
      </c>
      <c r="AH745">
        <v>20</v>
      </c>
      <c r="AI745">
        <v>21</v>
      </c>
      <c r="AJ745">
        <v>1</v>
      </c>
      <c r="AK745">
        <v>42</v>
      </c>
      <c r="AL745" t="s">
        <v>1111</v>
      </c>
      <c r="AM745" t="s">
        <v>1112</v>
      </c>
      <c r="AN745" t="s">
        <v>1113</v>
      </c>
      <c r="AO745" t="s">
        <v>13846</v>
      </c>
      <c r="AP745" t="s">
        <v>13847</v>
      </c>
      <c r="AQ745" t="s">
        <v>74</v>
      </c>
      <c r="AR745" t="s">
        <v>13848</v>
      </c>
      <c r="AS745" t="s">
        <v>13849</v>
      </c>
      <c r="AT745" t="s">
        <v>74</v>
      </c>
      <c r="AU745">
        <v>2012</v>
      </c>
      <c r="AV745">
        <v>58</v>
      </c>
      <c r="AW745">
        <v>212</v>
      </c>
      <c r="AX745" t="s">
        <v>74</v>
      </c>
      <c r="AY745" t="s">
        <v>74</v>
      </c>
      <c r="AZ745" t="s">
        <v>74</v>
      </c>
      <c r="BA745" t="s">
        <v>74</v>
      </c>
      <c r="BB745">
        <v>1165</v>
      </c>
      <c r="BC745">
        <v>1175</v>
      </c>
      <c r="BD745" t="s">
        <v>74</v>
      </c>
      <c r="BE745" t="s">
        <v>13867</v>
      </c>
      <c r="BF745" t="str">
        <f>HYPERLINK("http://dx.doi.org/10.3189/2012JoG12J078","http://dx.doi.org/10.3189/2012JoG12J078")</f>
        <v>http://dx.doi.org/10.3189/2012JoG12J078</v>
      </c>
      <c r="BG745" t="s">
        <v>74</v>
      </c>
      <c r="BH745" t="s">
        <v>74</v>
      </c>
      <c r="BI745">
        <v>11</v>
      </c>
      <c r="BJ745" t="s">
        <v>943</v>
      </c>
      <c r="BK745" t="s">
        <v>99</v>
      </c>
      <c r="BL745" t="s">
        <v>944</v>
      </c>
      <c r="BM745" t="s">
        <v>13851</v>
      </c>
      <c r="BN745" t="s">
        <v>74</v>
      </c>
      <c r="BO745" t="s">
        <v>217</v>
      </c>
      <c r="BP745" t="s">
        <v>74</v>
      </c>
      <c r="BQ745" t="s">
        <v>74</v>
      </c>
      <c r="BR745" t="s">
        <v>101</v>
      </c>
      <c r="BS745" t="s">
        <v>13868</v>
      </c>
      <c r="BT745" t="str">
        <f>HYPERLINK("https%3A%2F%2Fwww.webofscience.com%2Fwos%2Fwoscc%2Ffull-record%2FWOS:000312479400012","View Full Record in Web of Science")</f>
        <v>View Full Record in Web of Science</v>
      </c>
    </row>
    <row r="746" spans="1:72" x14ac:dyDescent="0.15">
      <c r="A746" t="s">
        <v>72</v>
      </c>
      <c r="B746" t="s">
        <v>13869</v>
      </c>
      <c r="C746" t="s">
        <v>74</v>
      </c>
      <c r="D746" t="s">
        <v>74</v>
      </c>
      <c r="E746" t="s">
        <v>74</v>
      </c>
      <c r="F746" t="s">
        <v>13870</v>
      </c>
      <c r="G746" t="s">
        <v>74</v>
      </c>
      <c r="H746" t="s">
        <v>74</v>
      </c>
      <c r="I746" t="s">
        <v>13871</v>
      </c>
      <c r="J746" t="s">
        <v>13838</v>
      </c>
      <c r="K746" t="s">
        <v>74</v>
      </c>
      <c r="L746" t="s">
        <v>74</v>
      </c>
      <c r="M746" t="s">
        <v>78</v>
      </c>
      <c r="N746" t="s">
        <v>79</v>
      </c>
      <c r="O746" t="s">
        <v>74</v>
      </c>
      <c r="P746" t="s">
        <v>74</v>
      </c>
      <c r="Q746" t="s">
        <v>74</v>
      </c>
      <c r="R746" t="s">
        <v>74</v>
      </c>
      <c r="S746" t="s">
        <v>74</v>
      </c>
      <c r="T746" t="s">
        <v>74</v>
      </c>
      <c r="U746" t="s">
        <v>13872</v>
      </c>
      <c r="V746" t="s">
        <v>13873</v>
      </c>
      <c r="W746" t="s">
        <v>13874</v>
      </c>
      <c r="X746" t="s">
        <v>13875</v>
      </c>
      <c r="Y746" t="s">
        <v>13876</v>
      </c>
      <c r="Z746" t="s">
        <v>13877</v>
      </c>
      <c r="AA746" t="s">
        <v>13878</v>
      </c>
      <c r="AB746" t="s">
        <v>74</v>
      </c>
      <c r="AC746" t="s">
        <v>13879</v>
      </c>
      <c r="AD746" t="s">
        <v>13879</v>
      </c>
      <c r="AE746" t="s">
        <v>13880</v>
      </c>
      <c r="AF746" t="s">
        <v>74</v>
      </c>
      <c r="AG746">
        <v>52</v>
      </c>
      <c r="AH746">
        <v>0</v>
      </c>
      <c r="AI746">
        <v>0</v>
      </c>
      <c r="AJ746">
        <v>3</v>
      </c>
      <c r="AK746">
        <v>18</v>
      </c>
      <c r="AL746" t="s">
        <v>1111</v>
      </c>
      <c r="AM746" t="s">
        <v>1112</v>
      </c>
      <c r="AN746" t="s">
        <v>1113</v>
      </c>
      <c r="AO746" t="s">
        <v>13846</v>
      </c>
      <c r="AP746" t="s">
        <v>13847</v>
      </c>
      <c r="AQ746" t="s">
        <v>74</v>
      </c>
      <c r="AR746" t="s">
        <v>13848</v>
      </c>
      <c r="AS746" t="s">
        <v>13849</v>
      </c>
      <c r="AT746" t="s">
        <v>74</v>
      </c>
      <c r="AU746">
        <v>2012</v>
      </c>
      <c r="AV746">
        <v>58</v>
      </c>
      <c r="AW746">
        <v>212</v>
      </c>
      <c r="AX746" t="s">
        <v>74</v>
      </c>
      <c r="AY746" t="s">
        <v>74</v>
      </c>
      <c r="AZ746" t="s">
        <v>74</v>
      </c>
      <c r="BA746" t="s">
        <v>74</v>
      </c>
      <c r="BB746">
        <v>1191</v>
      </c>
      <c r="BC746">
        <v>1200</v>
      </c>
      <c r="BD746" t="s">
        <v>74</v>
      </c>
      <c r="BE746" t="s">
        <v>13881</v>
      </c>
      <c r="BF746" t="str">
        <f>HYPERLINK("http://dx.doi.org/10.3189/2012JoG12J009","http://dx.doi.org/10.3189/2012JoG12J009")</f>
        <v>http://dx.doi.org/10.3189/2012JoG12J009</v>
      </c>
      <c r="BG746" t="s">
        <v>74</v>
      </c>
      <c r="BH746" t="s">
        <v>74</v>
      </c>
      <c r="BI746">
        <v>10</v>
      </c>
      <c r="BJ746" t="s">
        <v>943</v>
      </c>
      <c r="BK746" t="s">
        <v>99</v>
      </c>
      <c r="BL746" t="s">
        <v>944</v>
      </c>
      <c r="BM746" t="s">
        <v>13851</v>
      </c>
      <c r="BN746" t="s">
        <v>74</v>
      </c>
      <c r="BO746" t="s">
        <v>217</v>
      </c>
      <c r="BP746" t="s">
        <v>74</v>
      </c>
      <c r="BQ746" t="s">
        <v>74</v>
      </c>
      <c r="BR746" t="s">
        <v>101</v>
      </c>
      <c r="BS746" t="s">
        <v>13882</v>
      </c>
      <c r="BT746" t="str">
        <f>HYPERLINK("https%3A%2F%2Fwww.webofscience.com%2Fwos%2Fwoscc%2Ffull-record%2FWOS:000312479400014","View Full Record in Web of Science")</f>
        <v>View Full Record in Web of Science</v>
      </c>
    </row>
    <row r="747" spans="1:72" x14ac:dyDescent="0.15">
      <c r="A747" t="s">
        <v>72</v>
      </c>
      <c r="B747" t="s">
        <v>13883</v>
      </c>
      <c r="C747" t="s">
        <v>74</v>
      </c>
      <c r="D747" t="s">
        <v>74</v>
      </c>
      <c r="E747" t="s">
        <v>74</v>
      </c>
      <c r="F747" t="s">
        <v>13884</v>
      </c>
      <c r="G747" t="s">
        <v>74</v>
      </c>
      <c r="H747" t="s">
        <v>74</v>
      </c>
      <c r="I747" t="s">
        <v>13885</v>
      </c>
      <c r="J747" t="s">
        <v>13838</v>
      </c>
      <c r="K747" t="s">
        <v>74</v>
      </c>
      <c r="L747" t="s">
        <v>74</v>
      </c>
      <c r="M747" t="s">
        <v>78</v>
      </c>
      <c r="N747" t="s">
        <v>79</v>
      </c>
      <c r="O747" t="s">
        <v>74</v>
      </c>
      <c r="P747" t="s">
        <v>74</v>
      </c>
      <c r="Q747" t="s">
        <v>74</v>
      </c>
      <c r="R747" t="s">
        <v>74</v>
      </c>
      <c r="S747" t="s">
        <v>74</v>
      </c>
      <c r="T747" t="s">
        <v>74</v>
      </c>
      <c r="U747" t="s">
        <v>13886</v>
      </c>
      <c r="V747" t="s">
        <v>13887</v>
      </c>
      <c r="W747" t="s">
        <v>13888</v>
      </c>
      <c r="X747" t="s">
        <v>13889</v>
      </c>
      <c r="Y747" t="s">
        <v>13890</v>
      </c>
      <c r="Z747" t="s">
        <v>13891</v>
      </c>
      <c r="AA747" t="s">
        <v>74</v>
      </c>
      <c r="AB747" t="s">
        <v>13892</v>
      </c>
      <c r="AC747" t="s">
        <v>13893</v>
      </c>
      <c r="AD747" t="s">
        <v>13894</v>
      </c>
      <c r="AE747" t="s">
        <v>13895</v>
      </c>
      <c r="AF747" t="s">
        <v>74</v>
      </c>
      <c r="AG747">
        <v>47</v>
      </c>
      <c r="AH747">
        <v>18</v>
      </c>
      <c r="AI747">
        <v>23</v>
      </c>
      <c r="AJ747">
        <v>0</v>
      </c>
      <c r="AK747">
        <v>19</v>
      </c>
      <c r="AL747" t="s">
        <v>1111</v>
      </c>
      <c r="AM747" t="s">
        <v>1112</v>
      </c>
      <c r="AN747" t="s">
        <v>1113</v>
      </c>
      <c r="AO747" t="s">
        <v>13846</v>
      </c>
      <c r="AP747" t="s">
        <v>13847</v>
      </c>
      <c r="AQ747" t="s">
        <v>74</v>
      </c>
      <c r="AR747" t="s">
        <v>13848</v>
      </c>
      <c r="AS747" t="s">
        <v>13849</v>
      </c>
      <c r="AT747" t="s">
        <v>74</v>
      </c>
      <c r="AU747">
        <v>2012</v>
      </c>
      <c r="AV747">
        <v>58</v>
      </c>
      <c r="AW747">
        <v>212</v>
      </c>
      <c r="AX747" t="s">
        <v>74</v>
      </c>
      <c r="AY747" t="s">
        <v>74</v>
      </c>
      <c r="AZ747" t="s">
        <v>74</v>
      </c>
      <c r="BA747" t="s">
        <v>74</v>
      </c>
      <c r="BB747">
        <v>1245</v>
      </c>
      <c r="BC747">
        <v>1252</v>
      </c>
      <c r="BD747" t="s">
        <v>74</v>
      </c>
      <c r="BE747" t="s">
        <v>13896</v>
      </c>
      <c r="BF747" t="str">
        <f>HYPERLINK("http://dx.doi.org/10.3189/2012JoG11J256","http://dx.doi.org/10.3189/2012JoG11J256")</f>
        <v>http://dx.doi.org/10.3189/2012JoG11J256</v>
      </c>
      <c r="BG747" t="s">
        <v>74</v>
      </c>
      <c r="BH747" t="s">
        <v>74</v>
      </c>
      <c r="BI747">
        <v>8</v>
      </c>
      <c r="BJ747" t="s">
        <v>943</v>
      </c>
      <c r="BK747" t="s">
        <v>99</v>
      </c>
      <c r="BL747" t="s">
        <v>944</v>
      </c>
      <c r="BM747" t="s">
        <v>13851</v>
      </c>
      <c r="BN747" t="s">
        <v>74</v>
      </c>
      <c r="BO747" t="s">
        <v>217</v>
      </c>
      <c r="BP747" t="s">
        <v>74</v>
      </c>
      <c r="BQ747" t="s">
        <v>74</v>
      </c>
      <c r="BR747" t="s">
        <v>101</v>
      </c>
      <c r="BS747" t="s">
        <v>13897</v>
      </c>
      <c r="BT747" t="str">
        <f>HYPERLINK("https%3A%2F%2Fwww.webofscience.com%2Fwos%2Fwoscc%2Ffull-record%2FWOS:000312479400018","View Full Record in Web of Science")</f>
        <v>View Full Record in Web of Science</v>
      </c>
    </row>
    <row r="748" spans="1:72" x14ac:dyDescent="0.15">
      <c r="A748" t="s">
        <v>72</v>
      </c>
      <c r="B748" t="s">
        <v>13898</v>
      </c>
      <c r="C748" t="s">
        <v>74</v>
      </c>
      <c r="D748" t="s">
        <v>74</v>
      </c>
      <c r="E748" t="s">
        <v>74</v>
      </c>
      <c r="F748" t="s">
        <v>13899</v>
      </c>
      <c r="G748" t="s">
        <v>74</v>
      </c>
      <c r="H748" t="s">
        <v>74</v>
      </c>
      <c r="I748" t="s">
        <v>13900</v>
      </c>
      <c r="J748" t="s">
        <v>13901</v>
      </c>
      <c r="K748" t="s">
        <v>74</v>
      </c>
      <c r="L748" t="s">
        <v>74</v>
      </c>
      <c r="M748" t="s">
        <v>78</v>
      </c>
      <c r="N748" t="s">
        <v>79</v>
      </c>
      <c r="O748" t="s">
        <v>74</v>
      </c>
      <c r="P748" t="s">
        <v>74</v>
      </c>
      <c r="Q748" t="s">
        <v>74</v>
      </c>
      <c r="R748" t="s">
        <v>74</v>
      </c>
      <c r="S748" t="s">
        <v>74</v>
      </c>
      <c r="T748" t="s">
        <v>13902</v>
      </c>
      <c r="U748" t="s">
        <v>13903</v>
      </c>
      <c r="V748" t="s">
        <v>13904</v>
      </c>
      <c r="W748" t="s">
        <v>13905</v>
      </c>
      <c r="X748" t="s">
        <v>2228</v>
      </c>
      <c r="Y748" t="s">
        <v>13906</v>
      </c>
      <c r="Z748" t="s">
        <v>13907</v>
      </c>
      <c r="AA748" t="s">
        <v>13908</v>
      </c>
      <c r="AB748" t="s">
        <v>13909</v>
      </c>
      <c r="AC748" t="s">
        <v>13910</v>
      </c>
      <c r="AD748" t="s">
        <v>13911</v>
      </c>
      <c r="AE748" t="s">
        <v>13912</v>
      </c>
      <c r="AF748" t="s">
        <v>74</v>
      </c>
      <c r="AG748">
        <v>38</v>
      </c>
      <c r="AH748">
        <v>12</v>
      </c>
      <c r="AI748">
        <v>14</v>
      </c>
      <c r="AJ748">
        <v>0</v>
      </c>
      <c r="AK748">
        <v>11</v>
      </c>
      <c r="AL748" t="s">
        <v>761</v>
      </c>
      <c r="AM748" t="s">
        <v>762</v>
      </c>
      <c r="AN748" t="s">
        <v>10609</v>
      </c>
      <c r="AO748" t="s">
        <v>13913</v>
      </c>
      <c r="AP748" t="s">
        <v>74</v>
      </c>
      <c r="AQ748" t="s">
        <v>74</v>
      </c>
      <c r="AR748" t="s">
        <v>13914</v>
      </c>
      <c r="AS748" t="s">
        <v>13915</v>
      </c>
      <c r="AT748" t="s">
        <v>74</v>
      </c>
      <c r="AU748">
        <v>2012</v>
      </c>
      <c r="AV748">
        <v>50</v>
      </c>
      <c r="AW748">
        <v>4</v>
      </c>
      <c r="AX748" t="s">
        <v>74</v>
      </c>
      <c r="AY748" t="s">
        <v>74</v>
      </c>
      <c r="AZ748" t="s">
        <v>74</v>
      </c>
      <c r="BA748" t="s">
        <v>74</v>
      </c>
      <c r="BB748">
        <v>457</v>
      </c>
      <c r="BC748">
        <v>472</v>
      </c>
      <c r="BD748" t="s">
        <v>74</v>
      </c>
      <c r="BE748" t="s">
        <v>13916</v>
      </c>
      <c r="BF748" t="str">
        <f>HYPERLINK("http://dx.doi.org/10.1080/0028825X.2012.735247","http://dx.doi.org/10.1080/0028825X.2012.735247")</f>
        <v>http://dx.doi.org/10.1080/0028825X.2012.735247</v>
      </c>
      <c r="BG748" t="s">
        <v>74</v>
      </c>
      <c r="BH748" t="s">
        <v>74</v>
      </c>
      <c r="BI748">
        <v>16</v>
      </c>
      <c r="BJ748" t="s">
        <v>396</v>
      </c>
      <c r="BK748" t="s">
        <v>99</v>
      </c>
      <c r="BL748" t="s">
        <v>396</v>
      </c>
      <c r="BM748" t="s">
        <v>13917</v>
      </c>
      <c r="BN748" t="s">
        <v>74</v>
      </c>
      <c r="BO748" t="s">
        <v>74</v>
      </c>
      <c r="BP748" t="s">
        <v>74</v>
      </c>
      <c r="BQ748" t="s">
        <v>74</v>
      </c>
      <c r="BR748" t="s">
        <v>101</v>
      </c>
      <c r="BS748" t="s">
        <v>13918</v>
      </c>
      <c r="BT748" t="str">
        <f>HYPERLINK("https%3A%2F%2Fwww.webofscience.com%2Fwos%2Fwoscc%2Ffull-record%2FWOS:000312578900010","View Full Record in Web of Science")</f>
        <v>View Full Record in Web of Science</v>
      </c>
    </row>
    <row r="749" spans="1:72" x14ac:dyDescent="0.15">
      <c r="A749" t="s">
        <v>72</v>
      </c>
      <c r="B749" t="s">
        <v>13919</v>
      </c>
      <c r="C749" t="s">
        <v>74</v>
      </c>
      <c r="D749" t="s">
        <v>74</v>
      </c>
      <c r="E749" t="s">
        <v>74</v>
      </c>
      <c r="F749" t="s">
        <v>13920</v>
      </c>
      <c r="G749" t="s">
        <v>74</v>
      </c>
      <c r="H749" t="s">
        <v>74</v>
      </c>
      <c r="I749" t="s">
        <v>13921</v>
      </c>
      <c r="J749" t="s">
        <v>13922</v>
      </c>
      <c r="K749" t="s">
        <v>74</v>
      </c>
      <c r="L749" t="s">
        <v>74</v>
      </c>
      <c r="M749" t="s">
        <v>78</v>
      </c>
      <c r="N749" t="s">
        <v>79</v>
      </c>
      <c r="O749" t="s">
        <v>74</v>
      </c>
      <c r="P749" t="s">
        <v>74</v>
      </c>
      <c r="Q749" t="s">
        <v>74</v>
      </c>
      <c r="R749" t="s">
        <v>74</v>
      </c>
      <c r="S749" t="s">
        <v>74</v>
      </c>
      <c r="T749" t="s">
        <v>13923</v>
      </c>
      <c r="U749" t="s">
        <v>13924</v>
      </c>
      <c r="V749" t="s">
        <v>13925</v>
      </c>
      <c r="W749" t="s">
        <v>13926</v>
      </c>
      <c r="X749" t="s">
        <v>74</v>
      </c>
      <c r="Y749" t="s">
        <v>13927</v>
      </c>
      <c r="Z749" t="s">
        <v>13928</v>
      </c>
      <c r="AA749" t="s">
        <v>74</v>
      </c>
      <c r="AB749" t="s">
        <v>74</v>
      </c>
      <c r="AC749" t="s">
        <v>74</v>
      </c>
      <c r="AD749" t="s">
        <v>74</v>
      </c>
      <c r="AE749" t="s">
        <v>74</v>
      </c>
      <c r="AF749" t="s">
        <v>74</v>
      </c>
      <c r="AG749">
        <v>68</v>
      </c>
      <c r="AH749">
        <v>0</v>
      </c>
      <c r="AI749">
        <v>0</v>
      </c>
      <c r="AJ749">
        <v>0</v>
      </c>
      <c r="AK749">
        <v>3</v>
      </c>
      <c r="AL749" t="s">
        <v>761</v>
      </c>
      <c r="AM749" t="s">
        <v>762</v>
      </c>
      <c r="AN749" t="s">
        <v>763</v>
      </c>
      <c r="AO749" t="s">
        <v>13929</v>
      </c>
      <c r="AP749" t="s">
        <v>13930</v>
      </c>
      <c r="AQ749" t="s">
        <v>74</v>
      </c>
      <c r="AR749" t="s">
        <v>13931</v>
      </c>
      <c r="AS749" t="s">
        <v>13932</v>
      </c>
      <c r="AT749" t="s">
        <v>74</v>
      </c>
      <c r="AU749">
        <v>2012</v>
      </c>
      <c r="AV749">
        <v>5</v>
      </c>
      <c r="AW749">
        <v>3</v>
      </c>
      <c r="AX749" t="s">
        <v>74</v>
      </c>
      <c r="AY749" t="s">
        <v>74</v>
      </c>
      <c r="AZ749" t="s">
        <v>74</v>
      </c>
      <c r="BA749" t="s">
        <v>74</v>
      </c>
      <c r="BB749">
        <v>373</v>
      </c>
      <c r="BC749">
        <v>385</v>
      </c>
      <c r="BD749" t="s">
        <v>74</v>
      </c>
      <c r="BE749" t="s">
        <v>13933</v>
      </c>
      <c r="BF749" t="str">
        <f>HYPERLINK("http://dx.doi.org/10.1080/17550874.2012.691563","http://dx.doi.org/10.1080/17550874.2012.691563")</f>
        <v>http://dx.doi.org/10.1080/17550874.2012.691563</v>
      </c>
      <c r="BG749" t="s">
        <v>74</v>
      </c>
      <c r="BH749" t="s">
        <v>74</v>
      </c>
      <c r="BI749">
        <v>13</v>
      </c>
      <c r="BJ749" t="s">
        <v>396</v>
      </c>
      <c r="BK749" t="s">
        <v>99</v>
      </c>
      <c r="BL749" t="s">
        <v>396</v>
      </c>
      <c r="BM749" t="s">
        <v>13934</v>
      </c>
      <c r="BN749" t="s">
        <v>74</v>
      </c>
      <c r="BO749" t="s">
        <v>74</v>
      </c>
      <c r="BP749" t="s">
        <v>74</v>
      </c>
      <c r="BQ749" t="s">
        <v>74</v>
      </c>
      <c r="BR749" t="s">
        <v>101</v>
      </c>
      <c r="BS749" t="s">
        <v>13935</v>
      </c>
      <c r="BT749" t="str">
        <f>HYPERLINK("https%3A%2F%2Fwww.webofscience.com%2Fwos%2Fwoscc%2Ffull-record%2FWOS:000312454900011","View Full Record in Web of Science")</f>
        <v>View Full Record in Web of Science</v>
      </c>
    </row>
    <row r="750" spans="1:72" x14ac:dyDescent="0.15">
      <c r="A750" t="s">
        <v>12086</v>
      </c>
      <c r="B750" t="s">
        <v>13936</v>
      </c>
      <c r="C750" t="s">
        <v>74</v>
      </c>
      <c r="D750" t="s">
        <v>13937</v>
      </c>
      <c r="E750" t="s">
        <v>74</v>
      </c>
      <c r="F750" t="s">
        <v>13938</v>
      </c>
      <c r="G750" t="s">
        <v>74</v>
      </c>
      <c r="H750" t="s">
        <v>74</v>
      </c>
      <c r="I750" t="s">
        <v>13939</v>
      </c>
      <c r="J750" t="s">
        <v>13940</v>
      </c>
      <c r="K750" t="s">
        <v>12669</v>
      </c>
      <c r="L750" t="s">
        <v>74</v>
      </c>
      <c r="M750" t="s">
        <v>78</v>
      </c>
      <c r="N750" t="s">
        <v>12093</v>
      </c>
      <c r="O750" t="s">
        <v>13941</v>
      </c>
      <c r="P750" t="s">
        <v>13800</v>
      </c>
      <c r="Q750" t="s">
        <v>13801</v>
      </c>
      <c r="R750" t="s">
        <v>74</v>
      </c>
      <c r="S750" t="s">
        <v>74</v>
      </c>
      <c r="T750" t="s">
        <v>13942</v>
      </c>
      <c r="U750" t="s">
        <v>74</v>
      </c>
      <c r="V750" t="s">
        <v>13943</v>
      </c>
      <c r="W750" t="s">
        <v>13944</v>
      </c>
      <c r="X750" t="s">
        <v>13765</v>
      </c>
      <c r="Y750" t="s">
        <v>13945</v>
      </c>
      <c r="Z750" t="s">
        <v>74</v>
      </c>
      <c r="AA750" t="s">
        <v>74</v>
      </c>
      <c r="AB750" t="s">
        <v>74</v>
      </c>
      <c r="AC750" t="s">
        <v>74</v>
      </c>
      <c r="AD750" t="s">
        <v>74</v>
      </c>
      <c r="AE750" t="s">
        <v>74</v>
      </c>
      <c r="AF750" t="s">
        <v>74</v>
      </c>
      <c r="AG750">
        <v>5</v>
      </c>
      <c r="AH750">
        <v>0</v>
      </c>
      <c r="AI750">
        <v>0</v>
      </c>
      <c r="AJ750">
        <v>0</v>
      </c>
      <c r="AK750">
        <v>1</v>
      </c>
      <c r="AL750" t="s">
        <v>12677</v>
      </c>
      <c r="AM750" t="s">
        <v>12678</v>
      </c>
      <c r="AN750" t="s">
        <v>12679</v>
      </c>
      <c r="AO750" t="s">
        <v>12680</v>
      </c>
      <c r="AP750" t="s">
        <v>74</v>
      </c>
      <c r="AQ750" t="s">
        <v>13946</v>
      </c>
      <c r="AR750" t="s">
        <v>12683</v>
      </c>
      <c r="AS750" t="s">
        <v>74</v>
      </c>
      <c r="AT750" t="s">
        <v>74</v>
      </c>
      <c r="AU750">
        <v>2012</v>
      </c>
      <c r="AV750">
        <v>8420</v>
      </c>
      <c r="AW750" t="s">
        <v>74</v>
      </c>
      <c r="AX750" t="s">
        <v>74</v>
      </c>
      <c r="AY750" t="s">
        <v>74</v>
      </c>
      <c r="AZ750" t="s">
        <v>74</v>
      </c>
      <c r="BA750" t="s">
        <v>74</v>
      </c>
      <c r="BB750" t="s">
        <v>74</v>
      </c>
      <c r="BC750" t="s">
        <v>74</v>
      </c>
      <c r="BD750" t="s">
        <v>13947</v>
      </c>
      <c r="BE750" t="s">
        <v>13948</v>
      </c>
      <c r="BF750" t="str">
        <f>HYPERLINK("http://dx.doi.org/10.1117/12.974362","http://dx.doi.org/10.1117/12.974362")</f>
        <v>http://dx.doi.org/10.1117/12.974362</v>
      </c>
      <c r="BG750" t="s">
        <v>74</v>
      </c>
      <c r="BH750" t="s">
        <v>74</v>
      </c>
      <c r="BI750">
        <v>5</v>
      </c>
      <c r="BJ750" t="s">
        <v>13949</v>
      </c>
      <c r="BK750" t="s">
        <v>12109</v>
      </c>
      <c r="BL750" t="s">
        <v>13949</v>
      </c>
      <c r="BM750" t="s">
        <v>13950</v>
      </c>
      <c r="BN750" t="s">
        <v>74</v>
      </c>
      <c r="BO750" t="s">
        <v>74</v>
      </c>
      <c r="BP750" t="s">
        <v>74</v>
      </c>
      <c r="BQ750" t="s">
        <v>74</v>
      </c>
      <c r="BR750" t="s">
        <v>101</v>
      </c>
      <c r="BS750" t="s">
        <v>13951</v>
      </c>
      <c r="BT750" t="str">
        <f>HYPERLINK("https%3A%2F%2Fwww.webofscience.com%2Fwos%2Fwoscc%2Ffull-record%2FWOS:000312218800022","View Full Record in Web of Science")</f>
        <v>View Full Record in Web of Science</v>
      </c>
    </row>
    <row r="751" spans="1:72" x14ac:dyDescent="0.15">
      <c r="A751" t="s">
        <v>72</v>
      </c>
      <c r="B751" t="s">
        <v>13952</v>
      </c>
      <c r="C751" t="s">
        <v>74</v>
      </c>
      <c r="D751" t="s">
        <v>74</v>
      </c>
      <c r="E751" t="s">
        <v>74</v>
      </c>
      <c r="F751" t="s">
        <v>13953</v>
      </c>
      <c r="G751" t="s">
        <v>74</v>
      </c>
      <c r="H751" t="s">
        <v>74</v>
      </c>
      <c r="I751" t="s">
        <v>13954</v>
      </c>
      <c r="J751" t="s">
        <v>13955</v>
      </c>
      <c r="K751" t="s">
        <v>74</v>
      </c>
      <c r="L751" t="s">
        <v>74</v>
      </c>
      <c r="M751" t="s">
        <v>78</v>
      </c>
      <c r="N751" t="s">
        <v>79</v>
      </c>
      <c r="O751" t="s">
        <v>74</v>
      </c>
      <c r="P751" t="s">
        <v>74</v>
      </c>
      <c r="Q751" t="s">
        <v>74</v>
      </c>
      <c r="R751" t="s">
        <v>74</v>
      </c>
      <c r="S751" t="s">
        <v>74</v>
      </c>
      <c r="T751" t="s">
        <v>13956</v>
      </c>
      <c r="U751" t="s">
        <v>13957</v>
      </c>
      <c r="V751" t="s">
        <v>13958</v>
      </c>
      <c r="W751" t="s">
        <v>13959</v>
      </c>
      <c r="X751" t="s">
        <v>13960</v>
      </c>
      <c r="Y751" t="s">
        <v>13961</v>
      </c>
      <c r="Z751" t="s">
        <v>13962</v>
      </c>
      <c r="AA751" t="s">
        <v>13963</v>
      </c>
      <c r="AB751" t="s">
        <v>13964</v>
      </c>
      <c r="AC751" t="s">
        <v>13965</v>
      </c>
      <c r="AD751" t="s">
        <v>13966</v>
      </c>
      <c r="AE751" t="s">
        <v>13967</v>
      </c>
      <c r="AF751" t="s">
        <v>74</v>
      </c>
      <c r="AG751">
        <v>69</v>
      </c>
      <c r="AH751">
        <v>8</v>
      </c>
      <c r="AI751">
        <v>8</v>
      </c>
      <c r="AJ751">
        <v>0</v>
      </c>
      <c r="AK751">
        <v>15</v>
      </c>
      <c r="AL751" t="s">
        <v>13968</v>
      </c>
      <c r="AM751" t="s">
        <v>13969</v>
      </c>
      <c r="AN751" t="s">
        <v>13970</v>
      </c>
      <c r="AO751" t="s">
        <v>13971</v>
      </c>
      <c r="AP751" t="s">
        <v>13972</v>
      </c>
      <c r="AQ751" t="s">
        <v>74</v>
      </c>
      <c r="AR751" t="s">
        <v>13973</v>
      </c>
      <c r="AS751" t="s">
        <v>13974</v>
      </c>
      <c r="AT751" t="s">
        <v>74</v>
      </c>
      <c r="AU751">
        <v>2012</v>
      </c>
      <c r="AV751">
        <v>34</v>
      </c>
      <c r="AW751">
        <v>4</v>
      </c>
      <c r="AX751" t="s">
        <v>74</v>
      </c>
      <c r="AY751" t="s">
        <v>74</v>
      </c>
      <c r="AZ751" t="s">
        <v>74</v>
      </c>
      <c r="BA751" t="s">
        <v>74</v>
      </c>
      <c r="BB751">
        <v>511</v>
      </c>
      <c r="BC751">
        <v>524</v>
      </c>
      <c r="BD751" t="s">
        <v>74</v>
      </c>
      <c r="BE751" t="s">
        <v>13975</v>
      </c>
      <c r="BF751" t="str">
        <f>HYPERLINK("http://dx.doi.org/10.2989/1814232X.2012.749811","http://dx.doi.org/10.2989/1814232X.2012.749811")</f>
        <v>http://dx.doi.org/10.2989/1814232X.2012.749811</v>
      </c>
      <c r="BG751" t="s">
        <v>74</v>
      </c>
      <c r="BH751" t="s">
        <v>74</v>
      </c>
      <c r="BI751">
        <v>14</v>
      </c>
      <c r="BJ751" t="s">
        <v>588</v>
      </c>
      <c r="BK751" t="s">
        <v>99</v>
      </c>
      <c r="BL751" t="s">
        <v>588</v>
      </c>
      <c r="BM751" t="s">
        <v>13976</v>
      </c>
      <c r="BN751" t="s">
        <v>74</v>
      </c>
      <c r="BO751" t="s">
        <v>74</v>
      </c>
      <c r="BP751" t="s">
        <v>74</v>
      </c>
      <c r="BQ751" t="s">
        <v>74</v>
      </c>
      <c r="BR751" t="s">
        <v>101</v>
      </c>
      <c r="BS751" t="s">
        <v>13977</v>
      </c>
      <c r="BT751" t="str">
        <f>HYPERLINK("https%3A%2F%2Fwww.webofscience.com%2Fwos%2Fwoscc%2Ffull-record%2FWOS:000312298900005","View Full Record in Web of Science")</f>
        <v>View Full Record in Web of Science</v>
      </c>
    </row>
    <row r="752" spans="1:72" x14ac:dyDescent="0.15">
      <c r="A752" t="s">
        <v>72</v>
      </c>
      <c r="B752" t="s">
        <v>13978</v>
      </c>
      <c r="C752" t="s">
        <v>74</v>
      </c>
      <c r="D752" t="s">
        <v>74</v>
      </c>
      <c r="E752" t="s">
        <v>74</v>
      </c>
      <c r="F752" t="s">
        <v>13979</v>
      </c>
      <c r="G752" t="s">
        <v>74</v>
      </c>
      <c r="H752" t="s">
        <v>74</v>
      </c>
      <c r="I752" t="s">
        <v>13980</v>
      </c>
      <c r="J752" t="s">
        <v>13981</v>
      </c>
      <c r="K752" t="s">
        <v>74</v>
      </c>
      <c r="L752" t="s">
        <v>74</v>
      </c>
      <c r="M752" t="s">
        <v>78</v>
      </c>
      <c r="N752" t="s">
        <v>79</v>
      </c>
      <c r="O752" t="s">
        <v>74</v>
      </c>
      <c r="P752" t="s">
        <v>74</v>
      </c>
      <c r="Q752" t="s">
        <v>74</v>
      </c>
      <c r="R752" t="s">
        <v>74</v>
      </c>
      <c r="S752" t="s">
        <v>74</v>
      </c>
      <c r="T752" t="s">
        <v>13982</v>
      </c>
      <c r="U752" t="s">
        <v>13983</v>
      </c>
      <c r="V752" t="s">
        <v>13984</v>
      </c>
      <c r="W752" t="s">
        <v>13985</v>
      </c>
      <c r="X752" t="s">
        <v>13986</v>
      </c>
      <c r="Y752" t="s">
        <v>13987</v>
      </c>
      <c r="Z752" t="s">
        <v>13988</v>
      </c>
      <c r="AA752" t="s">
        <v>13989</v>
      </c>
      <c r="AB752" t="s">
        <v>13990</v>
      </c>
      <c r="AC752" t="s">
        <v>13991</v>
      </c>
      <c r="AD752" t="s">
        <v>13992</v>
      </c>
      <c r="AE752" t="s">
        <v>13993</v>
      </c>
      <c r="AF752" t="s">
        <v>74</v>
      </c>
      <c r="AG752">
        <v>50</v>
      </c>
      <c r="AH752">
        <v>8</v>
      </c>
      <c r="AI752">
        <v>8</v>
      </c>
      <c r="AJ752">
        <v>0</v>
      </c>
      <c r="AK752">
        <v>22</v>
      </c>
      <c r="AL752" t="s">
        <v>13640</v>
      </c>
      <c r="AM752" t="s">
        <v>13641</v>
      </c>
      <c r="AN752" t="s">
        <v>13642</v>
      </c>
      <c r="AO752" t="s">
        <v>13994</v>
      </c>
      <c r="AP752" t="s">
        <v>13995</v>
      </c>
      <c r="AQ752" t="s">
        <v>74</v>
      </c>
      <c r="AR752" t="s">
        <v>13996</v>
      </c>
      <c r="AS752" t="s">
        <v>13997</v>
      </c>
      <c r="AT752" t="s">
        <v>74</v>
      </c>
      <c r="AU752">
        <v>2012</v>
      </c>
      <c r="AV752">
        <v>17</v>
      </c>
      <c r="AW752">
        <v>3</v>
      </c>
      <c r="AX752" t="s">
        <v>74</v>
      </c>
      <c r="AY752" t="s">
        <v>74</v>
      </c>
      <c r="AZ752" t="s">
        <v>74</v>
      </c>
      <c r="BA752" t="s">
        <v>74</v>
      </c>
      <c r="BB752">
        <v>285</v>
      </c>
      <c r="BC752" t="s">
        <v>1734</v>
      </c>
      <c r="BD752" t="s">
        <v>74</v>
      </c>
      <c r="BE752" t="s">
        <v>13998</v>
      </c>
      <c r="BF752" t="str">
        <f>HYPERLINK("http://dx.doi.org/10.3354/ab00482","http://dx.doi.org/10.3354/ab00482")</f>
        <v>http://dx.doi.org/10.3354/ab00482</v>
      </c>
      <c r="BG752" t="s">
        <v>74</v>
      </c>
      <c r="BH752" t="s">
        <v>74</v>
      </c>
      <c r="BI752">
        <v>10</v>
      </c>
      <c r="BJ752" t="s">
        <v>588</v>
      </c>
      <c r="BK752" t="s">
        <v>99</v>
      </c>
      <c r="BL752" t="s">
        <v>588</v>
      </c>
      <c r="BM752" t="s">
        <v>13999</v>
      </c>
      <c r="BN752" t="s">
        <v>74</v>
      </c>
      <c r="BO752" t="s">
        <v>197</v>
      </c>
      <c r="BP752" t="s">
        <v>74</v>
      </c>
      <c r="BQ752" t="s">
        <v>74</v>
      </c>
      <c r="BR752" t="s">
        <v>101</v>
      </c>
      <c r="BS752" t="s">
        <v>14000</v>
      </c>
      <c r="BT752" t="str">
        <f>HYPERLINK("https%3A%2F%2Fwww.webofscience.com%2Fwos%2Fwoscc%2Ffull-record%2FWOS:000312247800008","View Full Record in Web of Science")</f>
        <v>View Full Record in Web of Science</v>
      </c>
    </row>
    <row r="753" spans="1:72" x14ac:dyDescent="0.15">
      <c r="A753" t="s">
        <v>72</v>
      </c>
      <c r="B753" t="s">
        <v>14001</v>
      </c>
      <c r="C753" t="s">
        <v>74</v>
      </c>
      <c r="D753" t="s">
        <v>74</v>
      </c>
      <c r="E753" t="s">
        <v>74</v>
      </c>
      <c r="F753" t="s">
        <v>14002</v>
      </c>
      <c r="G753" t="s">
        <v>74</v>
      </c>
      <c r="H753" t="s">
        <v>74</v>
      </c>
      <c r="I753" t="s">
        <v>14003</v>
      </c>
      <c r="J753" t="s">
        <v>14004</v>
      </c>
      <c r="K753" t="s">
        <v>74</v>
      </c>
      <c r="L753" t="s">
        <v>74</v>
      </c>
      <c r="M753" t="s">
        <v>78</v>
      </c>
      <c r="N753" t="s">
        <v>79</v>
      </c>
      <c r="O753" t="s">
        <v>74</v>
      </c>
      <c r="P753" t="s">
        <v>74</v>
      </c>
      <c r="Q753" t="s">
        <v>74</v>
      </c>
      <c r="R753" t="s">
        <v>74</v>
      </c>
      <c r="S753" t="s">
        <v>74</v>
      </c>
      <c r="T753" t="s">
        <v>14005</v>
      </c>
      <c r="U753" t="s">
        <v>14006</v>
      </c>
      <c r="V753" t="s">
        <v>14007</v>
      </c>
      <c r="W753" t="s">
        <v>14008</v>
      </c>
      <c r="X753" t="s">
        <v>14009</v>
      </c>
      <c r="Y753" t="s">
        <v>14010</v>
      </c>
      <c r="Z753" t="s">
        <v>14011</v>
      </c>
      <c r="AA753" t="s">
        <v>14012</v>
      </c>
      <c r="AB753" t="s">
        <v>14013</v>
      </c>
      <c r="AC753" t="s">
        <v>14014</v>
      </c>
      <c r="AD753" t="s">
        <v>14015</v>
      </c>
      <c r="AE753" t="s">
        <v>14016</v>
      </c>
      <c r="AF753" t="s">
        <v>74</v>
      </c>
      <c r="AG753">
        <v>12</v>
      </c>
      <c r="AH753">
        <v>12</v>
      </c>
      <c r="AI753">
        <v>13</v>
      </c>
      <c r="AJ753">
        <v>2</v>
      </c>
      <c r="AK753">
        <v>51</v>
      </c>
      <c r="AL753" t="s">
        <v>14017</v>
      </c>
      <c r="AM753" t="s">
        <v>14018</v>
      </c>
      <c r="AN753" t="s">
        <v>14019</v>
      </c>
      <c r="AO753" t="s">
        <v>14020</v>
      </c>
      <c r="AP753" t="s">
        <v>74</v>
      </c>
      <c r="AQ753" t="s">
        <v>74</v>
      </c>
      <c r="AR753" t="s">
        <v>14004</v>
      </c>
      <c r="AS753" t="s">
        <v>14021</v>
      </c>
      <c r="AT753" t="s">
        <v>74</v>
      </c>
      <c r="AU753">
        <v>2012</v>
      </c>
      <c r="AV753">
        <v>33</v>
      </c>
      <c r="AW753">
        <v>3</v>
      </c>
      <c r="AX753" t="s">
        <v>74</v>
      </c>
      <c r="AY753" t="s">
        <v>74</v>
      </c>
      <c r="AZ753" t="s">
        <v>74</v>
      </c>
      <c r="BA753" t="s">
        <v>74</v>
      </c>
      <c r="BB753">
        <v>271</v>
      </c>
      <c r="BC753">
        <v>274</v>
      </c>
      <c r="BD753" t="s">
        <v>74</v>
      </c>
      <c r="BE753" t="s">
        <v>14022</v>
      </c>
      <c r="BF753" t="str">
        <f>HYPERLINK("http://dx.doi.org/10.4067/S0717-92002012000300007","http://dx.doi.org/10.4067/S0717-92002012000300007")</f>
        <v>http://dx.doi.org/10.4067/S0717-92002012000300007</v>
      </c>
      <c r="BG753" t="s">
        <v>74</v>
      </c>
      <c r="BH753" t="s">
        <v>74</v>
      </c>
      <c r="BI753">
        <v>4</v>
      </c>
      <c r="BJ753" t="s">
        <v>14023</v>
      </c>
      <c r="BK753" t="s">
        <v>99</v>
      </c>
      <c r="BL753" t="s">
        <v>14024</v>
      </c>
      <c r="BM753" t="s">
        <v>14025</v>
      </c>
      <c r="BN753" t="s">
        <v>74</v>
      </c>
      <c r="BO753" t="s">
        <v>3496</v>
      </c>
      <c r="BP753" t="s">
        <v>74</v>
      </c>
      <c r="BQ753" t="s">
        <v>74</v>
      </c>
      <c r="BR753" t="s">
        <v>101</v>
      </c>
      <c r="BS753" t="s">
        <v>14026</v>
      </c>
      <c r="BT753" t="str">
        <f>HYPERLINK("https%3A%2F%2Fwww.webofscience.com%2Fwos%2Fwoscc%2Ffull-record%2FWOS:000311806400007","View Full Record in Web of Science")</f>
        <v>View Full Record in Web of Science</v>
      </c>
    </row>
    <row r="754" spans="1:72" x14ac:dyDescent="0.15">
      <c r="A754" t="s">
        <v>72</v>
      </c>
      <c r="B754" t="s">
        <v>14027</v>
      </c>
      <c r="C754" t="s">
        <v>74</v>
      </c>
      <c r="D754" t="s">
        <v>74</v>
      </c>
      <c r="E754" t="s">
        <v>74</v>
      </c>
      <c r="F754" t="s">
        <v>14028</v>
      </c>
      <c r="G754" t="s">
        <v>74</v>
      </c>
      <c r="H754" t="s">
        <v>74</v>
      </c>
      <c r="I754" t="s">
        <v>14029</v>
      </c>
      <c r="J754" t="s">
        <v>14030</v>
      </c>
      <c r="K754" t="s">
        <v>74</v>
      </c>
      <c r="L754" t="s">
        <v>74</v>
      </c>
      <c r="M754" t="s">
        <v>78</v>
      </c>
      <c r="N754" t="s">
        <v>79</v>
      </c>
      <c r="O754" t="s">
        <v>74</v>
      </c>
      <c r="P754" t="s">
        <v>74</v>
      </c>
      <c r="Q754" t="s">
        <v>74</v>
      </c>
      <c r="R754" t="s">
        <v>74</v>
      </c>
      <c r="S754" t="s">
        <v>74</v>
      </c>
      <c r="T754" t="s">
        <v>14031</v>
      </c>
      <c r="U754" t="s">
        <v>14032</v>
      </c>
      <c r="V754" t="s">
        <v>14033</v>
      </c>
      <c r="W754" t="s">
        <v>14034</v>
      </c>
      <c r="X754" t="s">
        <v>14035</v>
      </c>
      <c r="Y754" t="s">
        <v>14036</v>
      </c>
      <c r="Z754" t="s">
        <v>14037</v>
      </c>
      <c r="AA754" t="s">
        <v>14038</v>
      </c>
      <c r="AB754" t="s">
        <v>14039</v>
      </c>
      <c r="AC754" t="s">
        <v>14040</v>
      </c>
      <c r="AD754" t="s">
        <v>4106</v>
      </c>
      <c r="AE754" t="s">
        <v>14041</v>
      </c>
      <c r="AF754" t="s">
        <v>74</v>
      </c>
      <c r="AG754">
        <v>59</v>
      </c>
      <c r="AH754">
        <v>19</v>
      </c>
      <c r="AI754">
        <v>24</v>
      </c>
      <c r="AJ754">
        <v>0</v>
      </c>
      <c r="AK754">
        <v>33</v>
      </c>
      <c r="AL754" t="s">
        <v>3895</v>
      </c>
      <c r="AM754" t="s">
        <v>628</v>
      </c>
      <c r="AN754" t="s">
        <v>629</v>
      </c>
      <c r="AO754" t="s">
        <v>14042</v>
      </c>
      <c r="AP754" t="s">
        <v>74</v>
      </c>
      <c r="AQ754" t="s">
        <v>74</v>
      </c>
      <c r="AR754" t="s">
        <v>14043</v>
      </c>
      <c r="AS754" t="s">
        <v>14044</v>
      </c>
      <c r="AT754" t="s">
        <v>74</v>
      </c>
      <c r="AU754">
        <v>2012</v>
      </c>
      <c r="AV754">
        <v>131</v>
      </c>
      <c r="AW754">
        <v>4</v>
      </c>
      <c r="AX754" t="s">
        <v>74</v>
      </c>
      <c r="AY754" t="s">
        <v>74</v>
      </c>
      <c r="AZ754" t="s">
        <v>74</v>
      </c>
      <c r="BA754" t="s">
        <v>74</v>
      </c>
      <c r="BB754">
        <v>345</v>
      </c>
      <c r="BC754">
        <v>354</v>
      </c>
      <c r="BD754" t="s">
        <v>74</v>
      </c>
      <c r="BE754" t="s">
        <v>14045</v>
      </c>
      <c r="BF754" t="str">
        <f>HYPERLINK("http://dx.doi.org/10.1111/j.1744-7410.2012.00277.x","http://dx.doi.org/10.1111/j.1744-7410.2012.00277.x")</f>
        <v>http://dx.doi.org/10.1111/j.1744-7410.2012.00277.x</v>
      </c>
      <c r="BG754" t="s">
        <v>74</v>
      </c>
      <c r="BH754" t="s">
        <v>74</v>
      </c>
      <c r="BI754">
        <v>10</v>
      </c>
      <c r="BJ754" t="s">
        <v>5100</v>
      </c>
      <c r="BK754" t="s">
        <v>99</v>
      </c>
      <c r="BL754" t="s">
        <v>5100</v>
      </c>
      <c r="BM754" t="s">
        <v>14046</v>
      </c>
      <c r="BN754" t="s">
        <v>74</v>
      </c>
      <c r="BO754" t="s">
        <v>74</v>
      </c>
      <c r="BP754" t="s">
        <v>74</v>
      </c>
      <c r="BQ754" t="s">
        <v>74</v>
      </c>
      <c r="BR754" t="s">
        <v>101</v>
      </c>
      <c r="BS754" t="s">
        <v>14047</v>
      </c>
      <c r="BT754" t="str">
        <f>HYPERLINK("https%3A%2F%2Fwww.webofscience.com%2Fwos%2Fwoscc%2Ffull-record%2FWOS:000312218400008","View Full Record in Web of Science")</f>
        <v>View Full Record in Web of Science</v>
      </c>
    </row>
    <row r="755" spans="1:72" x14ac:dyDescent="0.15">
      <c r="A755" t="s">
        <v>72</v>
      </c>
      <c r="B755" t="s">
        <v>14048</v>
      </c>
      <c r="C755" t="s">
        <v>74</v>
      </c>
      <c r="D755" t="s">
        <v>74</v>
      </c>
      <c r="E755" t="s">
        <v>74</v>
      </c>
      <c r="F755" t="s">
        <v>14049</v>
      </c>
      <c r="G755" t="s">
        <v>74</v>
      </c>
      <c r="H755" t="s">
        <v>74</v>
      </c>
      <c r="I755" t="s">
        <v>14050</v>
      </c>
      <c r="J755" t="s">
        <v>14051</v>
      </c>
      <c r="K755" t="s">
        <v>74</v>
      </c>
      <c r="L755" t="s">
        <v>74</v>
      </c>
      <c r="M755" t="s">
        <v>78</v>
      </c>
      <c r="N755" t="s">
        <v>79</v>
      </c>
      <c r="O755" t="s">
        <v>74</v>
      </c>
      <c r="P755" t="s">
        <v>74</v>
      </c>
      <c r="Q755" t="s">
        <v>74</v>
      </c>
      <c r="R755" t="s">
        <v>74</v>
      </c>
      <c r="S755" t="s">
        <v>74</v>
      </c>
      <c r="T755" t="s">
        <v>14052</v>
      </c>
      <c r="U755" t="s">
        <v>14053</v>
      </c>
      <c r="V755" t="s">
        <v>74</v>
      </c>
      <c r="W755" t="s">
        <v>14054</v>
      </c>
      <c r="X755" t="s">
        <v>14055</v>
      </c>
      <c r="Y755" t="s">
        <v>14056</v>
      </c>
      <c r="Z755" t="s">
        <v>14057</v>
      </c>
      <c r="AA755" t="s">
        <v>74</v>
      </c>
      <c r="AB755" t="s">
        <v>14058</v>
      </c>
      <c r="AC755" t="s">
        <v>74</v>
      </c>
      <c r="AD755" t="s">
        <v>74</v>
      </c>
      <c r="AE755" t="s">
        <v>74</v>
      </c>
      <c r="AF755" t="s">
        <v>74</v>
      </c>
      <c r="AG755">
        <v>23</v>
      </c>
      <c r="AH755">
        <v>1</v>
      </c>
      <c r="AI755">
        <v>1</v>
      </c>
      <c r="AJ755">
        <v>0</v>
      </c>
      <c r="AK755">
        <v>4</v>
      </c>
      <c r="AL755" t="s">
        <v>14059</v>
      </c>
      <c r="AM755" t="s">
        <v>604</v>
      </c>
      <c r="AN755" t="s">
        <v>14060</v>
      </c>
      <c r="AO755" t="s">
        <v>14061</v>
      </c>
      <c r="AP755" t="s">
        <v>14062</v>
      </c>
      <c r="AQ755" t="s">
        <v>74</v>
      </c>
      <c r="AR755" t="s">
        <v>14063</v>
      </c>
      <c r="AS755" t="s">
        <v>14064</v>
      </c>
      <c r="AT755" t="s">
        <v>74</v>
      </c>
      <c r="AU755">
        <v>2012</v>
      </c>
      <c r="AV755">
        <v>58</v>
      </c>
      <c r="AW755">
        <v>5</v>
      </c>
      <c r="AX755" t="s">
        <v>74</v>
      </c>
      <c r="AY755" t="s">
        <v>74</v>
      </c>
      <c r="AZ755" t="s">
        <v>74</v>
      </c>
      <c r="BA755" t="s">
        <v>74</v>
      </c>
      <c r="BB755">
        <v>387</v>
      </c>
      <c r="BC755">
        <v>395</v>
      </c>
      <c r="BD755" t="s">
        <v>74</v>
      </c>
      <c r="BE755" t="s">
        <v>14065</v>
      </c>
      <c r="BF755" t="str">
        <f>HYPERLINK("http://dx.doi.org/10.2323/jgam.58.387","http://dx.doi.org/10.2323/jgam.58.387")</f>
        <v>http://dx.doi.org/10.2323/jgam.58.387</v>
      </c>
      <c r="BG755" t="s">
        <v>74</v>
      </c>
      <c r="BH755" t="s">
        <v>74</v>
      </c>
      <c r="BI755">
        <v>9</v>
      </c>
      <c r="BJ755" t="s">
        <v>4425</v>
      </c>
      <c r="BK755" t="s">
        <v>99</v>
      </c>
      <c r="BL755" t="s">
        <v>4425</v>
      </c>
      <c r="BM755" t="s">
        <v>14066</v>
      </c>
      <c r="BN755">
        <v>23149684</v>
      </c>
      <c r="BO755" t="s">
        <v>217</v>
      </c>
      <c r="BP755" t="s">
        <v>74</v>
      </c>
      <c r="BQ755" t="s">
        <v>74</v>
      </c>
      <c r="BR755" t="s">
        <v>101</v>
      </c>
      <c r="BS755" t="s">
        <v>14067</v>
      </c>
      <c r="BT755" t="str">
        <f>HYPERLINK("https%3A%2F%2Fwww.webofscience.com%2Fwos%2Fwoscc%2Ffull-record%2FWOS:000312373000006","View Full Record in Web of Science")</f>
        <v>View Full Record in Web of Science</v>
      </c>
    </row>
    <row r="756" spans="1:72" x14ac:dyDescent="0.15">
      <c r="A756" t="s">
        <v>12086</v>
      </c>
      <c r="B756" t="s">
        <v>14068</v>
      </c>
      <c r="C756" t="s">
        <v>74</v>
      </c>
      <c r="D756" t="s">
        <v>14069</v>
      </c>
      <c r="E756" t="s">
        <v>74</v>
      </c>
      <c r="F756" t="s">
        <v>14070</v>
      </c>
      <c r="G756" t="s">
        <v>74</v>
      </c>
      <c r="H756" t="s">
        <v>74</v>
      </c>
      <c r="I756" t="s">
        <v>14071</v>
      </c>
      <c r="J756" t="s">
        <v>14072</v>
      </c>
      <c r="K756" t="s">
        <v>13513</v>
      </c>
      <c r="L756" t="s">
        <v>74</v>
      </c>
      <c r="M756" t="s">
        <v>78</v>
      </c>
      <c r="N756" t="s">
        <v>12093</v>
      </c>
      <c r="O756" t="s">
        <v>14073</v>
      </c>
      <c r="P756" t="s">
        <v>14074</v>
      </c>
      <c r="Q756" t="s">
        <v>14075</v>
      </c>
      <c r="R756" t="s">
        <v>74</v>
      </c>
      <c r="S756" t="s">
        <v>14076</v>
      </c>
      <c r="T756" t="s">
        <v>14077</v>
      </c>
      <c r="U756" t="s">
        <v>74</v>
      </c>
      <c r="V756" t="s">
        <v>14078</v>
      </c>
      <c r="W756" t="s">
        <v>14079</v>
      </c>
      <c r="X756" t="s">
        <v>14080</v>
      </c>
      <c r="Y756" t="s">
        <v>14081</v>
      </c>
      <c r="Z756" t="s">
        <v>14082</v>
      </c>
      <c r="AA756" t="s">
        <v>14083</v>
      </c>
      <c r="AB756" t="s">
        <v>14084</v>
      </c>
      <c r="AC756" t="s">
        <v>74</v>
      </c>
      <c r="AD756" t="s">
        <v>74</v>
      </c>
      <c r="AE756" t="s">
        <v>74</v>
      </c>
      <c r="AF756" t="s">
        <v>74</v>
      </c>
      <c r="AG756">
        <v>11</v>
      </c>
      <c r="AH756">
        <v>0</v>
      </c>
      <c r="AI756">
        <v>0</v>
      </c>
      <c r="AJ756">
        <v>0</v>
      </c>
      <c r="AK756">
        <v>0</v>
      </c>
      <c r="AL756" t="s">
        <v>13524</v>
      </c>
      <c r="AM756" t="s">
        <v>13525</v>
      </c>
      <c r="AN756" t="s">
        <v>13526</v>
      </c>
      <c r="AO756" t="s">
        <v>13527</v>
      </c>
      <c r="AP756" t="s">
        <v>74</v>
      </c>
      <c r="AQ756" t="s">
        <v>14085</v>
      </c>
      <c r="AR756" t="s">
        <v>13529</v>
      </c>
      <c r="AS756" t="s">
        <v>74</v>
      </c>
      <c r="AT756" t="s">
        <v>74</v>
      </c>
      <c r="AU756">
        <v>2012</v>
      </c>
      <c r="AV756">
        <v>1484</v>
      </c>
      <c r="AW756" t="s">
        <v>74</v>
      </c>
      <c r="AX756" t="s">
        <v>74</v>
      </c>
      <c r="AY756" t="s">
        <v>74</v>
      </c>
      <c r="AZ756" t="s">
        <v>74</v>
      </c>
      <c r="BA756" t="s">
        <v>74</v>
      </c>
      <c r="BB756">
        <v>390</v>
      </c>
      <c r="BC756">
        <v>393</v>
      </c>
      <c r="BD756" t="s">
        <v>74</v>
      </c>
      <c r="BE756" t="s">
        <v>14086</v>
      </c>
      <c r="BF756" t="str">
        <f>HYPERLINK("http://dx.doi.org/10.1063/1.4763430","http://dx.doi.org/10.1063/1.4763430")</f>
        <v>http://dx.doi.org/10.1063/1.4763430</v>
      </c>
      <c r="BG756" t="s">
        <v>74</v>
      </c>
      <c r="BH756" t="s">
        <v>74</v>
      </c>
      <c r="BI756">
        <v>4</v>
      </c>
      <c r="BJ756" t="s">
        <v>438</v>
      </c>
      <c r="BK756" t="s">
        <v>12109</v>
      </c>
      <c r="BL756" t="s">
        <v>438</v>
      </c>
      <c r="BM756" t="s">
        <v>14087</v>
      </c>
      <c r="BN756" t="s">
        <v>74</v>
      </c>
      <c r="BO756" t="s">
        <v>74</v>
      </c>
      <c r="BP756" t="s">
        <v>74</v>
      </c>
      <c r="BQ756" t="s">
        <v>74</v>
      </c>
      <c r="BR756" t="s">
        <v>101</v>
      </c>
      <c r="BS756" t="s">
        <v>14088</v>
      </c>
      <c r="BT756" t="str">
        <f>HYPERLINK("https%3A%2F%2Fwww.webofscience.com%2Fwos%2Fwoscc%2Ffull-record%2FWOS:000312157700067","View Full Record in Web of Science")</f>
        <v>View Full Record in Web of Science</v>
      </c>
    </row>
    <row r="757" spans="1:72" x14ac:dyDescent="0.15">
      <c r="A757" t="s">
        <v>12086</v>
      </c>
      <c r="B757" t="s">
        <v>14089</v>
      </c>
      <c r="C757" t="s">
        <v>74</v>
      </c>
      <c r="D757" t="s">
        <v>14069</v>
      </c>
      <c r="E757" t="s">
        <v>74</v>
      </c>
      <c r="F757" t="s">
        <v>14090</v>
      </c>
      <c r="G757" t="s">
        <v>74</v>
      </c>
      <c r="H757" t="s">
        <v>74</v>
      </c>
      <c r="I757" t="s">
        <v>14091</v>
      </c>
      <c r="J757" t="s">
        <v>14072</v>
      </c>
      <c r="K757" t="s">
        <v>13513</v>
      </c>
      <c r="L757" t="s">
        <v>74</v>
      </c>
      <c r="M757" t="s">
        <v>78</v>
      </c>
      <c r="N757" t="s">
        <v>12093</v>
      </c>
      <c r="O757" t="s">
        <v>14073</v>
      </c>
      <c r="P757" t="s">
        <v>14074</v>
      </c>
      <c r="Q757" t="s">
        <v>14075</v>
      </c>
      <c r="R757" t="s">
        <v>74</v>
      </c>
      <c r="S757" t="s">
        <v>14076</v>
      </c>
      <c r="T757" t="s">
        <v>14092</v>
      </c>
      <c r="U757" t="s">
        <v>74</v>
      </c>
      <c r="V757" t="s">
        <v>14093</v>
      </c>
      <c r="W757" t="s">
        <v>14094</v>
      </c>
      <c r="X757" t="s">
        <v>14080</v>
      </c>
      <c r="Y757" t="s">
        <v>14095</v>
      </c>
      <c r="Z757" t="s">
        <v>14096</v>
      </c>
      <c r="AA757" t="s">
        <v>14083</v>
      </c>
      <c r="AB757" t="s">
        <v>14084</v>
      </c>
      <c r="AC757" t="s">
        <v>14097</v>
      </c>
      <c r="AD757" t="s">
        <v>14098</v>
      </c>
      <c r="AE757" t="s">
        <v>14099</v>
      </c>
      <c r="AF757" t="s">
        <v>74</v>
      </c>
      <c r="AG757">
        <v>5</v>
      </c>
      <c r="AH757">
        <v>0</v>
      </c>
      <c r="AI757">
        <v>0</v>
      </c>
      <c r="AJ757">
        <v>0</v>
      </c>
      <c r="AK757">
        <v>2</v>
      </c>
      <c r="AL757" t="s">
        <v>13524</v>
      </c>
      <c r="AM757" t="s">
        <v>13525</v>
      </c>
      <c r="AN757" t="s">
        <v>13526</v>
      </c>
      <c r="AO757" t="s">
        <v>13527</v>
      </c>
      <c r="AP757" t="s">
        <v>74</v>
      </c>
      <c r="AQ757" t="s">
        <v>14085</v>
      </c>
      <c r="AR757" t="s">
        <v>13529</v>
      </c>
      <c r="AS757" t="s">
        <v>74</v>
      </c>
      <c r="AT757" t="s">
        <v>74</v>
      </c>
      <c r="AU757">
        <v>2012</v>
      </c>
      <c r="AV757">
        <v>1484</v>
      </c>
      <c r="AW757" t="s">
        <v>74</v>
      </c>
      <c r="AX757" t="s">
        <v>74</v>
      </c>
      <c r="AY757" t="s">
        <v>74</v>
      </c>
      <c r="AZ757" t="s">
        <v>74</v>
      </c>
      <c r="BA757" t="s">
        <v>74</v>
      </c>
      <c r="BB757">
        <v>409</v>
      </c>
      <c r="BC757">
        <v>411</v>
      </c>
      <c r="BD757" t="s">
        <v>74</v>
      </c>
      <c r="BE757" t="s">
        <v>14100</v>
      </c>
      <c r="BF757" t="str">
        <f>HYPERLINK("http://dx.doi.org/10.1063/1.4763436","http://dx.doi.org/10.1063/1.4763436")</f>
        <v>http://dx.doi.org/10.1063/1.4763436</v>
      </c>
      <c r="BG757" t="s">
        <v>74</v>
      </c>
      <c r="BH757" t="s">
        <v>74</v>
      </c>
      <c r="BI757">
        <v>3</v>
      </c>
      <c r="BJ757" t="s">
        <v>438</v>
      </c>
      <c r="BK757" t="s">
        <v>12109</v>
      </c>
      <c r="BL757" t="s">
        <v>438</v>
      </c>
      <c r="BM757" t="s">
        <v>14087</v>
      </c>
      <c r="BN757" t="s">
        <v>74</v>
      </c>
      <c r="BO757" t="s">
        <v>74</v>
      </c>
      <c r="BP757" t="s">
        <v>74</v>
      </c>
      <c r="BQ757" t="s">
        <v>74</v>
      </c>
      <c r="BR757" t="s">
        <v>101</v>
      </c>
      <c r="BS757" t="s">
        <v>14101</v>
      </c>
      <c r="BT757" t="str">
        <f>HYPERLINK("https%3A%2F%2Fwww.webofscience.com%2Fwos%2Fwoscc%2Ffull-record%2FWOS:000312157700073","View Full Record in Web of Science")</f>
        <v>View Full Record in Web of Science</v>
      </c>
    </row>
    <row r="758" spans="1:72" x14ac:dyDescent="0.15">
      <c r="A758" t="s">
        <v>72</v>
      </c>
      <c r="B758" t="s">
        <v>14102</v>
      </c>
      <c r="C758" t="s">
        <v>74</v>
      </c>
      <c r="D758" t="s">
        <v>74</v>
      </c>
      <c r="E758" t="s">
        <v>74</v>
      </c>
      <c r="F758" t="s">
        <v>14103</v>
      </c>
      <c r="G758" t="s">
        <v>74</v>
      </c>
      <c r="H758" t="s">
        <v>74</v>
      </c>
      <c r="I758" t="s">
        <v>14104</v>
      </c>
      <c r="J758" t="s">
        <v>14105</v>
      </c>
      <c r="K758" t="s">
        <v>74</v>
      </c>
      <c r="L758" t="s">
        <v>74</v>
      </c>
      <c r="M758" t="s">
        <v>78</v>
      </c>
      <c r="N758" t="s">
        <v>79</v>
      </c>
      <c r="O758" t="s">
        <v>74</v>
      </c>
      <c r="P758" t="s">
        <v>74</v>
      </c>
      <c r="Q758" t="s">
        <v>74</v>
      </c>
      <c r="R758" t="s">
        <v>74</v>
      </c>
      <c r="S758" t="s">
        <v>74</v>
      </c>
      <c r="T758" t="s">
        <v>14106</v>
      </c>
      <c r="U758" t="s">
        <v>14107</v>
      </c>
      <c r="V758" t="s">
        <v>14108</v>
      </c>
      <c r="W758" t="s">
        <v>14109</v>
      </c>
      <c r="X758" t="s">
        <v>14110</v>
      </c>
      <c r="Y758" t="s">
        <v>14111</v>
      </c>
      <c r="Z758" t="s">
        <v>14112</v>
      </c>
      <c r="AA758" t="s">
        <v>74</v>
      </c>
      <c r="AB758" t="s">
        <v>14113</v>
      </c>
      <c r="AC758" t="s">
        <v>74</v>
      </c>
      <c r="AD758" t="s">
        <v>74</v>
      </c>
      <c r="AE758" t="s">
        <v>74</v>
      </c>
      <c r="AF758" t="s">
        <v>74</v>
      </c>
      <c r="AG758">
        <v>31</v>
      </c>
      <c r="AH758">
        <v>15</v>
      </c>
      <c r="AI758">
        <v>16</v>
      </c>
      <c r="AJ758">
        <v>0</v>
      </c>
      <c r="AK758">
        <v>6</v>
      </c>
      <c r="AL758" t="s">
        <v>14114</v>
      </c>
      <c r="AM758" t="s">
        <v>604</v>
      </c>
      <c r="AN758" t="s">
        <v>14115</v>
      </c>
      <c r="AO758" t="s">
        <v>14116</v>
      </c>
      <c r="AP758" t="s">
        <v>74</v>
      </c>
      <c r="AQ758" t="s">
        <v>74</v>
      </c>
      <c r="AR758" t="s">
        <v>14117</v>
      </c>
      <c r="AS758" t="s">
        <v>14118</v>
      </c>
      <c r="AT758" t="s">
        <v>74</v>
      </c>
      <c r="AU758">
        <v>2012</v>
      </c>
      <c r="AV758">
        <v>64</v>
      </c>
      <c r="AW758">
        <v>11</v>
      </c>
      <c r="AX758" t="s">
        <v>74</v>
      </c>
      <c r="AY758" t="s">
        <v>74</v>
      </c>
      <c r="AZ758" t="s">
        <v>74</v>
      </c>
      <c r="BA758" t="s">
        <v>74</v>
      </c>
      <c r="BB758">
        <v>1023</v>
      </c>
      <c r="BC758">
        <v>1031</v>
      </c>
      <c r="BD758" t="s">
        <v>74</v>
      </c>
      <c r="BE758" t="s">
        <v>14119</v>
      </c>
      <c r="BF758" t="str">
        <f>HYPERLINK("http://dx.doi.org/10.5047/eps.2012.04.007","http://dx.doi.org/10.5047/eps.2012.04.007")</f>
        <v>http://dx.doi.org/10.5047/eps.2012.04.007</v>
      </c>
      <c r="BG758" t="s">
        <v>74</v>
      </c>
      <c r="BH758" t="s">
        <v>74</v>
      </c>
      <c r="BI758">
        <v>9</v>
      </c>
      <c r="BJ758" t="s">
        <v>194</v>
      </c>
      <c r="BK758" t="s">
        <v>99</v>
      </c>
      <c r="BL758" t="s">
        <v>195</v>
      </c>
      <c r="BM758" t="s">
        <v>14120</v>
      </c>
      <c r="BN758" t="s">
        <v>74</v>
      </c>
      <c r="BO758" t="s">
        <v>1094</v>
      </c>
      <c r="BP758" t="s">
        <v>74</v>
      </c>
      <c r="BQ758" t="s">
        <v>74</v>
      </c>
      <c r="BR758" t="s">
        <v>101</v>
      </c>
      <c r="BS758" t="s">
        <v>14121</v>
      </c>
      <c r="BT758" t="str">
        <f>HYPERLINK("https%3A%2F%2Fwww.webofscience.com%2Fwos%2Fwoscc%2Ffull-record%2FWOS:000312004000004","View Full Record in Web of Science")</f>
        <v>View Full Record in Web of Science</v>
      </c>
    </row>
    <row r="759" spans="1:72" x14ac:dyDescent="0.15">
      <c r="A759" t="s">
        <v>12256</v>
      </c>
      <c r="B759" t="s">
        <v>14122</v>
      </c>
      <c r="C759" t="s">
        <v>14122</v>
      </c>
      <c r="D759" t="s">
        <v>74</v>
      </c>
      <c r="E759" t="s">
        <v>74</v>
      </c>
      <c r="F759" t="s">
        <v>14123</v>
      </c>
      <c r="G759" t="s">
        <v>14122</v>
      </c>
      <c r="H759" t="s">
        <v>74</v>
      </c>
      <c r="I759" t="s">
        <v>14124</v>
      </c>
      <c r="J759" t="s">
        <v>14125</v>
      </c>
      <c r="K759" t="s">
        <v>74</v>
      </c>
      <c r="L759" t="s">
        <v>74</v>
      </c>
      <c r="M759" t="s">
        <v>78</v>
      </c>
      <c r="N759" t="s">
        <v>12141</v>
      </c>
      <c r="O759" t="s">
        <v>74</v>
      </c>
      <c r="P759" t="s">
        <v>74</v>
      </c>
      <c r="Q759" t="s">
        <v>74</v>
      </c>
      <c r="R759" t="s">
        <v>74</v>
      </c>
      <c r="S759" t="s">
        <v>74</v>
      </c>
      <c r="T759" t="s">
        <v>74</v>
      </c>
      <c r="U759" t="s">
        <v>74</v>
      </c>
      <c r="V759" t="s">
        <v>74</v>
      </c>
      <c r="W759" t="s">
        <v>14126</v>
      </c>
      <c r="X759" t="s">
        <v>14127</v>
      </c>
      <c r="Y759" t="s">
        <v>14128</v>
      </c>
      <c r="Z759" t="s">
        <v>74</v>
      </c>
      <c r="AA759" t="s">
        <v>14129</v>
      </c>
      <c r="AB759" t="s">
        <v>14130</v>
      </c>
      <c r="AC759" t="s">
        <v>74</v>
      </c>
      <c r="AD759" t="s">
        <v>74</v>
      </c>
      <c r="AE759" t="s">
        <v>74</v>
      </c>
      <c r="AF759" t="s">
        <v>74</v>
      </c>
      <c r="AG759">
        <v>34</v>
      </c>
      <c r="AH759">
        <v>0</v>
      </c>
      <c r="AI759">
        <v>0</v>
      </c>
      <c r="AJ759">
        <v>0</v>
      </c>
      <c r="AK759">
        <v>3</v>
      </c>
      <c r="AL759" t="s">
        <v>14131</v>
      </c>
      <c r="AM759" t="s">
        <v>14132</v>
      </c>
      <c r="AN759" t="s">
        <v>14133</v>
      </c>
      <c r="AO759" t="s">
        <v>74</v>
      </c>
      <c r="AP759" t="s">
        <v>74</v>
      </c>
      <c r="AQ759" t="s">
        <v>14134</v>
      </c>
      <c r="AR759" t="s">
        <v>74</v>
      </c>
      <c r="AS759" t="s">
        <v>74</v>
      </c>
      <c r="AT759" t="s">
        <v>74</v>
      </c>
      <c r="AU759">
        <v>2012</v>
      </c>
      <c r="AV759" t="s">
        <v>74</v>
      </c>
      <c r="AW759" t="s">
        <v>74</v>
      </c>
      <c r="AX759" t="s">
        <v>74</v>
      </c>
      <c r="AY759" t="s">
        <v>74</v>
      </c>
      <c r="AZ759" t="s">
        <v>74</v>
      </c>
      <c r="BA759" t="s">
        <v>74</v>
      </c>
      <c r="BB759">
        <v>128</v>
      </c>
      <c r="BC759">
        <v>176</v>
      </c>
      <c r="BD759" t="s">
        <v>74</v>
      </c>
      <c r="BE759" t="s">
        <v>74</v>
      </c>
      <c r="BF759" t="s">
        <v>74</v>
      </c>
      <c r="BG759" t="s">
        <v>74</v>
      </c>
      <c r="BH759" t="s">
        <v>74</v>
      </c>
      <c r="BI759">
        <v>49</v>
      </c>
      <c r="BJ759" t="s">
        <v>14135</v>
      </c>
      <c r="BK759" t="s">
        <v>12661</v>
      </c>
      <c r="BL759" t="s">
        <v>14136</v>
      </c>
      <c r="BM759" t="s">
        <v>14137</v>
      </c>
      <c r="BN759" t="s">
        <v>74</v>
      </c>
      <c r="BO759" t="s">
        <v>74</v>
      </c>
      <c r="BP759" t="s">
        <v>74</v>
      </c>
      <c r="BQ759" t="s">
        <v>74</v>
      </c>
      <c r="BR759" t="s">
        <v>101</v>
      </c>
      <c r="BS759" t="s">
        <v>14138</v>
      </c>
      <c r="BT759" t="str">
        <f>HYPERLINK("https%3A%2F%2Fwww.webofscience.com%2Fwos%2Fwoscc%2Ffull-record%2FWOS:000310444700006","View Full Record in Web of Science")</f>
        <v>View Full Record in Web of Science</v>
      </c>
    </row>
    <row r="760" spans="1:72" x14ac:dyDescent="0.15">
      <c r="A760" t="s">
        <v>12134</v>
      </c>
      <c r="B760" t="s">
        <v>14139</v>
      </c>
      <c r="C760" t="s">
        <v>74</v>
      </c>
      <c r="D760" t="s">
        <v>14140</v>
      </c>
      <c r="E760" t="s">
        <v>74</v>
      </c>
      <c r="F760" t="s">
        <v>14141</v>
      </c>
      <c r="G760" t="s">
        <v>74</v>
      </c>
      <c r="H760" t="s">
        <v>74</v>
      </c>
      <c r="I760" t="s">
        <v>14142</v>
      </c>
      <c r="J760" t="s">
        <v>14143</v>
      </c>
      <c r="K760" t="s">
        <v>14144</v>
      </c>
      <c r="L760" t="s">
        <v>74</v>
      </c>
      <c r="M760" t="s">
        <v>78</v>
      </c>
      <c r="N760" t="s">
        <v>12141</v>
      </c>
      <c r="O760" t="s">
        <v>74</v>
      </c>
      <c r="P760" t="s">
        <v>74</v>
      </c>
      <c r="Q760" t="s">
        <v>74</v>
      </c>
      <c r="R760" t="s">
        <v>74</v>
      </c>
      <c r="S760" t="s">
        <v>74</v>
      </c>
      <c r="T760" t="s">
        <v>74</v>
      </c>
      <c r="U760" t="s">
        <v>14145</v>
      </c>
      <c r="V760" t="s">
        <v>14146</v>
      </c>
      <c r="W760" t="s">
        <v>14147</v>
      </c>
      <c r="X760" t="s">
        <v>14148</v>
      </c>
      <c r="Y760" t="s">
        <v>14149</v>
      </c>
      <c r="Z760" t="s">
        <v>14150</v>
      </c>
      <c r="AA760" t="s">
        <v>14151</v>
      </c>
      <c r="AB760" t="s">
        <v>14152</v>
      </c>
      <c r="AC760" t="s">
        <v>74</v>
      </c>
      <c r="AD760" t="s">
        <v>74</v>
      </c>
      <c r="AE760" t="s">
        <v>74</v>
      </c>
      <c r="AF760" t="s">
        <v>74</v>
      </c>
      <c r="AG760">
        <v>325</v>
      </c>
      <c r="AH760">
        <v>27</v>
      </c>
      <c r="AI760">
        <v>28</v>
      </c>
      <c r="AJ760">
        <v>1</v>
      </c>
      <c r="AK760">
        <v>115</v>
      </c>
      <c r="AL760" t="s">
        <v>14153</v>
      </c>
      <c r="AM760" t="s">
        <v>14154</v>
      </c>
      <c r="AN760" t="s">
        <v>14155</v>
      </c>
      <c r="AO760" t="s">
        <v>14156</v>
      </c>
      <c r="AP760" t="s">
        <v>74</v>
      </c>
      <c r="AQ760" t="s">
        <v>14157</v>
      </c>
      <c r="AR760" t="s">
        <v>14158</v>
      </c>
      <c r="AS760" t="s">
        <v>14159</v>
      </c>
      <c r="AT760" t="s">
        <v>74</v>
      </c>
      <c r="AU760">
        <v>2012</v>
      </c>
      <c r="AV760">
        <v>50</v>
      </c>
      <c r="AW760" t="s">
        <v>74</v>
      </c>
      <c r="AX760" t="s">
        <v>74</v>
      </c>
      <c r="AY760" t="s">
        <v>74</v>
      </c>
      <c r="AZ760" t="s">
        <v>74</v>
      </c>
      <c r="BA760" t="s">
        <v>74</v>
      </c>
      <c r="BB760">
        <v>1</v>
      </c>
      <c r="BC760">
        <v>63</v>
      </c>
      <c r="BD760" t="s">
        <v>74</v>
      </c>
      <c r="BE760" t="s">
        <v>74</v>
      </c>
      <c r="BF760" t="s">
        <v>74</v>
      </c>
      <c r="BG760" t="s">
        <v>14160</v>
      </c>
      <c r="BH760" t="s">
        <v>74</v>
      </c>
      <c r="BI760">
        <v>63</v>
      </c>
      <c r="BJ760" t="s">
        <v>636</v>
      </c>
      <c r="BK760" t="s">
        <v>12490</v>
      </c>
      <c r="BL760" t="s">
        <v>636</v>
      </c>
      <c r="BM760" t="s">
        <v>14161</v>
      </c>
      <c r="BN760" t="s">
        <v>74</v>
      </c>
      <c r="BO760" t="s">
        <v>74</v>
      </c>
      <c r="BP760" t="s">
        <v>74</v>
      </c>
      <c r="BQ760" t="s">
        <v>74</v>
      </c>
      <c r="BR760" t="s">
        <v>101</v>
      </c>
      <c r="BS760" t="s">
        <v>14162</v>
      </c>
      <c r="BT760" t="str">
        <f>HYPERLINK("https%3A%2F%2Fwww.webofscience.com%2Fwos%2Fwoscc%2Ffull-record%2FWOS:000309143700001","View Full Record in Web of Science")</f>
        <v>View Full Record in Web of Science</v>
      </c>
    </row>
    <row r="761" spans="1:72" x14ac:dyDescent="0.15">
      <c r="A761" t="s">
        <v>72</v>
      </c>
      <c r="B761" t="s">
        <v>14163</v>
      </c>
      <c r="C761" t="s">
        <v>74</v>
      </c>
      <c r="D761" t="s">
        <v>74</v>
      </c>
      <c r="E761" t="s">
        <v>74</v>
      </c>
      <c r="F761" t="s">
        <v>14164</v>
      </c>
      <c r="G761" t="s">
        <v>74</v>
      </c>
      <c r="H761" t="s">
        <v>74</v>
      </c>
      <c r="I761" t="s">
        <v>14165</v>
      </c>
      <c r="J761" t="s">
        <v>13777</v>
      </c>
      <c r="K761" t="s">
        <v>74</v>
      </c>
      <c r="L761" t="s">
        <v>74</v>
      </c>
      <c r="M761" t="s">
        <v>78</v>
      </c>
      <c r="N761" t="s">
        <v>79</v>
      </c>
      <c r="O761" t="s">
        <v>74</v>
      </c>
      <c r="P761" t="s">
        <v>74</v>
      </c>
      <c r="Q761" t="s">
        <v>74</v>
      </c>
      <c r="R761" t="s">
        <v>74</v>
      </c>
      <c r="S761" t="s">
        <v>74</v>
      </c>
      <c r="T761" t="s">
        <v>14166</v>
      </c>
      <c r="U761" t="s">
        <v>14167</v>
      </c>
      <c r="V761" t="s">
        <v>14168</v>
      </c>
      <c r="W761" t="s">
        <v>74</v>
      </c>
      <c r="X761" t="s">
        <v>74</v>
      </c>
      <c r="Y761" t="s">
        <v>14169</v>
      </c>
      <c r="Z761" t="s">
        <v>14170</v>
      </c>
      <c r="AA761" t="s">
        <v>14171</v>
      </c>
      <c r="AB761" t="s">
        <v>14172</v>
      </c>
      <c r="AC761" t="s">
        <v>14173</v>
      </c>
      <c r="AD761" t="s">
        <v>14174</v>
      </c>
      <c r="AE761" t="s">
        <v>14175</v>
      </c>
      <c r="AF761" t="s">
        <v>74</v>
      </c>
      <c r="AG761">
        <v>28</v>
      </c>
      <c r="AH761">
        <v>2</v>
      </c>
      <c r="AI761">
        <v>2</v>
      </c>
      <c r="AJ761">
        <v>0</v>
      </c>
      <c r="AK761">
        <v>4</v>
      </c>
      <c r="AL761" t="s">
        <v>14176</v>
      </c>
      <c r="AM761" t="s">
        <v>13786</v>
      </c>
      <c r="AN761" t="s">
        <v>14177</v>
      </c>
      <c r="AO761" t="s">
        <v>13788</v>
      </c>
      <c r="AP761" t="s">
        <v>74</v>
      </c>
      <c r="AQ761" t="s">
        <v>74</v>
      </c>
      <c r="AR761" t="s">
        <v>13777</v>
      </c>
      <c r="AS761" t="s">
        <v>13790</v>
      </c>
      <c r="AT761" t="s">
        <v>74</v>
      </c>
      <c r="AU761">
        <v>2012</v>
      </c>
      <c r="AV761" t="s">
        <v>74</v>
      </c>
      <c r="AW761">
        <v>235</v>
      </c>
      <c r="AX761" t="s">
        <v>74</v>
      </c>
      <c r="AY761" t="s">
        <v>74</v>
      </c>
      <c r="AZ761" t="s">
        <v>74</v>
      </c>
      <c r="BA761" t="s">
        <v>74</v>
      </c>
      <c r="BB761">
        <v>73</v>
      </c>
      <c r="BC761">
        <v>85</v>
      </c>
      <c r="BD761" t="s">
        <v>74</v>
      </c>
      <c r="BE761" t="s">
        <v>14178</v>
      </c>
      <c r="BF761" t="str">
        <f>HYPERLINK("http://dx.doi.org/10.3897/zookeys.235.4027","http://dx.doi.org/10.3897/zookeys.235.4027")</f>
        <v>http://dx.doi.org/10.3897/zookeys.235.4027</v>
      </c>
      <c r="BG761" t="s">
        <v>74</v>
      </c>
      <c r="BH761" t="s">
        <v>74</v>
      </c>
      <c r="BI761">
        <v>13</v>
      </c>
      <c r="BJ761" t="s">
        <v>98</v>
      </c>
      <c r="BK761" t="s">
        <v>99</v>
      </c>
      <c r="BL761" t="s">
        <v>98</v>
      </c>
      <c r="BM761" t="s">
        <v>14179</v>
      </c>
      <c r="BN761">
        <v>23226964</v>
      </c>
      <c r="BO761" t="s">
        <v>6474</v>
      </c>
      <c r="BP761" t="s">
        <v>74</v>
      </c>
      <c r="BQ761" t="s">
        <v>74</v>
      </c>
      <c r="BR761" t="s">
        <v>101</v>
      </c>
      <c r="BS761" t="s">
        <v>14180</v>
      </c>
      <c r="BT761" t="str">
        <f>HYPERLINK("https%3A%2F%2Fwww.webofscience.com%2Fwos%2Fwoscc%2Ffull-record%2FWOS:000311869100005","View Full Record in Web of Science")</f>
        <v>View Full Record in Web of Science</v>
      </c>
    </row>
    <row r="762" spans="1:72" x14ac:dyDescent="0.15">
      <c r="A762" t="s">
        <v>12256</v>
      </c>
      <c r="B762" t="s">
        <v>14181</v>
      </c>
      <c r="C762" t="s">
        <v>74</v>
      </c>
      <c r="D762" t="s">
        <v>14182</v>
      </c>
      <c r="E762" t="s">
        <v>74</v>
      </c>
      <c r="F762" t="s">
        <v>14183</v>
      </c>
      <c r="G762" t="s">
        <v>74</v>
      </c>
      <c r="H762" t="s">
        <v>74</v>
      </c>
      <c r="I762" t="s">
        <v>14184</v>
      </c>
      <c r="J762" t="s">
        <v>14185</v>
      </c>
      <c r="K762" t="s">
        <v>14186</v>
      </c>
      <c r="L762" t="s">
        <v>74</v>
      </c>
      <c r="M762" t="s">
        <v>78</v>
      </c>
      <c r="N762" t="s">
        <v>12141</v>
      </c>
      <c r="O762" t="s">
        <v>74</v>
      </c>
      <c r="P762" t="s">
        <v>74</v>
      </c>
      <c r="Q762" t="s">
        <v>74</v>
      </c>
      <c r="R762" t="s">
        <v>74</v>
      </c>
      <c r="S762" t="s">
        <v>74</v>
      </c>
      <c r="T762" t="s">
        <v>74</v>
      </c>
      <c r="U762" t="s">
        <v>14187</v>
      </c>
      <c r="V762" t="s">
        <v>74</v>
      </c>
      <c r="W762" t="s">
        <v>14188</v>
      </c>
      <c r="X762" t="s">
        <v>14189</v>
      </c>
      <c r="Y762" t="s">
        <v>14190</v>
      </c>
      <c r="Z762" t="s">
        <v>14191</v>
      </c>
      <c r="AA762" t="s">
        <v>14192</v>
      </c>
      <c r="AB762" t="s">
        <v>14193</v>
      </c>
      <c r="AC762" t="s">
        <v>74</v>
      </c>
      <c r="AD762" t="s">
        <v>74</v>
      </c>
      <c r="AE762" t="s">
        <v>74</v>
      </c>
      <c r="AF762" t="s">
        <v>74</v>
      </c>
      <c r="AG762">
        <v>121</v>
      </c>
      <c r="AH762">
        <v>0</v>
      </c>
      <c r="AI762">
        <v>0</v>
      </c>
      <c r="AJ762">
        <v>0</v>
      </c>
      <c r="AK762">
        <v>15</v>
      </c>
      <c r="AL762" t="s">
        <v>13586</v>
      </c>
      <c r="AM762" t="s">
        <v>13587</v>
      </c>
      <c r="AN762" t="s">
        <v>13588</v>
      </c>
      <c r="AO762" t="s">
        <v>74</v>
      </c>
      <c r="AP762" t="s">
        <v>74</v>
      </c>
      <c r="AQ762" t="s">
        <v>14194</v>
      </c>
      <c r="AR762" t="s">
        <v>14195</v>
      </c>
      <c r="AS762" t="s">
        <v>74</v>
      </c>
      <c r="AT762" t="s">
        <v>74</v>
      </c>
      <c r="AU762">
        <v>2012</v>
      </c>
      <c r="AV762">
        <v>3</v>
      </c>
      <c r="AW762" t="s">
        <v>74</v>
      </c>
      <c r="AX762" t="s">
        <v>74</v>
      </c>
      <c r="AY762" t="s">
        <v>74</v>
      </c>
      <c r="AZ762" t="s">
        <v>74</v>
      </c>
      <c r="BA762" t="s">
        <v>74</v>
      </c>
      <c r="BB762">
        <v>6</v>
      </c>
      <c r="BC762">
        <v>23</v>
      </c>
      <c r="BD762" t="s">
        <v>74</v>
      </c>
      <c r="BE762" t="s">
        <v>74</v>
      </c>
      <c r="BF762" t="s">
        <v>74</v>
      </c>
      <c r="BG762" t="s">
        <v>74</v>
      </c>
      <c r="BH762" t="s">
        <v>74</v>
      </c>
      <c r="BI762">
        <v>18</v>
      </c>
      <c r="BJ762" t="s">
        <v>1258</v>
      </c>
      <c r="BK762" t="s">
        <v>12155</v>
      </c>
      <c r="BL762" t="s">
        <v>1259</v>
      </c>
      <c r="BM762" t="s">
        <v>14196</v>
      </c>
      <c r="BN762" t="s">
        <v>74</v>
      </c>
      <c r="BO762" t="s">
        <v>74</v>
      </c>
      <c r="BP762" t="s">
        <v>74</v>
      </c>
      <c r="BQ762" t="s">
        <v>74</v>
      </c>
      <c r="BR762" t="s">
        <v>101</v>
      </c>
      <c r="BS762" t="s">
        <v>14197</v>
      </c>
      <c r="BT762" t="str">
        <f>HYPERLINK("https%3A%2F%2Fwww.webofscience.com%2Fwos%2Fwoscc%2Ffull-record%2FWOS:000306076300002","View Full Record in Web of Science")</f>
        <v>View Full Record in Web of Science</v>
      </c>
    </row>
    <row r="763" spans="1:72" x14ac:dyDescent="0.15">
      <c r="A763" t="s">
        <v>12256</v>
      </c>
      <c r="B763" t="s">
        <v>14198</v>
      </c>
      <c r="C763" t="s">
        <v>74</v>
      </c>
      <c r="D763" t="s">
        <v>14182</v>
      </c>
      <c r="E763" t="s">
        <v>74</v>
      </c>
      <c r="F763" t="s">
        <v>14199</v>
      </c>
      <c r="G763" t="s">
        <v>74</v>
      </c>
      <c r="H763" t="s">
        <v>74</v>
      </c>
      <c r="I763" t="s">
        <v>14200</v>
      </c>
      <c r="J763" t="s">
        <v>14185</v>
      </c>
      <c r="K763" t="s">
        <v>14186</v>
      </c>
      <c r="L763" t="s">
        <v>74</v>
      </c>
      <c r="M763" t="s">
        <v>78</v>
      </c>
      <c r="N763" t="s">
        <v>12141</v>
      </c>
      <c r="O763" t="s">
        <v>74</v>
      </c>
      <c r="P763" t="s">
        <v>74</v>
      </c>
      <c r="Q763" t="s">
        <v>74</v>
      </c>
      <c r="R763" t="s">
        <v>74</v>
      </c>
      <c r="S763" t="s">
        <v>74</v>
      </c>
      <c r="T763" t="s">
        <v>74</v>
      </c>
      <c r="U763" t="s">
        <v>14201</v>
      </c>
      <c r="V763" t="s">
        <v>74</v>
      </c>
      <c r="W763" t="s">
        <v>14202</v>
      </c>
      <c r="X763" t="s">
        <v>5066</v>
      </c>
      <c r="Y763" t="s">
        <v>5067</v>
      </c>
      <c r="Z763" t="s">
        <v>14203</v>
      </c>
      <c r="AA763" t="s">
        <v>74</v>
      </c>
      <c r="AB763" t="s">
        <v>14204</v>
      </c>
      <c r="AC763" t="s">
        <v>74</v>
      </c>
      <c r="AD763" t="s">
        <v>74</v>
      </c>
      <c r="AE763" t="s">
        <v>74</v>
      </c>
      <c r="AF763" t="s">
        <v>74</v>
      </c>
      <c r="AG763">
        <v>124</v>
      </c>
      <c r="AH763">
        <v>2</v>
      </c>
      <c r="AI763">
        <v>2</v>
      </c>
      <c r="AJ763">
        <v>0</v>
      </c>
      <c r="AK763">
        <v>4</v>
      </c>
      <c r="AL763" t="s">
        <v>13586</v>
      </c>
      <c r="AM763" t="s">
        <v>13587</v>
      </c>
      <c r="AN763" t="s">
        <v>13588</v>
      </c>
      <c r="AO763" t="s">
        <v>74</v>
      </c>
      <c r="AP763" t="s">
        <v>74</v>
      </c>
      <c r="AQ763" t="s">
        <v>14194</v>
      </c>
      <c r="AR763" t="s">
        <v>14195</v>
      </c>
      <c r="AS763" t="s">
        <v>74</v>
      </c>
      <c r="AT763" t="s">
        <v>74</v>
      </c>
      <c r="AU763">
        <v>2012</v>
      </c>
      <c r="AV763">
        <v>3</v>
      </c>
      <c r="AW763" t="s">
        <v>74</v>
      </c>
      <c r="AX763" t="s">
        <v>74</v>
      </c>
      <c r="AY763" t="s">
        <v>74</v>
      </c>
      <c r="AZ763" t="s">
        <v>74</v>
      </c>
      <c r="BA763" t="s">
        <v>74</v>
      </c>
      <c r="BB763">
        <v>24</v>
      </c>
      <c r="BC763">
        <v>44</v>
      </c>
      <c r="BD763" t="s">
        <v>74</v>
      </c>
      <c r="BE763" t="s">
        <v>74</v>
      </c>
      <c r="BF763" t="s">
        <v>74</v>
      </c>
      <c r="BG763" t="s">
        <v>74</v>
      </c>
      <c r="BH763" t="s">
        <v>74</v>
      </c>
      <c r="BI763">
        <v>21</v>
      </c>
      <c r="BJ763" t="s">
        <v>1258</v>
      </c>
      <c r="BK763" t="s">
        <v>12155</v>
      </c>
      <c r="BL763" t="s">
        <v>1259</v>
      </c>
      <c r="BM763" t="s">
        <v>14196</v>
      </c>
      <c r="BN763" t="s">
        <v>74</v>
      </c>
      <c r="BO763" t="s">
        <v>74</v>
      </c>
      <c r="BP763" t="s">
        <v>74</v>
      </c>
      <c r="BQ763" t="s">
        <v>74</v>
      </c>
      <c r="BR763" t="s">
        <v>101</v>
      </c>
      <c r="BS763" t="s">
        <v>14205</v>
      </c>
      <c r="BT763" t="str">
        <f>HYPERLINK("https%3A%2F%2Fwww.webofscience.com%2Fwos%2Fwoscc%2Ffull-record%2FWOS:000306076300003","View Full Record in Web of Science")</f>
        <v>View Full Record in Web of Science</v>
      </c>
    </row>
    <row r="764" spans="1:72" x14ac:dyDescent="0.15">
      <c r="A764" t="s">
        <v>72</v>
      </c>
      <c r="B764" t="s">
        <v>14206</v>
      </c>
      <c r="C764" t="s">
        <v>74</v>
      </c>
      <c r="D764" t="s">
        <v>74</v>
      </c>
      <c r="E764" t="s">
        <v>74</v>
      </c>
      <c r="F764" t="s">
        <v>14207</v>
      </c>
      <c r="G764" t="s">
        <v>74</v>
      </c>
      <c r="H764" t="s">
        <v>74</v>
      </c>
      <c r="I764" t="s">
        <v>14208</v>
      </c>
      <c r="J764" t="s">
        <v>14209</v>
      </c>
      <c r="K764" t="s">
        <v>74</v>
      </c>
      <c r="L764" t="s">
        <v>74</v>
      </c>
      <c r="M764" t="s">
        <v>78</v>
      </c>
      <c r="N764" t="s">
        <v>79</v>
      </c>
      <c r="O764" t="s">
        <v>74</v>
      </c>
      <c r="P764" t="s">
        <v>74</v>
      </c>
      <c r="Q764" t="s">
        <v>74</v>
      </c>
      <c r="R764" t="s">
        <v>74</v>
      </c>
      <c r="S764" t="s">
        <v>74</v>
      </c>
      <c r="T764" t="s">
        <v>14210</v>
      </c>
      <c r="U764" t="s">
        <v>14211</v>
      </c>
      <c r="V764" t="s">
        <v>14212</v>
      </c>
      <c r="W764" t="s">
        <v>14213</v>
      </c>
      <c r="X764" t="s">
        <v>14214</v>
      </c>
      <c r="Y764" t="s">
        <v>14215</v>
      </c>
      <c r="Z764" t="s">
        <v>14216</v>
      </c>
      <c r="AA764" t="s">
        <v>74</v>
      </c>
      <c r="AB764" t="s">
        <v>74</v>
      </c>
      <c r="AC764" t="s">
        <v>74</v>
      </c>
      <c r="AD764" t="s">
        <v>74</v>
      </c>
      <c r="AE764" t="s">
        <v>74</v>
      </c>
      <c r="AF764" t="s">
        <v>74</v>
      </c>
      <c r="AG764">
        <v>41</v>
      </c>
      <c r="AH764">
        <v>10</v>
      </c>
      <c r="AI764">
        <v>10</v>
      </c>
      <c r="AJ764">
        <v>1</v>
      </c>
      <c r="AK764">
        <v>27</v>
      </c>
      <c r="AL764" t="s">
        <v>14217</v>
      </c>
      <c r="AM764" t="s">
        <v>14218</v>
      </c>
      <c r="AN764" t="s">
        <v>14219</v>
      </c>
      <c r="AO764" t="s">
        <v>14220</v>
      </c>
      <c r="AP764" t="s">
        <v>74</v>
      </c>
      <c r="AQ764" t="s">
        <v>74</v>
      </c>
      <c r="AR764" t="s">
        <v>14221</v>
      </c>
      <c r="AS764" t="s">
        <v>14222</v>
      </c>
      <c r="AT764" t="s">
        <v>74</v>
      </c>
      <c r="AU764">
        <v>2012</v>
      </c>
      <c r="AV764">
        <v>54</v>
      </c>
      <c r="AW764">
        <v>1</v>
      </c>
      <c r="AX764" t="s">
        <v>74</v>
      </c>
      <c r="AY764" t="s">
        <v>74</v>
      </c>
      <c r="AZ764" t="s">
        <v>74</v>
      </c>
      <c r="BA764" t="s">
        <v>74</v>
      </c>
      <c r="BB764">
        <v>40</v>
      </c>
      <c r="BC764">
        <v>52</v>
      </c>
      <c r="BD764" t="s">
        <v>74</v>
      </c>
      <c r="BE764" t="s">
        <v>14223</v>
      </c>
      <c r="BF764" t="str">
        <f>HYPERLINK("http://dx.doi.org/10.2478/v10182-012-0004-0","http://dx.doi.org/10.2478/v10182-012-0004-0")</f>
        <v>http://dx.doi.org/10.2478/v10182-012-0004-0</v>
      </c>
      <c r="BG764" t="s">
        <v>74</v>
      </c>
      <c r="BH764" t="s">
        <v>74</v>
      </c>
      <c r="BI764">
        <v>13</v>
      </c>
      <c r="BJ764" t="s">
        <v>396</v>
      </c>
      <c r="BK764" t="s">
        <v>99</v>
      </c>
      <c r="BL764" t="s">
        <v>396</v>
      </c>
      <c r="BM764" t="s">
        <v>14224</v>
      </c>
      <c r="BN764" t="s">
        <v>74</v>
      </c>
      <c r="BO764" t="s">
        <v>3496</v>
      </c>
      <c r="BP764" t="s">
        <v>74</v>
      </c>
      <c r="BQ764" t="s">
        <v>74</v>
      </c>
      <c r="BR764" t="s">
        <v>101</v>
      </c>
      <c r="BS764" t="s">
        <v>14225</v>
      </c>
      <c r="BT764" t="str">
        <f>HYPERLINK("https%3A%2F%2Fwww.webofscience.com%2Fwos%2Fwoscc%2Ffull-record%2FWOS:000311704700005","View Full Record in Web of Science")</f>
        <v>View Full Record in Web of Science</v>
      </c>
    </row>
    <row r="765" spans="1:72" x14ac:dyDescent="0.15">
      <c r="A765" t="s">
        <v>72</v>
      </c>
      <c r="B765" t="s">
        <v>14226</v>
      </c>
      <c r="C765" t="s">
        <v>74</v>
      </c>
      <c r="D765" t="s">
        <v>74</v>
      </c>
      <c r="E765" t="s">
        <v>74</v>
      </c>
      <c r="F765" t="s">
        <v>14227</v>
      </c>
      <c r="G765" t="s">
        <v>74</v>
      </c>
      <c r="H765" t="s">
        <v>74</v>
      </c>
      <c r="I765" t="s">
        <v>14228</v>
      </c>
      <c r="J765" t="s">
        <v>14229</v>
      </c>
      <c r="K765" t="s">
        <v>74</v>
      </c>
      <c r="L765" t="s">
        <v>74</v>
      </c>
      <c r="M765" t="s">
        <v>78</v>
      </c>
      <c r="N765" t="s">
        <v>79</v>
      </c>
      <c r="O765" t="s">
        <v>74</v>
      </c>
      <c r="P765" t="s">
        <v>74</v>
      </c>
      <c r="Q765" t="s">
        <v>74</v>
      </c>
      <c r="R765" t="s">
        <v>74</v>
      </c>
      <c r="S765" t="s">
        <v>74</v>
      </c>
      <c r="T765" t="s">
        <v>14230</v>
      </c>
      <c r="U765" t="s">
        <v>14231</v>
      </c>
      <c r="V765" t="s">
        <v>14232</v>
      </c>
      <c r="W765" t="s">
        <v>14233</v>
      </c>
      <c r="X765" t="s">
        <v>14234</v>
      </c>
      <c r="Y765" t="s">
        <v>14235</v>
      </c>
      <c r="Z765" t="s">
        <v>14236</v>
      </c>
      <c r="AA765" t="s">
        <v>74</v>
      </c>
      <c r="AB765" t="s">
        <v>74</v>
      </c>
      <c r="AC765" t="s">
        <v>14237</v>
      </c>
      <c r="AD765" t="s">
        <v>14238</v>
      </c>
      <c r="AE765" t="s">
        <v>14239</v>
      </c>
      <c r="AF765" t="s">
        <v>74</v>
      </c>
      <c r="AG765">
        <v>51</v>
      </c>
      <c r="AH765">
        <v>11</v>
      </c>
      <c r="AI765">
        <v>14</v>
      </c>
      <c r="AJ765">
        <v>0</v>
      </c>
      <c r="AK765">
        <v>10</v>
      </c>
      <c r="AL765" t="s">
        <v>761</v>
      </c>
      <c r="AM765" t="s">
        <v>762</v>
      </c>
      <c r="AN765" t="s">
        <v>763</v>
      </c>
      <c r="AO765" t="s">
        <v>14240</v>
      </c>
      <c r="AP765" t="s">
        <v>14241</v>
      </c>
      <c r="AQ765" t="s">
        <v>74</v>
      </c>
      <c r="AR765" t="s">
        <v>14242</v>
      </c>
      <c r="AS765" t="s">
        <v>14243</v>
      </c>
      <c r="AT765" t="s">
        <v>74</v>
      </c>
      <c r="AU765">
        <v>2012</v>
      </c>
      <c r="AV765">
        <v>47</v>
      </c>
      <c r="AW765">
        <v>4</v>
      </c>
      <c r="AX765" t="s">
        <v>74</v>
      </c>
      <c r="AY765" t="s">
        <v>74</v>
      </c>
      <c r="AZ765" t="s">
        <v>74</v>
      </c>
      <c r="BA765" t="s">
        <v>74</v>
      </c>
      <c r="BB765">
        <v>366</v>
      </c>
      <c r="BC765">
        <v>383</v>
      </c>
      <c r="BD765" t="s">
        <v>74</v>
      </c>
      <c r="BE765" t="s">
        <v>14244</v>
      </c>
      <c r="BF765" t="str">
        <f>HYPERLINK("http://dx.doi.org/10.1080/09670262.2012.719164","http://dx.doi.org/10.1080/09670262.2012.719164")</f>
        <v>http://dx.doi.org/10.1080/09670262.2012.719164</v>
      </c>
      <c r="BG765" t="s">
        <v>74</v>
      </c>
      <c r="BH765" t="s">
        <v>74</v>
      </c>
      <c r="BI765">
        <v>18</v>
      </c>
      <c r="BJ765" t="s">
        <v>10213</v>
      </c>
      <c r="BK765" t="s">
        <v>99</v>
      </c>
      <c r="BL765" t="s">
        <v>10213</v>
      </c>
      <c r="BM765" t="s">
        <v>14245</v>
      </c>
      <c r="BN765" t="s">
        <v>74</v>
      </c>
      <c r="BO765" t="s">
        <v>217</v>
      </c>
      <c r="BP765" t="s">
        <v>74</v>
      </c>
      <c r="BQ765" t="s">
        <v>74</v>
      </c>
      <c r="BR765" t="s">
        <v>101</v>
      </c>
      <c r="BS765" t="s">
        <v>14246</v>
      </c>
      <c r="BT765" t="str">
        <f>HYPERLINK("https%3A%2F%2Fwww.webofscience.com%2Fwos%2Fwoscc%2Ffull-record%2FWOS:000311784700003","View Full Record in Web of Science")</f>
        <v>View Full Record in Web of Science</v>
      </c>
    </row>
    <row r="766" spans="1:72" x14ac:dyDescent="0.15">
      <c r="A766" t="s">
        <v>72</v>
      </c>
      <c r="B766" t="s">
        <v>14247</v>
      </c>
      <c r="C766" t="s">
        <v>74</v>
      </c>
      <c r="D766" t="s">
        <v>74</v>
      </c>
      <c r="E766" t="s">
        <v>74</v>
      </c>
      <c r="F766" t="s">
        <v>14248</v>
      </c>
      <c r="G766" t="s">
        <v>74</v>
      </c>
      <c r="H766" t="s">
        <v>74</v>
      </c>
      <c r="I766" t="s">
        <v>14249</v>
      </c>
      <c r="J766" t="s">
        <v>14229</v>
      </c>
      <c r="K766" t="s">
        <v>74</v>
      </c>
      <c r="L766" t="s">
        <v>74</v>
      </c>
      <c r="M766" t="s">
        <v>78</v>
      </c>
      <c r="N766" t="s">
        <v>79</v>
      </c>
      <c r="O766" t="s">
        <v>74</v>
      </c>
      <c r="P766" t="s">
        <v>74</v>
      </c>
      <c r="Q766" t="s">
        <v>74</v>
      </c>
      <c r="R766" t="s">
        <v>74</v>
      </c>
      <c r="S766" t="s">
        <v>74</v>
      </c>
      <c r="T766" t="s">
        <v>14250</v>
      </c>
      <c r="U766" t="s">
        <v>14251</v>
      </c>
      <c r="V766" t="s">
        <v>14252</v>
      </c>
      <c r="W766" t="s">
        <v>14253</v>
      </c>
      <c r="X766" t="s">
        <v>14254</v>
      </c>
      <c r="Y766" t="s">
        <v>14255</v>
      </c>
      <c r="Z766" t="s">
        <v>14256</v>
      </c>
      <c r="AA766" t="s">
        <v>74</v>
      </c>
      <c r="AB766" t="s">
        <v>74</v>
      </c>
      <c r="AC766" t="s">
        <v>14257</v>
      </c>
      <c r="AD766" t="s">
        <v>14258</v>
      </c>
      <c r="AE766" t="s">
        <v>14259</v>
      </c>
      <c r="AF766" t="s">
        <v>74</v>
      </c>
      <c r="AG766">
        <v>40</v>
      </c>
      <c r="AH766">
        <v>7</v>
      </c>
      <c r="AI766">
        <v>8</v>
      </c>
      <c r="AJ766">
        <v>3</v>
      </c>
      <c r="AK766">
        <v>27</v>
      </c>
      <c r="AL766" t="s">
        <v>761</v>
      </c>
      <c r="AM766" t="s">
        <v>762</v>
      </c>
      <c r="AN766" t="s">
        <v>763</v>
      </c>
      <c r="AO766" t="s">
        <v>14240</v>
      </c>
      <c r="AP766" t="s">
        <v>14241</v>
      </c>
      <c r="AQ766" t="s">
        <v>74</v>
      </c>
      <c r="AR766" t="s">
        <v>14242</v>
      </c>
      <c r="AS766" t="s">
        <v>14243</v>
      </c>
      <c r="AT766" t="s">
        <v>74</v>
      </c>
      <c r="AU766">
        <v>2012</v>
      </c>
      <c r="AV766">
        <v>47</v>
      </c>
      <c r="AW766">
        <v>4</v>
      </c>
      <c r="AX766" t="s">
        <v>74</v>
      </c>
      <c r="AY766" t="s">
        <v>74</v>
      </c>
      <c r="AZ766" t="s">
        <v>74</v>
      </c>
      <c r="BA766" t="s">
        <v>74</v>
      </c>
      <c r="BB766">
        <v>449</v>
      </c>
      <c r="BC766">
        <v>460</v>
      </c>
      <c r="BD766" t="s">
        <v>74</v>
      </c>
      <c r="BE766" t="s">
        <v>14260</v>
      </c>
      <c r="BF766" t="str">
        <f>HYPERLINK("http://dx.doi.org/10.1080/09670262.2012.736535","http://dx.doi.org/10.1080/09670262.2012.736535")</f>
        <v>http://dx.doi.org/10.1080/09670262.2012.736535</v>
      </c>
      <c r="BG766" t="s">
        <v>74</v>
      </c>
      <c r="BH766" t="s">
        <v>74</v>
      </c>
      <c r="BI766">
        <v>12</v>
      </c>
      <c r="BJ766" t="s">
        <v>10213</v>
      </c>
      <c r="BK766" t="s">
        <v>99</v>
      </c>
      <c r="BL766" t="s">
        <v>10213</v>
      </c>
      <c r="BM766" t="s">
        <v>14245</v>
      </c>
      <c r="BN766" t="s">
        <v>74</v>
      </c>
      <c r="BO766" t="s">
        <v>74</v>
      </c>
      <c r="BP766" t="s">
        <v>74</v>
      </c>
      <c r="BQ766" t="s">
        <v>74</v>
      </c>
      <c r="BR766" t="s">
        <v>101</v>
      </c>
      <c r="BS766" t="s">
        <v>14261</v>
      </c>
      <c r="BT766" t="str">
        <f>HYPERLINK("https%3A%2F%2Fwww.webofscience.com%2Fwos%2Fwoscc%2Ffull-record%2FWOS:000311784700009","View Full Record in Web of Science")</f>
        <v>View Full Record in Web of Science</v>
      </c>
    </row>
    <row r="767" spans="1:72" x14ac:dyDescent="0.15">
      <c r="A767" t="s">
        <v>12256</v>
      </c>
      <c r="B767" t="s">
        <v>14262</v>
      </c>
      <c r="C767" t="s">
        <v>74</v>
      </c>
      <c r="D767" t="s">
        <v>14263</v>
      </c>
      <c r="E767" t="s">
        <v>74</v>
      </c>
      <c r="F767" t="s">
        <v>14264</v>
      </c>
      <c r="G767" t="s">
        <v>74</v>
      </c>
      <c r="H767" t="s">
        <v>74</v>
      </c>
      <c r="I767" t="s">
        <v>14265</v>
      </c>
      <c r="J767" t="s">
        <v>14266</v>
      </c>
      <c r="K767" t="s">
        <v>74</v>
      </c>
      <c r="L767" t="s">
        <v>74</v>
      </c>
      <c r="M767" t="s">
        <v>78</v>
      </c>
      <c r="N767" t="s">
        <v>12141</v>
      </c>
      <c r="O767" t="s">
        <v>74</v>
      </c>
      <c r="P767" t="s">
        <v>74</v>
      </c>
      <c r="Q767" t="s">
        <v>74</v>
      </c>
      <c r="R767" t="s">
        <v>74</v>
      </c>
      <c r="S767" t="s">
        <v>74</v>
      </c>
      <c r="T767" t="s">
        <v>74</v>
      </c>
      <c r="U767" t="s">
        <v>14267</v>
      </c>
      <c r="V767" t="s">
        <v>14268</v>
      </c>
      <c r="W767" t="s">
        <v>14269</v>
      </c>
      <c r="X767" t="s">
        <v>14270</v>
      </c>
      <c r="Y767" t="s">
        <v>14271</v>
      </c>
      <c r="Z767" t="s">
        <v>14272</v>
      </c>
      <c r="AA767" t="s">
        <v>14273</v>
      </c>
      <c r="AB767" t="s">
        <v>14274</v>
      </c>
      <c r="AC767" t="s">
        <v>74</v>
      </c>
      <c r="AD767" t="s">
        <v>74</v>
      </c>
      <c r="AE767" t="s">
        <v>74</v>
      </c>
      <c r="AF767" t="s">
        <v>74</v>
      </c>
      <c r="AG767">
        <v>56</v>
      </c>
      <c r="AH767">
        <v>3</v>
      </c>
      <c r="AI767">
        <v>3</v>
      </c>
      <c r="AJ767">
        <v>0</v>
      </c>
      <c r="AK767">
        <v>14</v>
      </c>
      <c r="AL767" t="s">
        <v>14275</v>
      </c>
      <c r="AM767" t="s">
        <v>14276</v>
      </c>
      <c r="AN767" t="s">
        <v>14277</v>
      </c>
      <c r="AO767" t="s">
        <v>74</v>
      </c>
      <c r="AP767" t="s">
        <v>74</v>
      </c>
      <c r="AQ767" t="s">
        <v>14278</v>
      </c>
      <c r="AR767" t="s">
        <v>74</v>
      </c>
      <c r="AS767" t="s">
        <v>74</v>
      </c>
      <c r="AT767" t="s">
        <v>74</v>
      </c>
      <c r="AU767">
        <v>2012</v>
      </c>
      <c r="AV767" t="s">
        <v>74</v>
      </c>
      <c r="AW767" t="s">
        <v>74</v>
      </c>
      <c r="AX767" t="s">
        <v>74</v>
      </c>
      <c r="AY767" t="s">
        <v>74</v>
      </c>
      <c r="AZ767" t="s">
        <v>74</v>
      </c>
      <c r="BA767" t="s">
        <v>74</v>
      </c>
      <c r="BB767">
        <v>107</v>
      </c>
      <c r="BC767">
        <v>120</v>
      </c>
      <c r="BD767" t="s">
        <v>74</v>
      </c>
      <c r="BE767" t="s">
        <v>74</v>
      </c>
      <c r="BF767" t="s">
        <v>74</v>
      </c>
      <c r="BG767" t="s">
        <v>74</v>
      </c>
      <c r="BH767" t="s">
        <v>74</v>
      </c>
      <c r="BI767">
        <v>14</v>
      </c>
      <c r="BJ767" t="s">
        <v>4425</v>
      </c>
      <c r="BK767" t="s">
        <v>12155</v>
      </c>
      <c r="BL767" t="s">
        <v>4425</v>
      </c>
      <c r="BM767" t="s">
        <v>14279</v>
      </c>
      <c r="BN767" t="s">
        <v>74</v>
      </c>
      <c r="BO767" t="s">
        <v>74</v>
      </c>
      <c r="BP767" t="s">
        <v>74</v>
      </c>
      <c r="BQ767" t="s">
        <v>74</v>
      </c>
      <c r="BR767" t="s">
        <v>101</v>
      </c>
      <c r="BS767" t="s">
        <v>14280</v>
      </c>
      <c r="BT767" t="str">
        <f>HYPERLINK("https%3A%2F%2Fwww.webofscience.com%2Fwos%2Fwoscc%2Ffull-record%2FWOS:000311650600006","View Full Record in Web of Science")</f>
        <v>View Full Record in Web of Science</v>
      </c>
    </row>
    <row r="768" spans="1:72" x14ac:dyDescent="0.15">
      <c r="A768" t="s">
        <v>72</v>
      </c>
      <c r="B768" t="s">
        <v>14281</v>
      </c>
      <c r="C768" t="s">
        <v>74</v>
      </c>
      <c r="D768" t="s">
        <v>74</v>
      </c>
      <c r="E768" t="s">
        <v>74</v>
      </c>
      <c r="F768" t="s">
        <v>14282</v>
      </c>
      <c r="G768" t="s">
        <v>74</v>
      </c>
      <c r="H768" t="s">
        <v>74</v>
      </c>
      <c r="I768" t="s">
        <v>14283</v>
      </c>
      <c r="J768" t="s">
        <v>13955</v>
      </c>
      <c r="K768" t="s">
        <v>74</v>
      </c>
      <c r="L768" t="s">
        <v>74</v>
      </c>
      <c r="M768" t="s">
        <v>78</v>
      </c>
      <c r="N768" t="s">
        <v>79</v>
      </c>
      <c r="O768" t="s">
        <v>74</v>
      </c>
      <c r="P768" t="s">
        <v>74</v>
      </c>
      <c r="Q768" t="s">
        <v>74</v>
      </c>
      <c r="R768" t="s">
        <v>74</v>
      </c>
      <c r="S768" t="s">
        <v>74</v>
      </c>
      <c r="T768" t="s">
        <v>14284</v>
      </c>
      <c r="U768" t="s">
        <v>14285</v>
      </c>
      <c r="V768" t="s">
        <v>14286</v>
      </c>
      <c r="W768" t="s">
        <v>14287</v>
      </c>
      <c r="X768" t="s">
        <v>14288</v>
      </c>
      <c r="Y768" t="s">
        <v>14289</v>
      </c>
      <c r="Z768" t="s">
        <v>14290</v>
      </c>
      <c r="AA768" t="s">
        <v>14291</v>
      </c>
      <c r="AB768" t="s">
        <v>14292</v>
      </c>
      <c r="AC768" t="s">
        <v>14293</v>
      </c>
      <c r="AD768" t="s">
        <v>14293</v>
      </c>
      <c r="AE768" t="s">
        <v>14294</v>
      </c>
      <c r="AF768" t="s">
        <v>74</v>
      </c>
      <c r="AG768">
        <v>62</v>
      </c>
      <c r="AH768">
        <v>11</v>
      </c>
      <c r="AI768">
        <v>11</v>
      </c>
      <c r="AJ768">
        <v>1</v>
      </c>
      <c r="AK768">
        <v>9</v>
      </c>
      <c r="AL768" t="s">
        <v>13968</v>
      </c>
      <c r="AM768" t="s">
        <v>13969</v>
      </c>
      <c r="AN768" t="s">
        <v>13970</v>
      </c>
      <c r="AO768" t="s">
        <v>13971</v>
      </c>
      <c r="AP768" t="s">
        <v>74</v>
      </c>
      <c r="AQ768" t="s">
        <v>74</v>
      </c>
      <c r="AR768" t="s">
        <v>13973</v>
      </c>
      <c r="AS768" t="s">
        <v>13974</v>
      </c>
      <c r="AT768" t="s">
        <v>74</v>
      </c>
      <c r="AU768">
        <v>2012</v>
      </c>
      <c r="AV768">
        <v>34</v>
      </c>
      <c r="AW768">
        <v>3</v>
      </c>
      <c r="AX768" t="s">
        <v>74</v>
      </c>
      <c r="AY768" t="s">
        <v>74</v>
      </c>
      <c r="AZ768" t="s">
        <v>74</v>
      </c>
      <c r="BA768" t="s">
        <v>74</v>
      </c>
      <c r="BB768">
        <v>373</v>
      </c>
      <c r="BC768">
        <v>382</v>
      </c>
      <c r="BD768" t="s">
        <v>74</v>
      </c>
      <c r="BE768" t="s">
        <v>14295</v>
      </c>
      <c r="BF768" t="str">
        <f>HYPERLINK("http://dx.doi.org/10.2989/1814232X.2012.689619","http://dx.doi.org/10.2989/1814232X.2012.689619")</f>
        <v>http://dx.doi.org/10.2989/1814232X.2012.689619</v>
      </c>
      <c r="BG768" t="s">
        <v>74</v>
      </c>
      <c r="BH768" t="s">
        <v>74</v>
      </c>
      <c r="BI768">
        <v>10</v>
      </c>
      <c r="BJ768" t="s">
        <v>588</v>
      </c>
      <c r="BK768" t="s">
        <v>99</v>
      </c>
      <c r="BL768" t="s">
        <v>588</v>
      </c>
      <c r="BM768" t="s">
        <v>14296</v>
      </c>
      <c r="BN768" t="s">
        <v>74</v>
      </c>
      <c r="BO768" t="s">
        <v>74</v>
      </c>
      <c r="BP768" t="s">
        <v>74</v>
      </c>
      <c r="BQ768" t="s">
        <v>74</v>
      </c>
      <c r="BR768" t="s">
        <v>101</v>
      </c>
      <c r="BS768" t="s">
        <v>14297</v>
      </c>
      <c r="BT768" t="str">
        <f>HYPERLINK("https%3A%2F%2Fwww.webofscience.com%2Fwos%2Fwoscc%2Ffull-record%2FWOS:000310432100008","View Full Record in Web of Science")</f>
        <v>View Full Record in Web of Science</v>
      </c>
    </row>
    <row r="769" spans="1:72" x14ac:dyDescent="0.15">
      <c r="A769" t="s">
        <v>72</v>
      </c>
      <c r="B769" t="s">
        <v>14298</v>
      </c>
      <c r="C769" t="s">
        <v>74</v>
      </c>
      <c r="D769" t="s">
        <v>74</v>
      </c>
      <c r="E769" t="s">
        <v>74</v>
      </c>
      <c r="F769" t="s">
        <v>14299</v>
      </c>
      <c r="G769" t="s">
        <v>74</v>
      </c>
      <c r="H769" t="s">
        <v>74</v>
      </c>
      <c r="I769" t="s">
        <v>14300</v>
      </c>
      <c r="J769" t="s">
        <v>13955</v>
      </c>
      <c r="K769" t="s">
        <v>74</v>
      </c>
      <c r="L769" t="s">
        <v>74</v>
      </c>
      <c r="M769" t="s">
        <v>78</v>
      </c>
      <c r="N769" t="s">
        <v>79</v>
      </c>
      <c r="O769" t="s">
        <v>74</v>
      </c>
      <c r="P769" t="s">
        <v>74</v>
      </c>
      <c r="Q769" t="s">
        <v>74</v>
      </c>
      <c r="R769" t="s">
        <v>74</v>
      </c>
      <c r="S769" t="s">
        <v>74</v>
      </c>
      <c r="T769" t="s">
        <v>14301</v>
      </c>
      <c r="U769" t="s">
        <v>14302</v>
      </c>
      <c r="V769" t="s">
        <v>14303</v>
      </c>
      <c r="W769" t="s">
        <v>14304</v>
      </c>
      <c r="X769" t="s">
        <v>14305</v>
      </c>
      <c r="Y769" t="s">
        <v>14306</v>
      </c>
      <c r="Z769" t="s">
        <v>14307</v>
      </c>
      <c r="AA769" t="s">
        <v>74</v>
      </c>
      <c r="AB769" t="s">
        <v>14308</v>
      </c>
      <c r="AC769" t="s">
        <v>14309</v>
      </c>
      <c r="AD769" t="s">
        <v>14310</v>
      </c>
      <c r="AE769" t="s">
        <v>14311</v>
      </c>
      <c r="AF769" t="s">
        <v>74</v>
      </c>
      <c r="AG769">
        <v>45</v>
      </c>
      <c r="AH769">
        <v>15</v>
      </c>
      <c r="AI769">
        <v>18</v>
      </c>
      <c r="AJ769">
        <v>0</v>
      </c>
      <c r="AK769">
        <v>19</v>
      </c>
      <c r="AL769" t="s">
        <v>13968</v>
      </c>
      <c r="AM769" t="s">
        <v>13969</v>
      </c>
      <c r="AN769" t="s">
        <v>13970</v>
      </c>
      <c r="AO769" t="s">
        <v>13971</v>
      </c>
      <c r="AP769" t="s">
        <v>74</v>
      </c>
      <c r="AQ769" t="s">
        <v>74</v>
      </c>
      <c r="AR769" t="s">
        <v>13973</v>
      </c>
      <c r="AS769" t="s">
        <v>13974</v>
      </c>
      <c r="AT769" t="s">
        <v>74</v>
      </c>
      <c r="AU769">
        <v>2012</v>
      </c>
      <c r="AV769">
        <v>34</v>
      </c>
      <c r="AW769">
        <v>3</v>
      </c>
      <c r="AX769" t="s">
        <v>74</v>
      </c>
      <c r="AY769" t="s">
        <v>74</v>
      </c>
      <c r="AZ769" t="s">
        <v>74</v>
      </c>
      <c r="BA769" t="s">
        <v>74</v>
      </c>
      <c r="BB769">
        <v>391</v>
      </c>
      <c r="BC769">
        <v>399</v>
      </c>
      <c r="BD769" t="s">
        <v>74</v>
      </c>
      <c r="BE769" t="s">
        <v>14312</v>
      </c>
      <c r="BF769" t="str">
        <f>HYPERLINK("http://dx.doi.org/10.2989/1814232X.2012.689620","http://dx.doi.org/10.2989/1814232X.2012.689620")</f>
        <v>http://dx.doi.org/10.2989/1814232X.2012.689620</v>
      </c>
      <c r="BG769" t="s">
        <v>74</v>
      </c>
      <c r="BH769" t="s">
        <v>74</v>
      </c>
      <c r="BI769">
        <v>9</v>
      </c>
      <c r="BJ769" t="s">
        <v>588</v>
      </c>
      <c r="BK769" t="s">
        <v>99</v>
      </c>
      <c r="BL769" t="s">
        <v>588</v>
      </c>
      <c r="BM769" t="s">
        <v>14296</v>
      </c>
      <c r="BN769" t="s">
        <v>74</v>
      </c>
      <c r="BO769" t="s">
        <v>74</v>
      </c>
      <c r="BP769" t="s">
        <v>74</v>
      </c>
      <c r="BQ769" t="s">
        <v>74</v>
      </c>
      <c r="BR769" t="s">
        <v>101</v>
      </c>
      <c r="BS769" t="s">
        <v>14313</v>
      </c>
      <c r="BT769" t="str">
        <f>HYPERLINK("https%3A%2F%2Fwww.webofscience.com%2Fwos%2Fwoscc%2Ffull-record%2FWOS:000310432100010","View Full Record in Web of Science")</f>
        <v>View Full Record in Web of Science</v>
      </c>
    </row>
    <row r="770" spans="1:72" x14ac:dyDescent="0.15">
      <c r="A770" t="s">
        <v>72</v>
      </c>
      <c r="B770" t="s">
        <v>14314</v>
      </c>
      <c r="C770" t="s">
        <v>74</v>
      </c>
      <c r="D770" t="s">
        <v>74</v>
      </c>
      <c r="E770" t="s">
        <v>74</v>
      </c>
      <c r="F770" t="s">
        <v>14315</v>
      </c>
      <c r="G770" t="s">
        <v>74</v>
      </c>
      <c r="H770" t="s">
        <v>74</v>
      </c>
      <c r="I770" t="s">
        <v>14316</v>
      </c>
      <c r="J770" t="s">
        <v>14317</v>
      </c>
      <c r="K770" t="s">
        <v>74</v>
      </c>
      <c r="L770" t="s">
        <v>74</v>
      </c>
      <c r="M770" t="s">
        <v>78</v>
      </c>
      <c r="N770" t="s">
        <v>79</v>
      </c>
      <c r="O770" t="s">
        <v>74</v>
      </c>
      <c r="P770" t="s">
        <v>74</v>
      </c>
      <c r="Q770" t="s">
        <v>74</v>
      </c>
      <c r="R770" t="s">
        <v>74</v>
      </c>
      <c r="S770" t="s">
        <v>74</v>
      </c>
      <c r="T770" t="s">
        <v>74</v>
      </c>
      <c r="U770" t="s">
        <v>14318</v>
      </c>
      <c r="V770" t="s">
        <v>14319</v>
      </c>
      <c r="W770" t="s">
        <v>14320</v>
      </c>
      <c r="X770" t="s">
        <v>14321</v>
      </c>
      <c r="Y770" t="s">
        <v>14322</v>
      </c>
      <c r="Z770" t="s">
        <v>14323</v>
      </c>
      <c r="AA770" t="s">
        <v>14324</v>
      </c>
      <c r="AB770" t="s">
        <v>14325</v>
      </c>
      <c r="AC770" t="s">
        <v>14326</v>
      </c>
      <c r="AD770" t="s">
        <v>14327</v>
      </c>
      <c r="AE770" t="s">
        <v>14328</v>
      </c>
      <c r="AF770" t="s">
        <v>74</v>
      </c>
      <c r="AG770">
        <v>39</v>
      </c>
      <c r="AH770">
        <v>11</v>
      </c>
      <c r="AI770">
        <v>13</v>
      </c>
      <c r="AJ770">
        <v>0</v>
      </c>
      <c r="AK770">
        <v>10</v>
      </c>
      <c r="AL770" t="s">
        <v>7766</v>
      </c>
      <c r="AM770" t="s">
        <v>1112</v>
      </c>
      <c r="AN770" t="s">
        <v>7767</v>
      </c>
      <c r="AO770" t="s">
        <v>14329</v>
      </c>
      <c r="AP770" t="s">
        <v>14330</v>
      </c>
      <c r="AQ770" t="s">
        <v>74</v>
      </c>
      <c r="AR770" t="s">
        <v>14331</v>
      </c>
      <c r="AS770" t="s">
        <v>14332</v>
      </c>
      <c r="AT770" t="s">
        <v>74</v>
      </c>
      <c r="AU770">
        <v>2012</v>
      </c>
      <c r="AV770">
        <v>8</v>
      </c>
      <c r="AW770">
        <v>12</v>
      </c>
      <c r="AX770" t="s">
        <v>74</v>
      </c>
      <c r="AY770" t="s">
        <v>74</v>
      </c>
      <c r="AZ770" t="s">
        <v>74</v>
      </c>
      <c r="BA770" t="s">
        <v>74</v>
      </c>
      <c r="BB770">
        <v>3295</v>
      </c>
      <c r="BC770">
        <v>3304</v>
      </c>
      <c r="BD770" t="s">
        <v>74</v>
      </c>
      <c r="BE770" t="s">
        <v>14333</v>
      </c>
      <c r="BF770" t="str">
        <f>HYPERLINK("http://dx.doi.org/10.1039/c2mb25210d","http://dx.doi.org/10.1039/c2mb25210d")</f>
        <v>http://dx.doi.org/10.1039/c2mb25210d</v>
      </c>
      <c r="BG770" t="s">
        <v>74</v>
      </c>
      <c r="BH770" t="s">
        <v>74</v>
      </c>
      <c r="BI770">
        <v>10</v>
      </c>
      <c r="BJ770" t="s">
        <v>2524</v>
      </c>
      <c r="BK770" t="s">
        <v>99</v>
      </c>
      <c r="BL770" t="s">
        <v>2524</v>
      </c>
      <c r="BM770" t="s">
        <v>14334</v>
      </c>
      <c r="BN770">
        <v>23086282</v>
      </c>
      <c r="BO770" t="s">
        <v>74</v>
      </c>
      <c r="BP770" t="s">
        <v>74</v>
      </c>
      <c r="BQ770" t="s">
        <v>74</v>
      </c>
      <c r="BR770" t="s">
        <v>101</v>
      </c>
      <c r="BS770" t="s">
        <v>14335</v>
      </c>
      <c r="BT770" t="str">
        <f>HYPERLINK("https%3A%2F%2Fwww.webofscience.com%2Fwos%2Fwoscc%2Ffull-record%2FWOS:000311473200020","View Full Record in Web of Science")</f>
        <v>View Full Record in Web of Science</v>
      </c>
    </row>
    <row r="771" spans="1:72" x14ac:dyDescent="0.15">
      <c r="A771" t="s">
        <v>72</v>
      </c>
      <c r="B771" t="s">
        <v>14336</v>
      </c>
      <c r="C771" t="s">
        <v>74</v>
      </c>
      <c r="D771" t="s">
        <v>74</v>
      </c>
      <c r="E771" t="s">
        <v>74</v>
      </c>
      <c r="F771" t="s">
        <v>14337</v>
      </c>
      <c r="G771" t="s">
        <v>74</v>
      </c>
      <c r="H771" t="s">
        <v>74</v>
      </c>
      <c r="I771" t="s">
        <v>14338</v>
      </c>
      <c r="J771" t="s">
        <v>14339</v>
      </c>
      <c r="K771" t="s">
        <v>74</v>
      </c>
      <c r="L771" t="s">
        <v>74</v>
      </c>
      <c r="M771" t="s">
        <v>78</v>
      </c>
      <c r="N771" t="s">
        <v>79</v>
      </c>
      <c r="O771" t="s">
        <v>74</v>
      </c>
      <c r="P771" t="s">
        <v>74</v>
      </c>
      <c r="Q771" t="s">
        <v>74</v>
      </c>
      <c r="R771" t="s">
        <v>74</v>
      </c>
      <c r="S771" t="s">
        <v>74</v>
      </c>
      <c r="T771" t="s">
        <v>14340</v>
      </c>
      <c r="U771" t="s">
        <v>14341</v>
      </c>
      <c r="V771" t="s">
        <v>14342</v>
      </c>
      <c r="W771" t="s">
        <v>14343</v>
      </c>
      <c r="X771" t="s">
        <v>14344</v>
      </c>
      <c r="Y771" t="s">
        <v>14345</v>
      </c>
      <c r="Z771" t="s">
        <v>14346</v>
      </c>
      <c r="AA771" t="s">
        <v>14347</v>
      </c>
      <c r="AB771" t="s">
        <v>14348</v>
      </c>
      <c r="AC771" t="s">
        <v>14349</v>
      </c>
      <c r="AD771" t="s">
        <v>14349</v>
      </c>
      <c r="AE771" t="s">
        <v>14350</v>
      </c>
      <c r="AF771" t="s">
        <v>74</v>
      </c>
      <c r="AG771">
        <v>155</v>
      </c>
      <c r="AH771">
        <v>41</v>
      </c>
      <c r="AI771">
        <v>42</v>
      </c>
      <c r="AJ771">
        <v>0</v>
      </c>
      <c r="AK771">
        <v>39</v>
      </c>
      <c r="AL771" t="s">
        <v>761</v>
      </c>
      <c r="AM771" t="s">
        <v>762</v>
      </c>
      <c r="AN771" t="s">
        <v>763</v>
      </c>
      <c r="AO771" t="s">
        <v>14351</v>
      </c>
      <c r="AP771" t="s">
        <v>14352</v>
      </c>
      <c r="AQ771" t="s">
        <v>74</v>
      </c>
      <c r="AR771" t="s">
        <v>14353</v>
      </c>
      <c r="AS771" t="s">
        <v>14354</v>
      </c>
      <c r="AT771" t="s">
        <v>74</v>
      </c>
      <c r="AU771">
        <v>2012</v>
      </c>
      <c r="AV771">
        <v>59</v>
      </c>
      <c r="AW771">
        <v>7</v>
      </c>
      <c r="AX771" t="s">
        <v>74</v>
      </c>
      <c r="AY771" t="s">
        <v>74</v>
      </c>
      <c r="AZ771" t="s">
        <v>74</v>
      </c>
      <c r="BA771" t="s">
        <v>74</v>
      </c>
      <c r="BB771">
        <v>983</v>
      </c>
      <c r="BC771">
        <v>1005</v>
      </c>
      <c r="BD771" t="s">
        <v>74</v>
      </c>
      <c r="BE771" t="s">
        <v>14355</v>
      </c>
      <c r="BF771" t="str">
        <f>HYPERLINK("http://dx.doi.org/10.1080/08120099.2012.688293","http://dx.doi.org/10.1080/08120099.2012.688293")</f>
        <v>http://dx.doi.org/10.1080/08120099.2012.688293</v>
      </c>
      <c r="BG771" t="s">
        <v>74</v>
      </c>
      <c r="BH771" t="s">
        <v>74</v>
      </c>
      <c r="BI771">
        <v>23</v>
      </c>
      <c r="BJ771" t="s">
        <v>194</v>
      </c>
      <c r="BK771" t="s">
        <v>99</v>
      </c>
      <c r="BL771" t="s">
        <v>195</v>
      </c>
      <c r="BM771" t="s">
        <v>14356</v>
      </c>
      <c r="BN771" t="s">
        <v>74</v>
      </c>
      <c r="BO771" t="s">
        <v>74</v>
      </c>
      <c r="BP771" t="s">
        <v>74</v>
      </c>
      <c r="BQ771" t="s">
        <v>74</v>
      </c>
      <c r="BR771" t="s">
        <v>101</v>
      </c>
      <c r="BS771" t="s">
        <v>14357</v>
      </c>
      <c r="BT771" t="str">
        <f>HYPERLINK("https%3A%2F%2Fwww.webofscience.com%2Fwos%2Fwoscc%2Ffull-record%2FWOS:000310595800001","View Full Record in Web of Science")</f>
        <v>View Full Record in Web of Science</v>
      </c>
    </row>
    <row r="772" spans="1:72" x14ac:dyDescent="0.15">
      <c r="A772" t="s">
        <v>72</v>
      </c>
      <c r="B772" t="s">
        <v>14358</v>
      </c>
      <c r="C772" t="s">
        <v>74</v>
      </c>
      <c r="D772" t="s">
        <v>74</v>
      </c>
      <c r="E772" t="s">
        <v>74</v>
      </c>
      <c r="F772" t="s">
        <v>14359</v>
      </c>
      <c r="G772" t="s">
        <v>74</v>
      </c>
      <c r="H772" t="s">
        <v>74</v>
      </c>
      <c r="I772" t="s">
        <v>14360</v>
      </c>
      <c r="J772" t="s">
        <v>13300</v>
      </c>
      <c r="K772" t="s">
        <v>74</v>
      </c>
      <c r="L772" t="s">
        <v>74</v>
      </c>
      <c r="M772" t="s">
        <v>78</v>
      </c>
      <c r="N772" t="s">
        <v>79</v>
      </c>
      <c r="O772" t="s">
        <v>74</v>
      </c>
      <c r="P772" t="s">
        <v>74</v>
      </c>
      <c r="Q772" t="s">
        <v>74</v>
      </c>
      <c r="R772" t="s">
        <v>74</v>
      </c>
      <c r="S772" t="s">
        <v>74</v>
      </c>
      <c r="T772" t="s">
        <v>74</v>
      </c>
      <c r="U772" t="s">
        <v>14361</v>
      </c>
      <c r="V772" t="s">
        <v>14362</v>
      </c>
      <c r="W772" t="s">
        <v>14363</v>
      </c>
      <c r="X772" t="s">
        <v>14364</v>
      </c>
      <c r="Y772" t="s">
        <v>14365</v>
      </c>
      <c r="Z772" t="s">
        <v>14366</v>
      </c>
      <c r="AA772" t="s">
        <v>14367</v>
      </c>
      <c r="AB772" t="s">
        <v>14368</v>
      </c>
      <c r="AC772" t="s">
        <v>14369</v>
      </c>
      <c r="AD772" t="s">
        <v>14370</v>
      </c>
      <c r="AE772" t="s">
        <v>14371</v>
      </c>
      <c r="AF772" t="s">
        <v>74</v>
      </c>
      <c r="AG772">
        <v>54</v>
      </c>
      <c r="AH772">
        <v>19</v>
      </c>
      <c r="AI772">
        <v>21</v>
      </c>
      <c r="AJ772">
        <v>1</v>
      </c>
      <c r="AK772">
        <v>31</v>
      </c>
      <c r="AL772" t="s">
        <v>13270</v>
      </c>
      <c r="AM772" t="s">
        <v>13271</v>
      </c>
      <c r="AN772" t="s">
        <v>13272</v>
      </c>
      <c r="AO772" t="s">
        <v>13312</v>
      </c>
      <c r="AP772" t="s">
        <v>13335</v>
      </c>
      <c r="AQ772" t="s">
        <v>74</v>
      </c>
      <c r="AR772" t="s">
        <v>13313</v>
      </c>
      <c r="AS772" t="s">
        <v>13314</v>
      </c>
      <c r="AT772" t="s">
        <v>74</v>
      </c>
      <c r="AU772">
        <v>2012</v>
      </c>
      <c r="AV772">
        <v>8</v>
      </c>
      <c r="AW772">
        <v>5</v>
      </c>
      <c r="AX772" t="s">
        <v>74</v>
      </c>
      <c r="AY772" t="s">
        <v>74</v>
      </c>
      <c r="AZ772" t="s">
        <v>74</v>
      </c>
      <c r="BA772" t="s">
        <v>74</v>
      </c>
      <c r="BB772">
        <v>1435</v>
      </c>
      <c r="BC772">
        <v>1445</v>
      </c>
      <c r="BD772" t="s">
        <v>74</v>
      </c>
      <c r="BE772" t="s">
        <v>14372</v>
      </c>
      <c r="BF772" t="str">
        <f>HYPERLINK("http://dx.doi.org/10.5194/cp-8-1435-2012","http://dx.doi.org/10.5194/cp-8-1435-2012")</f>
        <v>http://dx.doi.org/10.5194/cp-8-1435-2012</v>
      </c>
      <c r="BG772" t="s">
        <v>74</v>
      </c>
      <c r="BH772" t="s">
        <v>74</v>
      </c>
      <c r="BI772">
        <v>11</v>
      </c>
      <c r="BJ772" t="s">
        <v>13316</v>
      </c>
      <c r="BK772" t="s">
        <v>99</v>
      </c>
      <c r="BL772" t="s">
        <v>13317</v>
      </c>
      <c r="BM772" t="s">
        <v>14373</v>
      </c>
      <c r="BN772" t="s">
        <v>74</v>
      </c>
      <c r="BO772" t="s">
        <v>3144</v>
      </c>
      <c r="BP772" t="s">
        <v>74</v>
      </c>
      <c r="BQ772" t="s">
        <v>74</v>
      </c>
      <c r="BR772" t="s">
        <v>101</v>
      </c>
      <c r="BS772" t="s">
        <v>14374</v>
      </c>
      <c r="BT772" t="str">
        <f>HYPERLINK("https%3A%2F%2Fwww.webofscience.com%2Fwos%2Fwoscc%2Ffull-record%2FWOS:000310470600004","View Full Record in Web of Science")</f>
        <v>View Full Record in Web of Science</v>
      </c>
    </row>
    <row r="773" spans="1:72" x14ac:dyDescent="0.15">
      <c r="A773" t="s">
        <v>72</v>
      </c>
      <c r="B773" t="s">
        <v>14375</v>
      </c>
      <c r="C773" t="s">
        <v>74</v>
      </c>
      <c r="D773" t="s">
        <v>74</v>
      </c>
      <c r="E773" t="s">
        <v>74</v>
      </c>
      <c r="F773" t="s">
        <v>14376</v>
      </c>
      <c r="G773" t="s">
        <v>74</v>
      </c>
      <c r="H773" t="s">
        <v>74</v>
      </c>
      <c r="I773" t="s">
        <v>14377</v>
      </c>
      <c r="J773" t="s">
        <v>13300</v>
      </c>
      <c r="K773" t="s">
        <v>74</v>
      </c>
      <c r="L773" t="s">
        <v>74</v>
      </c>
      <c r="M773" t="s">
        <v>78</v>
      </c>
      <c r="N773" t="s">
        <v>79</v>
      </c>
      <c r="O773" t="s">
        <v>74</v>
      </c>
      <c r="P773" t="s">
        <v>74</v>
      </c>
      <c r="Q773" t="s">
        <v>74</v>
      </c>
      <c r="R773" t="s">
        <v>74</v>
      </c>
      <c r="S773" t="s">
        <v>74</v>
      </c>
      <c r="T773" t="s">
        <v>74</v>
      </c>
      <c r="U773" t="s">
        <v>14378</v>
      </c>
      <c r="V773" t="s">
        <v>14379</v>
      </c>
      <c r="W773" t="s">
        <v>14380</v>
      </c>
      <c r="X773" t="s">
        <v>1703</v>
      </c>
      <c r="Y773" t="s">
        <v>14381</v>
      </c>
      <c r="Z773" t="s">
        <v>14382</v>
      </c>
      <c r="AA773" t="s">
        <v>74</v>
      </c>
      <c r="AB773" t="s">
        <v>14383</v>
      </c>
      <c r="AC773" t="s">
        <v>74</v>
      </c>
      <c r="AD773" t="s">
        <v>74</v>
      </c>
      <c r="AE773" t="s">
        <v>74</v>
      </c>
      <c r="AF773" t="s">
        <v>74</v>
      </c>
      <c r="AG773">
        <v>87</v>
      </c>
      <c r="AH773">
        <v>1</v>
      </c>
      <c r="AI773">
        <v>2</v>
      </c>
      <c r="AJ773">
        <v>0</v>
      </c>
      <c r="AK773">
        <v>31</v>
      </c>
      <c r="AL773" t="s">
        <v>13270</v>
      </c>
      <c r="AM773" t="s">
        <v>13271</v>
      </c>
      <c r="AN773" t="s">
        <v>13272</v>
      </c>
      <c r="AO773" t="s">
        <v>13312</v>
      </c>
      <c r="AP773" t="s">
        <v>13335</v>
      </c>
      <c r="AQ773" t="s">
        <v>74</v>
      </c>
      <c r="AR773" t="s">
        <v>13313</v>
      </c>
      <c r="AS773" t="s">
        <v>13314</v>
      </c>
      <c r="AT773" t="s">
        <v>74</v>
      </c>
      <c r="AU773">
        <v>2012</v>
      </c>
      <c r="AV773">
        <v>8</v>
      </c>
      <c r="AW773">
        <v>5</v>
      </c>
      <c r="AX773" t="s">
        <v>74</v>
      </c>
      <c r="AY773" t="s">
        <v>74</v>
      </c>
      <c r="AZ773" t="s">
        <v>74</v>
      </c>
      <c r="BA773" t="s">
        <v>74</v>
      </c>
      <c r="BB773">
        <v>1705</v>
      </c>
      <c r="BC773">
        <v>1716</v>
      </c>
      <c r="BD773" t="s">
        <v>74</v>
      </c>
      <c r="BE773" t="s">
        <v>14384</v>
      </c>
      <c r="BF773" t="str">
        <f>HYPERLINK("http://dx.doi.org/10.5194/cp-8-1705-2012","http://dx.doi.org/10.5194/cp-8-1705-2012")</f>
        <v>http://dx.doi.org/10.5194/cp-8-1705-2012</v>
      </c>
      <c r="BG773" t="s">
        <v>74</v>
      </c>
      <c r="BH773" t="s">
        <v>74</v>
      </c>
      <c r="BI773">
        <v>12</v>
      </c>
      <c r="BJ773" t="s">
        <v>13316</v>
      </c>
      <c r="BK773" t="s">
        <v>99</v>
      </c>
      <c r="BL773" t="s">
        <v>13317</v>
      </c>
      <c r="BM773" t="s">
        <v>14373</v>
      </c>
      <c r="BN773" t="s">
        <v>74</v>
      </c>
      <c r="BO773" t="s">
        <v>3496</v>
      </c>
      <c r="BP773" t="s">
        <v>74</v>
      </c>
      <c r="BQ773" t="s">
        <v>74</v>
      </c>
      <c r="BR773" t="s">
        <v>101</v>
      </c>
      <c r="BS773" t="s">
        <v>14385</v>
      </c>
      <c r="BT773" t="str">
        <f>HYPERLINK("https%3A%2F%2Fwww.webofscience.com%2Fwos%2Fwoscc%2Ffull-record%2FWOS:000310470600021","View Full Record in Web of Science")</f>
        <v>View Full Record in Web of Science</v>
      </c>
    </row>
    <row r="774" spans="1:72" x14ac:dyDescent="0.15">
      <c r="A774" t="s">
        <v>72</v>
      </c>
      <c r="B774" t="s">
        <v>14386</v>
      </c>
      <c r="C774" t="s">
        <v>74</v>
      </c>
      <c r="D774" t="s">
        <v>74</v>
      </c>
      <c r="E774" t="s">
        <v>74</v>
      </c>
      <c r="F774" t="s">
        <v>14387</v>
      </c>
      <c r="G774" t="s">
        <v>74</v>
      </c>
      <c r="H774" t="s">
        <v>74</v>
      </c>
      <c r="I774" t="s">
        <v>14388</v>
      </c>
      <c r="J774" t="s">
        <v>14389</v>
      </c>
      <c r="K774" t="s">
        <v>74</v>
      </c>
      <c r="L774" t="s">
        <v>74</v>
      </c>
      <c r="M774" t="s">
        <v>78</v>
      </c>
      <c r="N774" t="s">
        <v>79</v>
      </c>
      <c r="O774" t="s">
        <v>74</v>
      </c>
      <c r="P774" t="s">
        <v>74</v>
      </c>
      <c r="Q774" t="s">
        <v>74</v>
      </c>
      <c r="R774" t="s">
        <v>74</v>
      </c>
      <c r="S774" t="s">
        <v>74</v>
      </c>
      <c r="T774" t="s">
        <v>74</v>
      </c>
      <c r="U774" t="s">
        <v>14390</v>
      </c>
      <c r="V774" t="s">
        <v>14391</v>
      </c>
      <c r="W774" t="s">
        <v>14392</v>
      </c>
      <c r="X774" t="s">
        <v>14393</v>
      </c>
      <c r="Y774" t="s">
        <v>14394</v>
      </c>
      <c r="Z774" t="s">
        <v>14395</v>
      </c>
      <c r="AA774" t="s">
        <v>14396</v>
      </c>
      <c r="AB774" t="s">
        <v>14397</v>
      </c>
      <c r="AC774" t="s">
        <v>74</v>
      </c>
      <c r="AD774" t="s">
        <v>74</v>
      </c>
      <c r="AE774" t="s">
        <v>74</v>
      </c>
      <c r="AF774" t="s">
        <v>74</v>
      </c>
      <c r="AG774">
        <v>43</v>
      </c>
      <c r="AH774">
        <v>2</v>
      </c>
      <c r="AI774">
        <v>2</v>
      </c>
      <c r="AJ774">
        <v>0</v>
      </c>
      <c r="AK774">
        <v>4</v>
      </c>
      <c r="AL774" t="s">
        <v>13270</v>
      </c>
      <c r="AM774" t="s">
        <v>13271</v>
      </c>
      <c r="AN774" t="s">
        <v>13272</v>
      </c>
      <c r="AO774" t="s">
        <v>14398</v>
      </c>
      <c r="AP774" t="s">
        <v>14399</v>
      </c>
      <c r="AQ774" t="s">
        <v>74</v>
      </c>
      <c r="AR774" t="s">
        <v>14400</v>
      </c>
      <c r="AS774" t="s">
        <v>14401</v>
      </c>
      <c r="AT774" t="s">
        <v>74</v>
      </c>
      <c r="AU774">
        <v>2012</v>
      </c>
      <c r="AV774">
        <v>5</v>
      </c>
      <c r="AW774">
        <v>5</v>
      </c>
      <c r="AX774" t="s">
        <v>74</v>
      </c>
      <c r="AY774" t="s">
        <v>74</v>
      </c>
      <c r="AZ774" t="s">
        <v>74</v>
      </c>
      <c r="BA774" t="s">
        <v>74</v>
      </c>
      <c r="BB774">
        <v>1161</v>
      </c>
      <c r="BC774">
        <v>1175</v>
      </c>
      <c r="BD774" t="s">
        <v>74</v>
      </c>
      <c r="BE774" t="s">
        <v>14402</v>
      </c>
      <c r="BF774" t="str">
        <f>HYPERLINK("http://dx.doi.org/10.5194/gmd-5-1161-2012","http://dx.doi.org/10.5194/gmd-5-1161-2012")</f>
        <v>http://dx.doi.org/10.5194/gmd-5-1161-2012</v>
      </c>
      <c r="BG774" t="s">
        <v>74</v>
      </c>
      <c r="BH774" t="s">
        <v>74</v>
      </c>
      <c r="BI774">
        <v>15</v>
      </c>
      <c r="BJ774" t="s">
        <v>194</v>
      </c>
      <c r="BK774" t="s">
        <v>99</v>
      </c>
      <c r="BL774" t="s">
        <v>195</v>
      </c>
      <c r="BM774" t="s">
        <v>14403</v>
      </c>
      <c r="BN774" t="s">
        <v>74</v>
      </c>
      <c r="BO774" t="s">
        <v>3496</v>
      </c>
      <c r="BP774" t="s">
        <v>74</v>
      </c>
      <c r="BQ774" t="s">
        <v>74</v>
      </c>
      <c r="BR774" t="s">
        <v>101</v>
      </c>
      <c r="BS774" t="s">
        <v>14404</v>
      </c>
      <c r="BT774" t="str">
        <f>HYPERLINK("https%3A%2F%2Fwww.webofscience.com%2Fwos%2Fwoscc%2Ffull-record%2FWOS:000310471600007","View Full Record in Web of Science")</f>
        <v>View Full Record in Web of Science</v>
      </c>
    </row>
    <row r="775" spans="1:72" x14ac:dyDescent="0.15">
      <c r="A775" t="s">
        <v>12086</v>
      </c>
      <c r="B775" t="s">
        <v>14405</v>
      </c>
      <c r="C775" t="s">
        <v>74</v>
      </c>
      <c r="D775" t="s">
        <v>14406</v>
      </c>
      <c r="E775" t="s">
        <v>74</v>
      </c>
      <c r="F775" t="s">
        <v>14407</v>
      </c>
      <c r="G775" t="s">
        <v>74</v>
      </c>
      <c r="H775" t="s">
        <v>74</v>
      </c>
      <c r="I775" t="s">
        <v>14408</v>
      </c>
      <c r="J775" t="s">
        <v>14409</v>
      </c>
      <c r="K775" t="s">
        <v>14410</v>
      </c>
      <c r="L775" t="s">
        <v>74</v>
      </c>
      <c r="M775" t="s">
        <v>78</v>
      </c>
      <c r="N775" t="s">
        <v>12093</v>
      </c>
      <c r="O775" t="s">
        <v>14411</v>
      </c>
      <c r="P775" t="s">
        <v>14412</v>
      </c>
      <c r="Q775" t="s">
        <v>14413</v>
      </c>
      <c r="R775" t="s">
        <v>74</v>
      </c>
      <c r="S775" t="s">
        <v>74</v>
      </c>
      <c r="T775" t="s">
        <v>14414</v>
      </c>
      <c r="U775" t="s">
        <v>14415</v>
      </c>
      <c r="V775" t="s">
        <v>14416</v>
      </c>
      <c r="W775" t="s">
        <v>74</v>
      </c>
      <c r="X775" t="s">
        <v>74</v>
      </c>
      <c r="Y775" t="s">
        <v>74</v>
      </c>
      <c r="Z775" t="s">
        <v>14417</v>
      </c>
      <c r="AA775" t="s">
        <v>74</v>
      </c>
      <c r="AB775" t="s">
        <v>74</v>
      </c>
      <c r="AC775" t="s">
        <v>74</v>
      </c>
      <c r="AD775" t="s">
        <v>74</v>
      </c>
      <c r="AE775" t="s">
        <v>74</v>
      </c>
      <c r="AF775" t="s">
        <v>74</v>
      </c>
      <c r="AG775">
        <v>16</v>
      </c>
      <c r="AH775">
        <v>2</v>
      </c>
      <c r="AI775">
        <v>2</v>
      </c>
      <c r="AJ775">
        <v>0</v>
      </c>
      <c r="AK775">
        <v>0</v>
      </c>
      <c r="AL775" t="s">
        <v>14418</v>
      </c>
      <c r="AM775" t="s">
        <v>2733</v>
      </c>
      <c r="AN775" t="s">
        <v>14419</v>
      </c>
      <c r="AO775" t="s">
        <v>14420</v>
      </c>
      <c r="AP775" t="s">
        <v>74</v>
      </c>
      <c r="AQ775" t="s">
        <v>14421</v>
      </c>
      <c r="AR775" t="s">
        <v>14422</v>
      </c>
      <c r="AS775" t="s">
        <v>74</v>
      </c>
      <c r="AT775" t="s">
        <v>74</v>
      </c>
      <c r="AU775">
        <v>2012</v>
      </c>
      <c r="AV775">
        <v>134</v>
      </c>
      <c r="AW775" t="s">
        <v>74</v>
      </c>
      <c r="AX775" t="s">
        <v>74</v>
      </c>
      <c r="AY775" t="s">
        <v>74</v>
      </c>
      <c r="AZ775" t="s">
        <v>74</v>
      </c>
      <c r="BA775" t="s">
        <v>74</v>
      </c>
      <c r="BB775">
        <v>895</v>
      </c>
      <c r="BC775">
        <v>902</v>
      </c>
      <c r="BD775" t="s">
        <v>74</v>
      </c>
      <c r="BE775" t="s">
        <v>74</v>
      </c>
      <c r="BF775" t="s">
        <v>74</v>
      </c>
      <c r="BG775" t="s">
        <v>74</v>
      </c>
      <c r="BH775" t="s">
        <v>74</v>
      </c>
      <c r="BI775">
        <v>8</v>
      </c>
      <c r="BJ775" t="s">
        <v>14423</v>
      </c>
      <c r="BK775" t="s">
        <v>12109</v>
      </c>
      <c r="BL775" t="s">
        <v>14424</v>
      </c>
      <c r="BM775" t="s">
        <v>14425</v>
      </c>
      <c r="BN775" t="s">
        <v>74</v>
      </c>
      <c r="BO775" t="s">
        <v>74</v>
      </c>
      <c r="BP775" t="s">
        <v>74</v>
      </c>
      <c r="BQ775" t="s">
        <v>74</v>
      </c>
      <c r="BR775" t="s">
        <v>101</v>
      </c>
      <c r="BS775" t="s">
        <v>14426</v>
      </c>
      <c r="BT775" t="str">
        <f>HYPERLINK("https%3A%2F%2Fwww.webofscience.com%2Fwos%2Fwoscc%2Ffull-record%2FWOS:000310665700106","View Full Record in Web of Science")</f>
        <v>View Full Record in Web of Science</v>
      </c>
    </row>
    <row r="776" spans="1:72" x14ac:dyDescent="0.15">
      <c r="A776" t="s">
        <v>12086</v>
      </c>
      <c r="B776" t="s">
        <v>14427</v>
      </c>
      <c r="C776" t="s">
        <v>74</v>
      </c>
      <c r="D776" t="s">
        <v>14428</v>
      </c>
      <c r="E776" t="s">
        <v>74</v>
      </c>
      <c r="F776" t="s">
        <v>14429</v>
      </c>
      <c r="G776" t="s">
        <v>74</v>
      </c>
      <c r="H776" t="s">
        <v>74</v>
      </c>
      <c r="I776" t="s">
        <v>14430</v>
      </c>
      <c r="J776" t="s">
        <v>14431</v>
      </c>
      <c r="K776" t="s">
        <v>13513</v>
      </c>
      <c r="L776" t="s">
        <v>74</v>
      </c>
      <c r="M776" t="s">
        <v>78</v>
      </c>
      <c r="N776" t="s">
        <v>12093</v>
      </c>
      <c r="O776" t="s">
        <v>14432</v>
      </c>
      <c r="P776" t="s">
        <v>14433</v>
      </c>
      <c r="Q776" t="s">
        <v>14434</v>
      </c>
      <c r="R776" t="s">
        <v>74</v>
      </c>
      <c r="S776" t="s">
        <v>74</v>
      </c>
      <c r="T776" t="s">
        <v>14435</v>
      </c>
      <c r="U776" t="s">
        <v>14436</v>
      </c>
      <c r="V776" t="s">
        <v>14437</v>
      </c>
      <c r="W776" t="s">
        <v>6115</v>
      </c>
      <c r="X776" t="s">
        <v>3176</v>
      </c>
      <c r="Y776" t="s">
        <v>14438</v>
      </c>
      <c r="Z776" t="s">
        <v>74</v>
      </c>
      <c r="AA776" t="s">
        <v>74</v>
      </c>
      <c r="AB776" t="s">
        <v>14439</v>
      </c>
      <c r="AC776" t="s">
        <v>14440</v>
      </c>
      <c r="AD776" t="s">
        <v>14441</v>
      </c>
      <c r="AE776" t="s">
        <v>74</v>
      </c>
      <c r="AF776" t="s">
        <v>74</v>
      </c>
      <c r="AG776">
        <v>41</v>
      </c>
      <c r="AH776">
        <v>5</v>
      </c>
      <c r="AI776">
        <v>5</v>
      </c>
      <c r="AJ776">
        <v>0</v>
      </c>
      <c r="AK776">
        <v>4</v>
      </c>
      <c r="AL776" t="s">
        <v>13524</v>
      </c>
      <c r="AM776" t="s">
        <v>13525</v>
      </c>
      <c r="AN776" t="s">
        <v>13526</v>
      </c>
      <c r="AO776" t="s">
        <v>13527</v>
      </c>
      <c r="AP776" t="s">
        <v>74</v>
      </c>
      <c r="AQ776" t="s">
        <v>14442</v>
      </c>
      <c r="AR776" t="s">
        <v>13529</v>
      </c>
      <c r="AS776" t="s">
        <v>74</v>
      </c>
      <c r="AT776" t="s">
        <v>74</v>
      </c>
      <c r="AU776">
        <v>2012</v>
      </c>
      <c r="AV776">
        <v>1479</v>
      </c>
      <c r="AW776" t="s">
        <v>74</v>
      </c>
      <c r="AX776" t="s">
        <v>74</v>
      </c>
      <c r="AY776" t="s">
        <v>74</v>
      </c>
      <c r="AZ776" t="s">
        <v>74</v>
      </c>
      <c r="BA776" t="s">
        <v>74</v>
      </c>
      <c r="BB776">
        <v>650</v>
      </c>
      <c r="BC776">
        <v>653</v>
      </c>
      <c r="BD776" t="s">
        <v>74</v>
      </c>
      <c r="BE776" t="s">
        <v>14443</v>
      </c>
      <c r="BF776" t="str">
        <f>HYPERLINK("http://dx.doi.org/10.1063/1.4756218","http://dx.doi.org/10.1063/1.4756218")</f>
        <v>http://dx.doi.org/10.1063/1.4756218</v>
      </c>
      <c r="BG776" t="s">
        <v>74</v>
      </c>
      <c r="BH776" t="s">
        <v>74</v>
      </c>
      <c r="BI776">
        <v>4</v>
      </c>
      <c r="BJ776" t="s">
        <v>14444</v>
      </c>
      <c r="BK776" t="s">
        <v>12109</v>
      </c>
      <c r="BL776" t="s">
        <v>14445</v>
      </c>
      <c r="BM776" t="s">
        <v>14446</v>
      </c>
      <c r="BN776" t="s">
        <v>74</v>
      </c>
      <c r="BO776" t="s">
        <v>74</v>
      </c>
      <c r="BP776" t="s">
        <v>74</v>
      </c>
      <c r="BQ776" t="s">
        <v>74</v>
      </c>
      <c r="BR776" t="s">
        <v>101</v>
      </c>
      <c r="BS776" t="s">
        <v>14447</v>
      </c>
      <c r="BT776" t="str">
        <f>HYPERLINK("https%3A%2F%2Fwww.webofscience.com%2Fwos%2Fwoscc%2Ffull-record%2FWOS:000310698100159","View Full Record in Web of Science")</f>
        <v>View Full Record in Web of Science</v>
      </c>
    </row>
    <row r="777" spans="1:72" x14ac:dyDescent="0.15">
      <c r="A777" t="s">
        <v>72</v>
      </c>
      <c r="B777" t="s">
        <v>14448</v>
      </c>
      <c r="C777" t="s">
        <v>74</v>
      </c>
      <c r="D777" t="s">
        <v>74</v>
      </c>
      <c r="E777" t="s">
        <v>74</v>
      </c>
      <c r="F777" t="s">
        <v>14449</v>
      </c>
      <c r="G777" t="s">
        <v>74</v>
      </c>
      <c r="H777" t="s">
        <v>74</v>
      </c>
      <c r="I777" t="s">
        <v>14450</v>
      </c>
      <c r="J777" t="s">
        <v>13700</v>
      </c>
      <c r="K777" t="s">
        <v>74</v>
      </c>
      <c r="L777" t="s">
        <v>74</v>
      </c>
      <c r="M777" t="s">
        <v>78</v>
      </c>
      <c r="N777" t="s">
        <v>79</v>
      </c>
      <c r="O777" t="s">
        <v>74</v>
      </c>
      <c r="P777" t="s">
        <v>74</v>
      </c>
      <c r="Q777" t="s">
        <v>74</v>
      </c>
      <c r="R777" t="s">
        <v>74</v>
      </c>
      <c r="S777" t="s">
        <v>74</v>
      </c>
      <c r="T777" t="s">
        <v>14451</v>
      </c>
      <c r="U777" t="s">
        <v>14452</v>
      </c>
      <c r="V777" t="s">
        <v>14453</v>
      </c>
      <c r="W777" t="s">
        <v>14454</v>
      </c>
      <c r="X777" t="s">
        <v>14455</v>
      </c>
      <c r="Y777" t="s">
        <v>14456</v>
      </c>
      <c r="Z777" t="s">
        <v>14457</v>
      </c>
      <c r="AA777" t="s">
        <v>14458</v>
      </c>
      <c r="AB777" t="s">
        <v>74</v>
      </c>
      <c r="AC777" t="s">
        <v>14459</v>
      </c>
      <c r="AD777" t="s">
        <v>14460</v>
      </c>
      <c r="AE777" t="s">
        <v>14461</v>
      </c>
      <c r="AF777" t="s">
        <v>74</v>
      </c>
      <c r="AG777">
        <v>62</v>
      </c>
      <c r="AH777">
        <v>25</v>
      </c>
      <c r="AI777">
        <v>26</v>
      </c>
      <c r="AJ777">
        <v>0</v>
      </c>
      <c r="AK777">
        <v>3</v>
      </c>
      <c r="AL777" t="s">
        <v>761</v>
      </c>
      <c r="AM777" t="s">
        <v>762</v>
      </c>
      <c r="AN777" t="s">
        <v>763</v>
      </c>
      <c r="AO777" t="s">
        <v>13710</v>
      </c>
      <c r="AP777" t="s">
        <v>13711</v>
      </c>
      <c r="AQ777" t="s">
        <v>74</v>
      </c>
      <c r="AR777" t="s">
        <v>13712</v>
      </c>
      <c r="AS777" t="s">
        <v>13713</v>
      </c>
      <c r="AT777" t="s">
        <v>74</v>
      </c>
      <c r="AU777">
        <v>2012</v>
      </c>
      <c r="AV777">
        <v>31</v>
      </c>
      <c r="AW777" t="s">
        <v>74</v>
      </c>
      <c r="AX777" t="s">
        <v>74</v>
      </c>
      <c r="AY777" t="s">
        <v>74</v>
      </c>
      <c r="AZ777" t="s">
        <v>74</v>
      </c>
      <c r="BA777" t="s">
        <v>74</v>
      </c>
      <c r="BB777" t="s">
        <v>74</v>
      </c>
      <c r="BC777" t="s">
        <v>74</v>
      </c>
      <c r="BD777">
        <v>11090</v>
      </c>
      <c r="BE777" t="s">
        <v>14462</v>
      </c>
      <c r="BF777" t="str">
        <f>HYPERLINK("http://dx.doi.org/10.3402/polar.v31i0.11090","http://dx.doi.org/10.3402/polar.v31i0.11090")</f>
        <v>http://dx.doi.org/10.3402/polar.v31i0.11090</v>
      </c>
      <c r="BG777" t="s">
        <v>74</v>
      </c>
      <c r="BH777" t="s">
        <v>74</v>
      </c>
      <c r="BI777">
        <v>10</v>
      </c>
      <c r="BJ777" t="s">
        <v>13715</v>
      </c>
      <c r="BK777" t="s">
        <v>99</v>
      </c>
      <c r="BL777" t="s">
        <v>13716</v>
      </c>
      <c r="BM777" t="s">
        <v>14463</v>
      </c>
      <c r="BN777" t="s">
        <v>74</v>
      </c>
      <c r="BO777" t="s">
        <v>521</v>
      </c>
      <c r="BP777" t="s">
        <v>74</v>
      </c>
      <c r="BQ777" t="s">
        <v>74</v>
      </c>
      <c r="BR777" t="s">
        <v>101</v>
      </c>
      <c r="BS777" t="s">
        <v>14464</v>
      </c>
      <c r="BT777" t="str">
        <f>HYPERLINK("https%3A%2F%2Fwww.webofscience.com%2Fwos%2Fwoscc%2Ffull-record%2FWOS:000310575100001","View Full Record in Web of Science")</f>
        <v>View Full Record in Web of Science</v>
      </c>
    </row>
    <row r="778" spans="1:72" x14ac:dyDescent="0.15">
      <c r="A778" t="s">
        <v>12086</v>
      </c>
      <c r="B778" t="s">
        <v>14465</v>
      </c>
      <c r="C778" t="s">
        <v>74</v>
      </c>
      <c r="D778" t="s">
        <v>74</v>
      </c>
      <c r="E778" t="s">
        <v>12088</v>
      </c>
      <c r="F778" t="s">
        <v>14466</v>
      </c>
      <c r="G778" t="s">
        <v>74</v>
      </c>
      <c r="H778" t="s">
        <v>74</v>
      </c>
      <c r="I778" t="s">
        <v>14467</v>
      </c>
      <c r="J778" t="s">
        <v>14468</v>
      </c>
      <c r="K778" t="s">
        <v>14469</v>
      </c>
      <c r="L778" t="s">
        <v>74</v>
      </c>
      <c r="M778" t="s">
        <v>78</v>
      </c>
      <c r="N778" t="s">
        <v>12093</v>
      </c>
      <c r="O778" t="s">
        <v>14470</v>
      </c>
      <c r="P778" t="s">
        <v>14471</v>
      </c>
      <c r="Q778" t="s">
        <v>14472</v>
      </c>
      <c r="R778" t="s">
        <v>74</v>
      </c>
      <c r="S778" t="s">
        <v>74</v>
      </c>
      <c r="T778" t="s">
        <v>74</v>
      </c>
      <c r="U778" t="s">
        <v>14473</v>
      </c>
      <c r="V778" t="s">
        <v>14474</v>
      </c>
      <c r="W778" t="s">
        <v>14475</v>
      </c>
      <c r="X778" t="s">
        <v>14476</v>
      </c>
      <c r="Y778" t="s">
        <v>14477</v>
      </c>
      <c r="Z778" t="s">
        <v>14478</v>
      </c>
      <c r="AA778" t="s">
        <v>14479</v>
      </c>
      <c r="AB778" t="s">
        <v>9456</v>
      </c>
      <c r="AC778" t="s">
        <v>14480</v>
      </c>
      <c r="AD778" t="s">
        <v>14480</v>
      </c>
      <c r="AE778" t="s">
        <v>14481</v>
      </c>
      <c r="AF778" t="s">
        <v>74</v>
      </c>
      <c r="AG778">
        <v>11</v>
      </c>
      <c r="AH778">
        <v>2</v>
      </c>
      <c r="AI778">
        <v>4</v>
      </c>
      <c r="AJ778">
        <v>1</v>
      </c>
      <c r="AK778">
        <v>3</v>
      </c>
      <c r="AL778" t="s">
        <v>12088</v>
      </c>
      <c r="AM778" t="s">
        <v>656</v>
      </c>
      <c r="AN778" t="s">
        <v>12104</v>
      </c>
      <c r="AO778" t="s">
        <v>14482</v>
      </c>
      <c r="AP778" t="s">
        <v>74</v>
      </c>
      <c r="AQ778" t="s">
        <v>14483</v>
      </c>
      <c r="AR778" t="s">
        <v>14484</v>
      </c>
      <c r="AS778" t="s">
        <v>74</v>
      </c>
      <c r="AT778" t="s">
        <v>74</v>
      </c>
      <c r="AU778">
        <v>2012</v>
      </c>
      <c r="AV778" t="s">
        <v>74</v>
      </c>
      <c r="AW778" t="s">
        <v>74</v>
      </c>
      <c r="AX778" t="s">
        <v>74</v>
      </c>
      <c r="AY778" t="s">
        <v>74</v>
      </c>
      <c r="AZ778" t="s">
        <v>74</v>
      </c>
      <c r="BA778" t="s">
        <v>74</v>
      </c>
      <c r="BB778" t="s">
        <v>74</v>
      </c>
      <c r="BC778" t="s">
        <v>74</v>
      </c>
      <c r="BD778" t="s">
        <v>74</v>
      </c>
      <c r="BE778" t="s">
        <v>74</v>
      </c>
      <c r="BF778" t="s">
        <v>74</v>
      </c>
      <c r="BG778" t="s">
        <v>74</v>
      </c>
      <c r="BH778" t="s">
        <v>74</v>
      </c>
      <c r="BI778">
        <v>9</v>
      </c>
      <c r="BJ778" t="s">
        <v>14485</v>
      </c>
      <c r="BK778" t="s">
        <v>12109</v>
      </c>
      <c r="BL778" t="s">
        <v>6941</v>
      </c>
      <c r="BM778" t="s">
        <v>14486</v>
      </c>
      <c r="BN778" t="s">
        <v>74</v>
      </c>
      <c r="BO778" t="s">
        <v>74</v>
      </c>
      <c r="BP778" t="s">
        <v>74</v>
      </c>
      <c r="BQ778" t="s">
        <v>74</v>
      </c>
      <c r="BR778" t="s">
        <v>101</v>
      </c>
      <c r="BS778" t="s">
        <v>14487</v>
      </c>
      <c r="BT778" t="str">
        <f>HYPERLINK("https%3A%2F%2Fwww.webofscience.com%2Fwos%2Fwoscc%2Ffull-record%2FWOS:000309105300054","View Full Record in Web of Science")</f>
        <v>View Full Record in Web of Science</v>
      </c>
    </row>
    <row r="779" spans="1:72" x14ac:dyDescent="0.15">
      <c r="A779" t="s">
        <v>12086</v>
      </c>
      <c r="B779" t="s">
        <v>14488</v>
      </c>
      <c r="C779" t="s">
        <v>74</v>
      </c>
      <c r="D779" t="s">
        <v>14489</v>
      </c>
      <c r="E779" t="s">
        <v>74</v>
      </c>
      <c r="F779" t="s">
        <v>14490</v>
      </c>
      <c r="G779" t="s">
        <v>74</v>
      </c>
      <c r="H779" t="s">
        <v>74</v>
      </c>
      <c r="I779" t="s">
        <v>14491</v>
      </c>
      <c r="J779" t="s">
        <v>14492</v>
      </c>
      <c r="K779" t="s">
        <v>14493</v>
      </c>
      <c r="L779" t="s">
        <v>74</v>
      </c>
      <c r="M779" t="s">
        <v>78</v>
      </c>
      <c r="N779" t="s">
        <v>12093</v>
      </c>
      <c r="O779" t="s">
        <v>14494</v>
      </c>
      <c r="P779" t="s">
        <v>14495</v>
      </c>
      <c r="Q779" t="s">
        <v>14496</v>
      </c>
      <c r="R779" t="s">
        <v>74</v>
      </c>
      <c r="S779" t="s">
        <v>74</v>
      </c>
      <c r="T779" t="s">
        <v>14497</v>
      </c>
      <c r="U779" t="s">
        <v>14498</v>
      </c>
      <c r="V779" t="s">
        <v>14499</v>
      </c>
      <c r="W779" t="s">
        <v>14500</v>
      </c>
      <c r="X779" t="s">
        <v>14501</v>
      </c>
      <c r="Y779" t="s">
        <v>14502</v>
      </c>
      <c r="Z779" t="s">
        <v>14503</v>
      </c>
      <c r="AA779" t="s">
        <v>74</v>
      </c>
      <c r="AB779" t="s">
        <v>74</v>
      </c>
      <c r="AC779" t="s">
        <v>74</v>
      </c>
      <c r="AD779" t="s">
        <v>74</v>
      </c>
      <c r="AE779" t="s">
        <v>74</v>
      </c>
      <c r="AF779" t="s">
        <v>74</v>
      </c>
      <c r="AG779">
        <v>24</v>
      </c>
      <c r="AH779">
        <v>2</v>
      </c>
      <c r="AI779">
        <v>4</v>
      </c>
      <c r="AJ779">
        <v>1</v>
      </c>
      <c r="AK779">
        <v>15</v>
      </c>
      <c r="AL779" t="s">
        <v>12455</v>
      </c>
      <c r="AM779" t="s">
        <v>12456</v>
      </c>
      <c r="AN779" t="s">
        <v>12457</v>
      </c>
      <c r="AO779" t="s">
        <v>14504</v>
      </c>
      <c r="AP779" t="s">
        <v>74</v>
      </c>
      <c r="AQ779" t="s">
        <v>14505</v>
      </c>
      <c r="AR779" t="s">
        <v>14506</v>
      </c>
      <c r="AS779" t="s">
        <v>74</v>
      </c>
      <c r="AT779" t="s">
        <v>74</v>
      </c>
      <c r="AU779">
        <v>2012</v>
      </c>
      <c r="AV779" t="s">
        <v>14507</v>
      </c>
      <c r="AW779" t="s">
        <v>74</v>
      </c>
      <c r="AX779" t="s">
        <v>74</v>
      </c>
      <c r="AY779" t="s">
        <v>74</v>
      </c>
      <c r="AZ779" t="s">
        <v>74</v>
      </c>
      <c r="BA779" t="s">
        <v>74</v>
      </c>
      <c r="BB779">
        <v>2074</v>
      </c>
      <c r="BC779">
        <v>2080</v>
      </c>
      <c r="BD779" t="s">
        <v>74</v>
      </c>
      <c r="BE779" t="s">
        <v>14508</v>
      </c>
      <c r="BF779" t="str">
        <f>HYPERLINK("http://dx.doi.org/10.4028/www.scientific.net/AMR.396-398.2074","http://dx.doi.org/10.4028/www.scientific.net/AMR.396-398.2074")</f>
        <v>http://dx.doi.org/10.4028/www.scientific.net/AMR.396-398.2074</v>
      </c>
      <c r="BG779" t="s">
        <v>74</v>
      </c>
      <c r="BH779" t="s">
        <v>74</v>
      </c>
      <c r="BI779">
        <v>7</v>
      </c>
      <c r="BJ779" t="s">
        <v>14509</v>
      </c>
      <c r="BK779" t="s">
        <v>12109</v>
      </c>
      <c r="BL779" t="s">
        <v>2396</v>
      </c>
      <c r="BM779" t="s">
        <v>14510</v>
      </c>
      <c r="BN779" t="s">
        <v>74</v>
      </c>
      <c r="BO779" t="s">
        <v>74</v>
      </c>
      <c r="BP779" t="s">
        <v>74</v>
      </c>
      <c r="BQ779" t="s">
        <v>74</v>
      </c>
      <c r="BR779" t="s">
        <v>101</v>
      </c>
      <c r="BS779" t="s">
        <v>14511</v>
      </c>
      <c r="BT779" t="str">
        <f>HYPERLINK("https%3A%2F%2Fwww.webofscience.com%2Fwos%2Fwoscc%2Ffull-record%2FWOS:000308830101072","View Full Record in Web of Science")</f>
        <v>View Full Record in Web of Science</v>
      </c>
    </row>
    <row r="780" spans="1:72" x14ac:dyDescent="0.15">
      <c r="A780" t="s">
        <v>72</v>
      </c>
      <c r="B780" t="s">
        <v>14512</v>
      </c>
      <c r="C780" t="s">
        <v>74</v>
      </c>
      <c r="D780" t="s">
        <v>74</v>
      </c>
      <c r="E780" t="s">
        <v>74</v>
      </c>
      <c r="F780" t="s">
        <v>14513</v>
      </c>
      <c r="G780" t="s">
        <v>74</v>
      </c>
      <c r="H780" t="s">
        <v>74</v>
      </c>
      <c r="I780" t="s">
        <v>14514</v>
      </c>
      <c r="J780" t="s">
        <v>13258</v>
      </c>
      <c r="K780" t="s">
        <v>74</v>
      </c>
      <c r="L780" t="s">
        <v>74</v>
      </c>
      <c r="M780" t="s">
        <v>78</v>
      </c>
      <c r="N780" t="s">
        <v>79</v>
      </c>
      <c r="O780" t="s">
        <v>74</v>
      </c>
      <c r="P780" t="s">
        <v>74</v>
      </c>
      <c r="Q780" t="s">
        <v>74</v>
      </c>
      <c r="R780" t="s">
        <v>74</v>
      </c>
      <c r="S780" t="s">
        <v>74</v>
      </c>
      <c r="T780" t="s">
        <v>74</v>
      </c>
      <c r="U780" t="s">
        <v>14515</v>
      </c>
      <c r="V780" t="s">
        <v>14516</v>
      </c>
      <c r="W780" t="s">
        <v>14517</v>
      </c>
      <c r="X780" t="s">
        <v>14518</v>
      </c>
      <c r="Y780" t="s">
        <v>14519</v>
      </c>
      <c r="Z780" t="s">
        <v>14520</v>
      </c>
      <c r="AA780" t="s">
        <v>74</v>
      </c>
      <c r="AB780" t="s">
        <v>74</v>
      </c>
      <c r="AC780" t="s">
        <v>14521</v>
      </c>
      <c r="AD780" t="s">
        <v>14522</v>
      </c>
      <c r="AE780" t="s">
        <v>14523</v>
      </c>
      <c r="AF780" t="s">
        <v>74</v>
      </c>
      <c r="AG780">
        <v>60</v>
      </c>
      <c r="AH780">
        <v>8</v>
      </c>
      <c r="AI780">
        <v>8</v>
      </c>
      <c r="AJ780">
        <v>0</v>
      </c>
      <c r="AK780">
        <v>26</v>
      </c>
      <c r="AL780" t="s">
        <v>13270</v>
      </c>
      <c r="AM780" t="s">
        <v>13271</v>
      </c>
      <c r="AN780" t="s">
        <v>13272</v>
      </c>
      <c r="AO780" t="s">
        <v>13273</v>
      </c>
      <c r="AP780" t="s">
        <v>13274</v>
      </c>
      <c r="AQ780" t="s">
        <v>74</v>
      </c>
      <c r="AR780" t="s">
        <v>13258</v>
      </c>
      <c r="AS780" t="s">
        <v>13275</v>
      </c>
      <c r="AT780" t="s">
        <v>74</v>
      </c>
      <c r="AU780">
        <v>2012</v>
      </c>
      <c r="AV780">
        <v>9</v>
      </c>
      <c r="AW780">
        <v>10</v>
      </c>
      <c r="AX780" t="s">
        <v>74</v>
      </c>
      <c r="AY780" t="s">
        <v>74</v>
      </c>
      <c r="AZ780" t="s">
        <v>74</v>
      </c>
      <c r="BA780" t="s">
        <v>74</v>
      </c>
      <c r="BB780">
        <v>3799</v>
      </c>
      <c r="BC780">
        <v>3815</v>
      </c>
      <c r="BD780" t="s">
        <v>74</v>
      </c>
      <c r="BE780" t="s">
        <v>14524</v>
      </c>
      <c r="BF780" t="str">
        <f>HYPERLINK("http://dx.doi.org/10.5194/bg-9-3799-2012","http://dx.doi.org/10.5194/bg-9-3799-2012")</f>
        <v>http://dx.doi.org/10.5194/bg-9-3799-2012</v>
      </c>
      <c r="BG780" t="s">
        <v>74</v>
      </c>
      <c r="BH780" t="s">
        <v>74</v>
      </c>
      <c r="BI780">
        <v>17</v>
      </c>
      <c r="BJ780" t="s">
        <v>13277</v>
      </c>
      <c r="BK780" t="s">
        <v>99</v>
      </c>
      <c r="BL780" t="s">
        <v>6665</v>
      </c>
      <c r="BM780" t="s">
        <v>14525</v>
      </c>
      <c r="BN780" t="s">
        <v>74</v>
      </c>
      <c r="BO780" t="s">
        <v>7430</v>
      </c>
      <c r="BP780" t="s">
        <v>74</v>
      </c>
      <c r="BQ780" t="s">
        <v>74</v>
      </c>
      <c r="BR780" t="s">
        <v>101</v>
      </c>
      <c r="BS780" t="s">
        <v>14526</v>
      </c>
      <c r="BT780" t="str">
        <f>HYPERLINK("https%3A%2F%2Fwww.webofscience.com%2Fwos%2Fwoscc%2Ffull-record%2FWOS:000310471800007","View Full Record in Web of Science")</f>
        <v>View Full Record in Web of Science</v>
      </c>
    </row>
    <row r="781" spans="1:72" x14ac:dyDescent="0.15">
      <c r="A781" t="s">
        <v>72</v>
      </c>
      <c r="B781" t="s">
        <v>14527</v>
      </c>
      <c r="C781" t="s">
        <v>74</v>
      </c>
      <c r="D781" t="s">
        <v>74</v>
      </c>
      <c r="E781" t="s">
        <v>74</v>
      </c>
      <c r="F781" t="s">
        <v>14528</v>
      </c>
      <c r="G781" t="s">
        <v>74</v>
      </c>
      <c r="H781" t="s">
        <v>74</v>
      </c>
      <c r="I781" t="s">
        <v>14529</v>
      </c>
      <c r="J781" t="s">
        <v>13258</v>
      </c>
      <c r="K781" t="s">
        <v>74</v>
      </c>
      <c r="L781" t="s">
        <v>74</v>
      </c>
      <c r="M781" t="s">
        <v>78</v>
      </c>
      <c r="N781" t="s">
        <v>79</v>
      </c>
      <c r="O781" t="s">
        <v>74</v>
      </c>
      <c r="P781" t="s">
        <v>74</v>
      </c>
      <c r="Q781" t="s">
        <v>74</v>
      </c>
      <c r="R781" t="s">
        <v>74</v>
      </c>
      <c r="S781" t="s">
        <v>74</v>
      </c>
      <c r="T781" t="s">
        <v>74</v>
      </c>
      <c r="U781" t="s">
        <v>14530</v>
      </c>
      <c r="V781" t="s">
        <v>14531</v>
      </c>
      <c r="W781" t="s">
        <v>14532</v>
      </c>
      <c r="X781" t="s">
        <v>14533</v>
      </c>
      <c r="Y781" t="s">
        <v>14534</v>
      </c>
      <c r="Z781" t="s">
        <v>14535</v>
      </c>
      <c r="AA781" t="s">
        <v>14536</v>
      </c>
      <c r="AB781" t="s">
        <v>14537</v>
      </c>
      <c r="AC781" t="s">
        <v>14538</v>
      </c>
      <c r="AD781" t="s">
        <v>14539</v>
      </c>
      <c r="AE781" t="s">
        <v>14540</v>
      </c>
      <c r="AF781" t="s">
        <v>74</v>
      </c>
      <c r="AG781">
        <v>92</v>
      </c>
      <c r="AH781">
        <v>13</v>
      </c>
      <c r="AI781">
        <v>16</v>
      </c>
      <c r="AJ781">
        <v>3</v>
      </c>
      <c r="AK781">
        <v>50</v>
      </c>
      <c r="AL781" t="s">
        <v>13270</v>
      </c>
      <c r="AM781" t="s">
        <v>13271</v>
      </c>
      <c r="AN781" t="s">
        <v>13272</v>
      </c>
      <c r="AO781" t="s">
        <v>13273</v>
      </c>
      <c r="AP781" t="s">
        <v>74</v>
      </c>
      <c r="AQ781" t="s">
        <v>74</v>
      </c>
      <c r="AR781" t="s">
        <v>13258</v>
      </c>
      <c r="AS781" t="s">
        <v>13275</v>
      </c>
      <c r="AT781" t="s">
        <v>74</v>
      </c>
      <c r="AU781">
        <v>2012</v>
      </c>
      <c r="AV781">
        <v>9</v>
      </c>
      <c r="AW781">
        <v>10</v>
      </c>
      <c r="AX781" t="s">
        <v>74</v>
      </c>
      <c r="AY781" t="s">
        <v>74</v>
      </c>
      <c r="AZ781" t="s">
        <v>74</v>
      </c>
      <c r="BA781" t="s">
        <v>74</v>
      </c>
      <c r="BB781">
        <v>3875</v>
      </c>
      <c r="BC781">
        <v>3890</v>
      </c>
      <c r="BD781" t="s">
        <v>74</v>
      </c>
      <c r="BE781" t="s">
        <v>14541</v>
      </c>
      <c r="BF781" t="str">
        <f>HYPERLINK("http://dx.doi.org/10.5194/bg-9-3875-2012","http://dx.doi.org/10.5194/bg-9-3875-2012")</f>
        <v>http://dx.doi.org/10.5194/bg-9-3875-2012</v>
      </c>
      <c r="BG781" t="s">
        <v>74</v>
      </c>
      <c r="BH781" t="s">
        <v>74</v>
      </c>
      <c r="BI781">
        <v>16</v>
      </c>
      <c r="BJ781" t="s">
        <v>13277</v>
      </c>
      <c r="BK781" t="s">
        <v>99</v>
      </c>
      <c r="BL781" t="s">
        <v>6665</v>
      </c>
      <c r="BM781" t="s">
        <v>14525</v>
      </c>
      <c r="BN781" t="s">
        <v>74</v>
      </c>
      <c r="BO781" t="s">
        <v>14542</v>
      </c>
      <c r="BP781" t="s">
        <v>74</v>
      </c>
      <c r="BQ781" t="s">
        <v>74</v>
      </c>
      <c r="BR781" t="s">
        <v>101</v>
      </c>
      <c r="BS781" t="s">
        <v>14543</v>
      </c>
      <c r="BT781" t="str">
        <f>HYPERLINK("https%3A%2F%2Fwww.webofscience.com%2Fwos%2Fwoscc%2Ffull-record%2FWOS:000310471800011","View Full Record in Web of Science")</f>
        <v>View Full Record in Web of Science</v>
      </c>
    </row>
    <row r="782" spans="1:72" x14ac:dyDescent="0.15">
      <c r="A782" t="s">
        <v>72</v>
      </c>
      <c r="B782" t="s">
        <v>14544</v>
      </c>
      <c r="C782" t="s">
        <v>74</v>
      </c>
      <c r="D782" t="s">
        <v>74</v>
      </c>
      <c r="E782" t="s">
        <v>74</v>
      </c>
      <c r="F782" t="s">
        <v>14545</v>
      </c>
      <c r="G782" t="s">
        <v>74</v>
      </c>
      <c r="H782" t="s">
        <v>74</v>
      </c>
      <c r="I782" t="s">
        <v>14546</v>
      </c>
      <c r="J782" t="s">
        <v>13370</v>
      </c>
      <c r="K782" t="s">
        <v>74</v>
      </c>
      <c r="L782" t="s">
        <v>74</v>
      </c>
      <c r="M782" t="s">
        <v>78</v>
      </c>
      <c r="N782" t="s">
        <v>79</v>
      </c>
      <c r="O782" t="s">
        <v>74</v>
      </c>
      <c r="P782" t="s">
        <v>74</v>
      </c>
      <c r="Q782" t="s">
        <v>74</v>
      </c>
      <c r="R782" t="s">
        <v>74</v>
      </c>
      <c r="S782" t="s">
        <v>74</v>
      </c>
      <c r="T782" t="s">
        <v>74</v>
      </c>
      <c r="U782" t="s">
        <v>14547</v>
      </c>
      <c r="V782" t="s">
        <v>14548</v>
      </c>
      <c r="W782" t="s">
        <v>14549</v>
      </c>
      <c r="X782" t="s">
        <v>14550</v>
      </c>
      <c r="Y782" t="s">
        <v>14551</v>
      </c>
      <c r="Z782" t="s">
        <v>14552</v>
      </c>
      <c r="AA782" t="s">
        <v>14553</v>
      </c>
      <c r="AB782" t="s">
        <v>14554</v>
      </c>
      <c r="AC782" t="s">
        <v>14555</v>
      </c>
      <c r="AD782" t="s">
        <v>14556</v>
      </c>
      <c r="AE782" t="s">
        <v>14557</v>
      </c>
      <c r="AF782" t="s">
        <v>74</v>
      </c>
      <c r="AG782">
        <v>65</v>
      </c>
      <c r="AH782">
        <v>55</v>
      </c>
      <c r="AI782">
        <v>58</v>
      </c>
      <c r="AJ782">
        <v>1</v>
      </c>
      <c r="AK782">
        <v>36</v>
      </c>
      <c r="AL782" t="s">
        <v>13270</v>
      </c>
      <c r="AM782" t="s">
        <v>13271</v>
      </c>
      <c r="AN782" t="s">
        <v>13272</v>
      </c>
      <c r="AO782" t="s">
        <v>13381</v>
      </c>
      <c r="AP782" t="s">
        <v>13382</v>
      </c>
      <c r="AQ782" t="s">
        <v>74</v>
      </c>
      <c r="AR782" t="s">
        <v>13370</v>
      </c>
      <c r="AS782" t="s">
        <v>13383</v>
      </c>
      <c r="AT782" t="s">
        <v>74</v>
      </c>
      <c r="AU782">
        <v>2012</v>
      </c>
      <c r="AV782">
        <v>6</v>
      </c>
      <c r="AW782">
        <v>5</v>
      </c>
      <c r="AX782" t="s">
        <v>74</v>
      </c>
      <c r="AY782" t="s">
        <v>74</v>
      </c>
      <c r="AZ782" t="s">
        <v>74</v>
      </c>
      <c r="BA782" t="s">
        <v>74</v>
      </c>
      <c r="BB782">
        <v>1103</v>
      </c>
      <c r="BC782">
        <v>1125</v>
      </c>
      <c r="BD782" t="s">
        <v>74</v>
      </c>
      <c r="BE782" t="s">
        <v>14558</v>
      </c>
      <c r="BF782" t="str">
        <f>HYPERLINK("http://dx.doi.org/10.5194/tc-6-1103-2012","http://dx.doi.org/10.5194/tc-6-1103-2012")</f>
        <v>http://dx.doi.org/10.5194/tc-6-1103-2012</v>
      </c>
      <c r="BG782" t="s">
        <v>74</v>
      </c>
      <c r="BH782" t="s">
        <v>74</v>
      </c>
      <c r="BI782">
        <v>23</v>
      </c>
      <c r="BJ782" t="s">
        <v>943</v>
      </c>
      <c r="BK782" t="s">
        <v>99</v>
      </c>
      <c r="BL782" t="s">
        <v>944</v>
      </c>
      <c r="BM782" t="s">
        <v>14559</v>
      </c>
      <c r="BN782" t="s">
        <v>74</v>
      </c>
      <c r="BO782" t="s">
        <v>7430</v>
      </c>
      <c r="BP782" t="s">
        <v>74</v>
      </c>
      <c r="BQ782" t="s">
        <v>74</v>
      </c>
      <c r="BR782" t="s">
        <v>101</v>
      </c>
      <c r="BS782" t="s">
        <v>14560</v>
      </c>
      <c r="BT782" t="str">
        <f>HYPERLINK("https%3A%2F%2Fwww.webofscience.com%2Fwos%2Fwoscc%2Ffull-record%2FWOS:000310465500013","View Full Record in Web of Science")</f>
        <v>View Full Record in Web of Science</v>
      </c>
    </row>
    <row r="783" spans="1:72" x14ac:dyDescent="0.15">
      <c r="A783" t="s">
        <v>12086</v>
      </c>
      <c r="B783" t="s">
        <v>14561</v>
      </c>
      <c r="C783" t="s">
        <v>74</v>
      </c>
      <c r="D783" t="s">
        <v>14562</v>
      </c>
      <c r="E783" t="s">
        <v>74</v>
      </c>
      <c r="F783" t="s">
        <v>14563</v>
      </c>
      <c r="G783" t="s">
        <v>74</v>
      </c>
      <c r="H783" t="s">
        <v>74</v>
      </c>
      <c r="I783" t="s">
        <v>14564</v>
      </c>
      <c r="J783" t="s">
        <v>14565</v>
      </c>
      <c r="K783" t="s">
        <v>14493</v>
      </c>
      <c r="L783" t="s">
        <v>74</v>
      </c>
      <c r="M783" t="s">
        <v>78</v>
      </c>
      <c r="N783" t="s">
        <v>12093</v>
      </c>
      <c r="O783" t="s">
        <v>14566</v>
      </c>
      <c r="P783" t="s">
        <v>14567</v>
      </c>
      <c r="Q783" t="s">
        <v>14568</v>
      </c>
      <c r="R783" t="s">
        <v>74</v>
      </c>
      <c r="S783" t="s">
        <v>14569</v>
      </c>
      <c r="T783" t="s">
        <v>14570</v>
      </c>
      <c r="U783" t="s">
        <v>14571</v>
      </c>
      <c r="V783" t="s">
        <v>14572</v>
      </c>
      <c r="W783" t="s">
        <v>14573</v>
      </c>
      <c r="X783" t="s">
        <v>14574</v>
      </c>
      <c r="Y783" t="s">
        <v>14575</v>
      </c>
      <c r="Z783" t="s">
        <v>14576</v>
      </c>
      <c r="AA783" t="s">
        <v>14577</v>
      </c>
      <c r="AB783" t="s">
        <v>74</v>
      </c>
      <c r="AC783" t="s">
        <v>14578</v>
      </c>
      <c r="AD783" t="s">
        <v>14579</v>
      </c>
      <c r="AE783" t="s">
        <v>14580</v>
      </c>
      <c r="AF783" t="s">
        <v>74</v>
      </c>
      <c r="AG783">
        <v>15</v>
      </c>
      <c r="AH783">
        <v>8</v>
      </c>
      <c r="AI783">
        <v>10</v>
      </c>
      <c r="AJ783">
        <v>2</v>
      </c>
      <c r="AK783">
        <v>36</v>
      </c>
      <c r="AL783" t="s">
        <v>12455</v>
      </c>
      <c r="AM783" t="s">
        <v>12456</v>
      </c>
      <c r="AN783" t="s">
        <v>12457</v>
      </c>
      <c r="AO783" t="s">
        <v>14504</v>
      </c>
      <c r="AP783" t="s">
        <v>74</v>
      </c>
      <c r="AQ783" t="s">
        <v>14581</v>
      </c>
      <c r="AR783" t="s">
        <v>14506</v>
      </c>
      <c r="AS783" t="s">
        <v>74</v>
      </c>
      <c r="AT783" t="s">
        <v>74</v>
      </c>
      <c r="AU783">
        <v>2012</v>
      </c>
      <c r="AV783" t="s">
        <v>14582</v>
      </c>
      <c r="AW783" t="s">
        <v>74</v>
      </c>
      <c r="AX783" t="s">
        <v>74</v>
      </c>
      <c r="AY783" t="s">
        <v>74</v>
      </c>
      <c r="AZ783" t="s">
        <v>74</v>
      </c>
      <c r="BA783" t="s">
        <v>74</v>
      </c>
      <c r="BB783">
        <v>799</v>
      </c>
      <c r="BC783" t="s">
        <v>1734</v>
      </c>
      <c r="BD783" t="s">
        <v>74</v>
      </c>
      <c r="BE783" t="s">
        <v>14583</v>
      </c>
      <c r="BF783" t="str">
        <f>HYPERLINK("http://dx.doi.org/10.4028/www.scientific.net/AMR.361-363.799","http://dx.doi.org/10.4028/www.scientific.net/AMR.361-363.799")</f>
        <v>http://dx.doi.org/10.4028/www.scientific.net/AMR.361-363.799</v>
      </c>
      <c r="BG783" t="s">
        <v>74</v>
      </c>
      <c r="BH783" t="s">
        <v>74</v>
      </c>
      <c r="BI783">
        <v>2</v>
      </c>
      <c r="BJ783" t="s">
        <v>14584</v>
      </c>
      <c r="BK783" t="s">
        <v>12109</v>
      </c>
      <c r="BL783" t="s">
        <v>14585</v>
      </c>
      <c r="BM783" t="s">
        <v>14586</v>
      </c>
      <c r="BN783" t="s">
        <v>74</v>
      </c>
      <c r="BO783" t="s">
        <v>74</v>
      </c>
      <c r="BP783" t="s">
        <v>74</v>
      </c>
      <c r="BQ783" t="s">
        <v>74</v>
      </c>
      <c r="BR783" t="s">
        <v>101</v>
      </c>
      <c r="BS783" t="s">
        <v>14587</v>
      </c>
      <c r="BT783" t="str">
        <f>HYPERLINK("https%3A%2F%2Fwww.webofscience.com%2Fwos%2Fwoscc%2Ffull-record%2FWOS:000309373900147","View Full Record in Web of Science")</f>
        <v>View Full Record in Web of Science</v>
      </c>
    </row>
    <row r="784" spans="1:72" x14ac:dyDescent="0.15">
      <c r="A784" t="s">
        <v>72</v>
      </c>
      <c r="B784" t="s">
        <v>14588</v>
      </c>
      <c r="C784" t="s">
        <v>74</v>
      </c>
      <c r="D784" t="s">
        <v>74</v>
      </c>
      <c r="E784" t="s">
        <v>74</v>
      </c>
      <c r="F784" t="s">
        <v>14589</v>
      </c>
      <c r="G784" t="s">
        <v>74</v>
      </c>
      <c r="H784" t="s">
        <v>74</v>
      </c>
      <c r="I784" t="s">
        <v>14590</v>
      </c>
      <c r="J784" t="s">
        <v>14591</v>
      </c>
      <c r="K784" t="s">
        <v>74</v>
      </c>
      <c r="L784" t="s">
        <v>74</v>
      </c>
      <c r="M784" t="s">
        <v>78</v>
      </c>
      <c r="N784" t="s">
        <v>79</v>
      </c>
      <c r="O784" t="s">
        <v>74</v>
      </c>
      <c r="P784" t="s">
        <v>74</v>
      </c>
      <c r="Q784" t="s">
        <v>74</v>
      </c>
      <c r="R784" t="s">
        <v>74</v>
      </c>
      <c r="S784" t="s">
        <v>74</v>
      </c>
      <c r="T784" t="s">
        <v>14592</v>
      </c>
      <c r="U784" t="s">
        <v>14593</v>
      </c>
      <c r="V784" t="s">
        <v>14594</v>
      </c>
      <c r="W784" t="s">
        <v>14595</v>
      </c>
      <c r="X784" t="s">
        <v>74</v>
      </c>
      <c r="Y784" t="s">
        <v>14596</v>
      </c>
      <c r="Z784" t="s">
        <v>14597</v>
      </c>
      <c r="AA784" t="s">
        <v>14598</v>
      </c>
      <c r="AB784" t="s">
        <v>14599</v>
      </c>
      <c r="AC784" t="s">
        <v>74</v>
      </c>
      <c r="AD784" t="s">
        <v>74</v>
      </c>
      <c r="AE784" t="s">
        <v>74</v>
      </c>
      <c r="AF784" t="s">
        <v>74</v>
      </c>
      <c r="AG784">
        <v>109</v>
      </c>
      <c r="AH784">
        <v>15</v>
      </c>
      <c r="AI784">
        <v>19</v>
      </c>
      <c r="AJ784">
        <v>1</v>
      </c>
      <c r="AK784">
        <v>26</v>
      </c>
      <c r="AL784" t="s">
        <v>14600</v>
      </c>
      <c r="AM784" t="s">
        <v>14601</v>
      </c>
      <c r="AN784" t="s">
        <v>14602</v>
      </c>
      <c r="AO784" t="s">
        <v>14603</v>
      </c>
      <c r="AP784" t="s">
        <v>14604</v>
      </c>
      <c r="AQ784" t="s">
        <v>74</v>
      </c>
      <c r="AR784" t="s">
        <v>14605</v>
      </c>
      <c r="AS784" t="s">
        <v>14606</v>
      </c>
      <c r="AT784" t="s">
        <v>74</v>
      </c>
      <c r="AU784">
        <v>2012</v>
      </c>
      <c r="AV784">
        <v>33</v>
      </c>
      <c r="AW784">
        <v>3</v>
      </c>
      <c r="AX784" t="s">
        <v>74</v>
      </c>
      <c r="AY784" t="s">
        <v>74</v>
      </c>
      <c r="AZ784" t="s">
        <v>74</v>
      </c>
      <c r="BA784" t="s">
        <v>74</v>
      </c>
      <c r="BB784">
        <v>239</v>
      </c>
      <c r="BC784">
        <v>258</v>
      </c>
      <c r="BD784" t="s">
        <v>74</v>
      </c>
      <c r="BE784" t="s">
        <v>14607</v>
      </c>
      <c r="BF784" t="str">
        <f>HYPERLINK("http://dx.doi.org/10.2478/v10183-012-0014-3","http://dx.doi.org/10.2478/v10183-012-0014-3")</f>
        <v>http://dx.doi.org/10.2478/v10183-012-0014-3</v>
      </c>
      <c r="BG784" t="s">
        <v>74</v>
      </c>
      <c r="BH784" t="s">
        <v>74</v>
      </c>
      <c r="BI784">
        <v>20</v>
      </c>
      <c r="BJ784" t="s">
        <v>13277</v>
      </c>
      <c r="BK784" t="s">
        <v>99</v>
      </c>
      <c r="BL784" t="s">
        <v>6665</v>
      </c>
      <c r="BM784" t="s">
        <v>14608</v>
      </c>
      <c r="BN784" t="s">
        <v>74</v>
      </c>
      <c r="BO784" t="s">
        <v>74</v>
      </c>
      <c r="BP784" t="s">
        <v>74</v>
      </c>
      <c r="BQ784" t="s">
        <v>74</v>
      </c>
      <c r="BR784" t="s">
        <v>101</v>
      </c>
      <c r="BS784" t="s">
        <v>14609</v>
      </c>
      <c r="BT784" t="str">
        <f>HYPERLINK("https%3A%2F%2Fwww.webofscience.com%2Fwos%2Fwoscc%2Ffull-record%2FWOS:000310421800003","View Full Record in Web of Science")</f>
        <v>View Full Record in Web of Science</v>
      </c>
    </row>
    <row r="785" spans="1:72" x14ac:dyDescent="0.15">
      <c r="A785" t="s">
        <v>72</v>
      </c>
      <c r="B785" t="s">
        <v>14610</v>
      </c>
      <c r="C785" t="s">
        <v>74</v>
      </c>
      <c r="D785" t="s">
        <v>74</v>
      </c>
      <c r="E785" t="s">
        <v>74</v>
      </c>
      <c r="F785" t="s">
        <v>14611</v>
      </c>
      <c r="G785" t="s">
        <v>74</v>
      </c>
      <c r="H785" t="s">
        <v>74</v>
      </c>
      <c r="I785" t="s">
        <v>14612</v>
      </c>
      <c r="J785" t="s">
        <v>14591</v>
      </c>
      <c r="K785" t="s">
        <v>74</v>
      </c>
      <c r="L785" t="s">
        <v>74</v>
      </c>
      <c r="M785" t="s">
        <v>78</v>
      </c>
      <c r="N785" t="s">
        <v>79</v>
      </c>
      <c r="O785" t="s">
        <v>74</v>
      </c>
      <c r="P785" t="s">
        <v>74</v>
      </c>
      <c r="Q785" t="s">
        <v>74</v>
      </c>
      <c r="R785" t="s">
        <v>74</v>
      </c>
      <c r="S785" t="s">
        <v>74</v>
      </c>
      <c r="T785" t="s">
        <v>14613</v>
      </c>
      <c r="U785" t="s">
        <v>14614</v>
      </c>
      <c r="V785" t="s">
        <v>14615</v>
      </c>
      <c r="W785" t="s">
        <v>14616</v>
      </c>
      <c r="X785" t="s">
        <v>14617</v>
      </c>
      <c r="Y785" t="s">
        <v>14618</v>
      </c>
      <c r="Z785" t="s">
        <v>14619</v>
      </c>
      <c r="AA785" t="s">
        <v>14620</v>
      </c>
      <c r="AB785" t="s">
        <v>14621</v>
      </c>
      <c r="AC785" t="s">
        <v>14622</v>
      </c>
      <c r="AD785" t="s">
        <v>14623</v>
      </c>
      <c r="AE785" t="s">
        <v>14624</v>
      </c>
      <c r="AF785" t="s">
        <v>74</v>
      </c>
      <c r="AG785">
        <v>52</v>
      </c>
      <c r="AH785">
        <v>24</v>
      </c>
      <c r="AI785">
        <v>25</v>
      </c>
      <c r="AJ785">
        <v>0</v>
      </c>
      <c r="AK785">
        <v>6</v>
      </c>
      <c r="AL785" t="s">
        <v>14600</v>
      </c>
      <c r="AM785" t="s">
        <v>14601</v>
      </c>
      <c r="AN785" t="s">
        <v>14602</v>
      </c>
      <c r="AO785" t="s">
        <v>14603</v>
      </c>
      <c r="AP785" t="s">
        <v>14604</v>
      </c>
      <c r="AQ785" t="s">
        <v>74</v>
      </c>
      <c r="AR785" t="s">
        <v>14605</v>
      </c>
      <c r="AS785" t="s">
        <v>14606</v>
      </c>
      <c r="AT785" t="s">
        <v>74</v>
      </c>
      <c r="AU785">
        <v>2012</v>
      </c>
      <c r="AV785">
        <v>33</v>
      </c>
      <c r="AW785">
        <v>3</v>
      </c>
      <c r="AX785" t="s">
        <v>74</v>
      </c>
      <c r="AY785" t="s">
        <v>74</v>
      </c>
      <c r="AZ785" t="s">
        <v>74</v>
      </c>
      <c r="BA785" t="s">
        <v>74</v>
      </c>
      <c r="BB785">
        <v>259</v>
      </c>
      <c r="BC785">
        <v>274</v>
      </c>
      <c r="BD785" t="s">
        <v>74</v>
      </c>
      <c r="BE785" t="s">
        <v>14625</v>
      </c>
      <c r="BF785" t="str">
        <f>HYPERLINK("http://dx.doi.org/10.2478/v10183-012-0017-0","http://dx.doi.org/10.2478/v10183-012-0017-0")</f>
        <v>http://dx.doi.org/10.2478/v10183-012-0017-0</v>
      </c>
      <c r="BG785" t="s">
        <v>74</v>
      </c>
      <c r="BH785" t="s">
        <v>74</v>
      </c>
      <c r="BI785">
        <v>16</v>
      </c>
      <c r="BJ785" t="s">
        <v>13277</v>
      </c>
      <c r="BK785" t="s">
        <v>99</v>
      </c>
      <c r="BL785" t="s">
        <v>6665</v>
      </c>
      <c r="BM785" t="s">
        <v>14608</v>
      </c>
      <c r="BN785" t="s">
        <v>74</v>
      </c>
      <c r="BO785" t="s">
        <v>156</v>
      </c>
      <c r="BP785" t="s">
        <v>74</v>
      </c>
      <c r="BQ785" t="s">
        <v>74</v>
      </c>
      <c r="BR785" t="s">
        <v>101</v>
      </c>
      <c r="BS785" t="s">
        <v>14626</v>
      </c>
      <c r="BT785" t="str">
        <f>HYPERLINK("https%3A%2F%2Fwww.webofscience.com%2Fwos%2Fwoscc%2Ffull-record%2FWOS:000310421800004","View Full Record in Web of Science")</f>
        <v>View Full Record in Web of Science</v>
      </c>
    </row>
    <row r="786" spans="1:72" x14ac:dyDescent="0.15">
      <c r="A786" t="s">
        <v>72</v>
      </c>
      <c r="B786" t="s">
        <v>14627</v>
      </c>
      <c r="C786" t="s">
        <v>74</v>
      </c>
      <c r="D786" t="s">
        <v>74</v>
      </c>
      <c r="E786" t="s">
        <v>74</v>
      </c>
      <c r="F786" t="s">
        <v>14628</v>
      </c>
      <c r="G786" t="s">
        <v>74</v>
      </c>
      <c r="H786" t="s">
        <v>74</v>
      </c>
      <c r="I786" t="s">
        <v>14629</v>
      </c>
      <c r="J786" t="s">
        <v>14591</v>
      </c>
      <c r="K786" t="s">
        <v>74</v>
      </c>
      <c r="L786" t="s">
        <v>74</v>
      </c>
      <c r="M786" t="s">
        <v>78</v>
      </c>
      <c r="N786" t="s">
        <v>79</v>
      </c>
      <c r="O786" t="s">
        <v>74</v>
      </c>
      <c r="P786" t="s">
        <v>74</v>
      </c>
      <c r="Q786" t="s">
        <v>74</v>
      </c>
      <c r="R786" t="s">
        <v>74</v>
      </c>
      <c r="S786" t="s">
        <v>74</v>
      </c>
      <c r="T786" t="s">
        <v>14630</v>
      </c>
      <c r="U786" t="s">
        <v>14631</v>
      </c>
      <c r="V786" t="s">
        <v>14632</v>
      </c>
      <c r="W786" t="s">
        <v>14633</v>
      </c>
      <c r="X786" t="s">
        <v>14634</v>
      </c>
      <c r="Y786" t="s">
        <v>14635</v>
      </c>
      <c r="Z786" t="s">
        <v>14636</v>
      </c>
      <c r="AA786" t="s">
        <v>14637</v>
      </c>
      <c r="AB786" t="s">
        <v>14638</v>
      </c>
      <c r="AC786" t="s">
        <v>14639</v>
      </c>
      <c r="AD786" t="s">
        <v>14640</v>
      </c>
      <c r="AE786" t="s">
        <v>14641</v>
      </c>
      <c r="AF786" t="s">
        <v>74</v>
      </c>
      <c r="AG786">
        <v>38</v>
      </c>
      <c r="AH786">
        <v>7</v>
      </c>
      <c r="AI786">
        <v>7</v>
      </c>
      <c r="AJ786">
        <v>1</v>
      </c>
      <c r="AK786">
        <v>6</v>
      </c>
      <c r="AL786" t="s">
        <v>14642</v>
      </c>
      <c r="AM786" t="s">
        <v>9392</v>
      </c>
      <c r="AN786" t="s">
        <v>14643</v>
      </c>
      <c r="AO786" t="s">
        <v>14603</v>
      </c>
      <c r="AP786" t="s">
        <v>74</v>
      </c>
      <c r="AQ786" t="s">
        <v>74</v>
      </c>
      <c r="AR786" t="s">
        <v>14605</v>
      </c>
      <c r="AS786" t="s">
        <v>14606</v>
      </c>
      <c r="AT786" t="s">
        <v>74</v>
      </c>
      <c r="AU786">
        <v>2012</v>
      </c>
      <c r="AV786">
        <v>33</v>
      </c>
      <c r="AW786">
        <v>3</v>
      </c>
      <c r="AX786" t="s">
        <v>74</v>
      </c>
      <c r="AY786" t="s">
        <v>74</v>
      </c>
      <c r="AZ786" t="s">
        <v>74</v>
      </c>
      <c r="BA786" t="s">
        <v>74</v>
      </c>
      <c r="BB786">
        <v>275</v>
      </c>
      <c r="BC786">
        <v>287</v>
      </c>
      <c r="BD786" t="s">
        <v>74</v>
      </c>
      <c r="BE786" t="s">
        <v>14644</v>
      </c>
      <c r="BF786" t="str">
        <f>HYPERLINK("http://dx.doi.org/10.2478/v10183-012-0015-2","http://dx.doi.org/10.2478/v10183-012-0015-2")</f>
        <v>http://dx.doi.org/10.2478/v10183-012-0015-2</v>
      </c>
      <c r="BG786" t="s">
        <v>74</v>
      </c>
      <c r="BH786" t="s">
        <v>74</v>
      </c>
      <c r="BI786">
        <v>13</v>
      </c>
      <c r="BJ786" t="s">
        <v>13277</v>
      </c>
      <c r="BK786" t="s">
        <v>99</v>
      </c>
      <c r="BL786" t="s">
        <v>6665</v>
      </c>
      <c r="BM786" t="s">
        <v>14608</v>
      </c>
      <c r="BN786" t="s">
        <v>74</v>
      </c>
      <c r="BO786" t="s">
        <v>74</v>
      </c>
      <c r="BP786" t="s">
        <v>74</v>
      </c>
      <c r="BQ786" t="s">
        <v>74</v>
      </c>
      <c r="BR786" t="s">
        <v>101</v>
      </c>
      <c r="BS786" t="s">
        <v>14645</v>
      </c>
      <c r="BT786" t="str">
        <f>HYPERLINK("https%3A%2F%2Fwww.webofscience.com%2Fwos%2Fwoscc%2Ffull-record%2FWOS:000310421800005","View Full Record in Web of Science")</f>
        <v>View Full Record in Web of Science</v>
      </c>
    </row>
    <row r="787" spans="1:72" x14ac:dyDescent="0.15">
      <c r="A787" t="s">
        <v>12086</v>
      </c>
      <c r="B787" t="s">
        <v>14646</v>
      </c>
      <c r="C787" t="s">
        <v>74</v>
      </c>
      <c r="D787" t="s">
        <v>14647</v>
      </c>
      <c r="E787" t="s">
        <v>74</v>
      </c>
      <c r="F787" t="s">
        <v>14648</v>
      </c>
      <c r="G787" t="s">
        <v>74</v>
      </c>
      <c r="H787" t="s">
        <v>74</v>
      </c>
      <c r="I787" t="s">
        <v>14649</v>
      </c>
      <c r="J787" t="s">
        <v>14650</v>
      </c>
      <c r="K787" t="s">
        <v>14493</v>
      </c>
      <c r="L787" t="s">
        <v>74</v>
      </c>
      <c r="M787" t="s">
        <v>78</v>
      </c>
      <c r="N787" t="s">
        <v>12093</v>
      </c>
      <c r="O787" t="s">
        <v>14566</v>
      </c>
      <c r="P787" t="s">
        <v>14567</v>
      </c>
      <c r="Q787" t="s">
        <v>14568</v>
      </c>
      <c r="R787" t="s">
        <v>74</v>
      </c>
      <c r="S787" t="s">
        <v>14569</v>
      </c>
      <c r="T787" t="s">
        <v>14651</v>
      </c>
      <c r="U787" t="s">
        <v>14652</v>
      </c>
      <c r="V787" t="s">
        <v>14653</v>
      </c>
      <c r="W787" t="s">
        <v>14654</v>
      </c>
      <c r="X787" t="s">
        <v>14655</v>
      </c>
      <c r="Y787" t="s">
        <v>14656</v>
      </c>
      <c r="Z787" t="s">
        <v>14657</v>
      </c>
      <c r="AA787" t="s">
        <v>14658</v>
      </c>
      <c r="AB787" t="s">
        <v>74</v>
      </c>
      <c r="AC787" t="s">
        <v>74</v>
      </c>
      <c r="AD787" t="s">
        <v>74</v>
      </c>
      <c r="AE787" t="s">
        <v>74</v>
      </c>
      <c r="AF787" t="s">
        <v>74</v>
      </c>
      <c r="AG787">
        <v>10</v>
      </c>
      <c r="AH787">
        <v>0</v>
      </c>
      <c r="AI787">
        <v>0</v>
      </c>
      <c r="AJ787">
        <v>0</v>
      </c>
      <c r="AK787">
        <v>11</v>
      </c>
      <c r="AL787" t="s">
        <v>12455</v>
      </c>
      <c r="AM787" t="s">
        <v>14659</v>
      </c>
      <c r="AN787" t="s">
        <v>14660</v>
      </c>
      <c r="AO787" t="s">
        <v>14504</v>
      </c>
      <c r="AP787" t="s">
        <v>74</v>
      </c>
      <c r="AQ787" t="s">
        <v>14661</v>
      </c>
      <c r="AR787" t="s">
        <v>14506</v>
      </c>
      <c r="AS787" t="s">
        <v>74</v>
      </c>
      <c r="AT787" t="s">
        <v>74</v>
      </c>
      <c r="AU787">
        <v>2012</v>
      </c>
      <c r="AV787" t="s">
        <v>14662</v>
      </c>
      <c r="AW787" t="s">
        <v>74</v>
      </c>
      <c r="AX787" t="s">
        <v>14663</v>
      </c>
      <c r="AY787" t="s">
        <v>74</v>
      </c>
      <c r="AZ787" t="s">
        <v>74</v>
      </c>
      <c r="BA787" t="s">
        <v>74</v>
      </c>
      <c r="BB787">
        <v>635</v>
      </c>
      <c r="BC787">
        <v>638</v>
      </c>
      <c r="BD787" t="s">
        <v>74</v>
      </c>
      <c r="BE787" t="s">
        <v>14664</v>
      </c>
      <c r="BF787" t="str">
        <f>HYPERLINK("http://dx.doi.org/10.4028/www.scientific.net/AMR.347-353.635","http://dx.doi.org/10.4028/www.scientific.net/AMR.347-353.635")</f>
        <v>http://dx.doi.org/10.4028/www.scientific.net/AMR.347-353.635</v>
      </c>
      <c r="BG787" t="s">
        <v>74</v>
      </c>
      <c r="BH787" t="s">
        <v>74</v>
      </c>
      <c r="BI787">
        <v>4</v>
      </c>
      <c r="BJ787" t="s">
        <v>14665</v>
      </c>
      <c r="BK787" t="s">
        <v>12109</v>
      </c>
      <c r="BL787" t="s">
        <v>14666</v>
      </c>
      <c r="BM787" t="s">
        <v>14667</v>
      </c>
      <c r="BN787" t="s">
        <v>74</v>
      </c>
      <c r="BO787" t="s">
        <v>74</v>
      </c>
      <c r="BP787" t="s">
        <v>74</v>
      </c>
      <c r="BQ787" t="s">
        <v>74</v>
      </c>
      <c r="BR787" t="s">
        <v>101</v>
      </c>
      <c r="BS787" t="s">
        <v>14668</v>
      </c>
      <c r="BT787" t="str">
        <f>HYPERLINK("https%3A%2F%2Fwww.webofscience.com%2Fwos%2Fwoscc%2Ffull-record%2FWOS:000309147800125","View Full Record in Web of Science")</f>
        <v>View Full Record in Web of Science</v>
      </c>
    </row>
    <row r="788" spans="1:72" x14ac:dyDescent="0.15">
      <c r="A788" t="s">
        <v>72</v>
      </c>
      <c r="B788" t="s">
        <v>14669</v>
      </c>
      <c r="C788" t="s">
        <v>74</v>
      </c>
      <c r="D788" t="s">
        <v>74</v>
      </c>
      <c r="E788" t="s">
        <v>74</v>
      </c>
      <c r="F788" t="s">
        <v>14670</v>
      </c>
      <c r="G788" t="s">
        <v>74</v>
      </c>
      <c r="H788" t="s">
        <v>74</v>
      </c>
      <c r="I788" t="s">
        <v>14671</v>
      </c>
      <c r="J788" t="s">
        <v>14672</v>
      </c>
      <c r="K788" t="s">
        <v>74</v>
      </c>
      <c r="L788" t="s">
        <v>74</v>
      </c>
      <c r="M788" t="s">
        <v>78</v>
      </c>
      <c r="N788" t="s">
        <v>79</v>
      </c>
      <c r="O788" t="s">
        <v>74</v>
      </c>
      <c r="P788" t="s">
        <v>74</v>
      </c>
      <c r="Q788" t="s">
        <v>74</v>
      </c>
      <c r="R788" t="s">
        <v>74</v>
      </c>
      <c r="S788" t="s">
        <v>74</v>
      </c>
      <c r="T788" t="s">
        <v>14673</v>
      </c>
      <c r="U788" t="s">
        <v>14674</v>
      </c>
      <c r="V788" t="s">
        <v>14675</v>
      </c>
      <c r="W788" t="s">
        <v>14676</v>
      </c>
      <c r="X788" t="s">
        <v>546</v>
      </c>
      <c r="Y788" t="s">
        <v>14677</v>
      </c>
      <c r="Z788" t="s">
        <v>14678</v>
      </c>
      <c r="AA788" t="s">
        <v>14679</v>
      </c>
      <c r="AB788" t="s">
        <v>14680</v>
      </c>
      <c r="AC788" t="s">
        <v>74</v>
      </c>
      <c r="AD788" t="s">
        <v>74</v>
      </c>
      <c r="AE788" t="s">
        <v>74</v>
      </c>
      <c r="AF788" t="s">
        <v>74</v>
      </c>
      <c r="AG788">
        <v>191</v>
      </c>
      <c r="AH788">
        <v>35</v>
      </c>
      <c r="AI788">
        <v>35</v>
      </c>
      <c r="AJ788">
        <v>2</v>
      </c>
      <c r="AK788">
        <v>68</v>
      </c>
      <c r="AL788" t="s">
        <v>14681</v>
      </c>
      <c r="AM788" t="s">
        <v>14682</v>
      </c>
      <c r="AN788" t="s">
        <v>14683</v>
      </c>
      <c r="AO788" t="s">
        <v>14684</v>
      </c>
      <c r="AP788" t="s">
        <v>14685</v>
      </c>
      <c r="AQ788" t="s">
        <v>74</v>
      </c>
      <c r="AR788" t="s">
        <v>14686</v>
      </c>
      <c r="AS788" t="s">
        <v>14687</v>
      </c>
      <c r="AT788" t="s">
        <v>74</v>
      </c>
      <c r="AU788">
        <v>2012</v>
      </c>
      <c r="AV788">
        <v>20</v>
      </c>
      <c r="AW788">
        <v>4</v>
      </c>
      <c r="AX788" t="s">
        <v>74</v>
      </c>
      <c r="AY788" t="s">
        <v>74</v>
      </c>
      <c r="AZ788" t="s">
        <v>74</v>
      </c>
      <c r="BA788" t="s">
        <v>74</v>
      </c>
      <c r="BB788">
        <v>220</v>
      </c>
      <c r="BC788">
        <v>250</v>
      </c>
      <c r="BD788" t="s">
        <v>74</v>
      </c>
      <c r="BE788" t="s">
        <v>14688</v>
      </c>
      <c r="BF788" t="str">
        <f>HYPERLINK("http://dx.doi.org/10.1080/10641262.2012.725434","http://dx.doi.org/10.1080/10641262.2012.725434")</f>
        <v>http://dx.doi.org/10.1080/10641262.2012.725434</v>
      </c>
      <c r="BG788" t="s">
        <v>74</v>
      </c>
      <c r="BH788" t="s">
        <v>74</v>
      </c>
      <c r="BI788">
        <v>31</v>
      </c>
      <c r="BJ788" t="s">
        <v>609</v>
      </c>
      <c r="BK788" t="s">
        <v>99</v>
      </c>
      <c r="BL788" t="s">
        <v>609</v>
      </c>
      <c r="BM788" t="s">
        <v>14689</v>
      </c>
      <c r="BN788" t="s">
        <v>74</v>
      </c>
      <c r="BO788" t="s">
        <v>74</v>
      </c>
      <c r="BP788" t="s">
        <v>74</v>
      </c>
      <c r="BQ788" t="s">
        <v>74</v>
      </c>
      <c r="BR788" t="s">
        <v>101</v>
      </c>
      <c r="BS788" t="s">
        <v>14690</v>
      </c>
      <c r="BT788" t="str">
        <f>HYPERLINK("https%3A%2F%2Fwww.webofscience.com%2Fwos%2Fwoscc%2Ffull-record%2FWOS:000310138800004","View Full Record in Web of Science")</f>
        <v>View Full Record in Web of Science</v>
      </c>
    </row>
    <row r="789" spans="1:72" x14ac:dyDescent="0.15">
      <c r="A789" t="s">
        <v>12134</v>
      </c>
      <c r="B789" t="s">
        <v>14691</v>
      </c>
      <c r="C789" t="s">
        <v>74</v>
      </c>
      <c r="D789" t="s">
        <v>14692</v>
      </c>
      <c r="E789" t="s">
        <v>74</v>
      </c>
      <c r="F789" t="s">
        <v>14693</v>
      </c>
      <c r="G789" t="s">
        <v>74</v>
      </c>
      <c r="H789" t="s">
        <v>74</v>
      </c>
      <c r="I789" t="s">
        <v>14694</v>
      </c>
      <c r="J789" t="s">
        <v>14695</v>
      </c>
      <c r="K789" t="s">
        <v>14696</v>
      </c>
      <c r="L789" t="s">
        <v>74</v>
      </c>
      <c r="M789" t="s">
        <v>78</v>
      </c>
      <c r="N789" t="s">
        <v>12473</v>
      </c>
      <c r="O789" t="s">
        <v>74</v>
      </c>
      <c r="P789" t="s">
        <v>74</v>
      </c>
      <c r="Q789" t="s">
        <v>74</v>
      </c>
      <c r="R789" t="s">
        <v>74</v>
      </c>
      <c r="S789" t="s">
        <v>74</v>
      </c>
      <c r="T789" t="s">
        <v>14697</v>
      </c>
      <c r="U789" t="s">
        <v>14698</v>
      </c>
      <c r="V789" t="s">
        <v>14699</v>
      </c>
      <c r="W789" t="s">
        <v>14700</v>
      </c>
      <c r="X789" t="s">
        <v>1703</v>
      </c>
      <c r="Y789" t="s">
        <v>14701</v>
      </c>
      <c r="Z789" t="s">
        <v>14702</v>
      </c>
      <c r="AA789" t="s">
        <v>14703</v>
      </c>
      <c r="AB789" t="s">
        <v>14704</v>
      </c>
      <c r="AC789" t="s">
        <v>74</v>
      </c>
      <c r="AD789" t="s">
        <v>74</v>
      </c>
      <c r="AE789" t="s">
        <v>74</v>
      </c>
      <c r="AF789" t="s">
        <v>74</v>
      </c>
      <c r="AG789">
        <v>116</v>
      </c>
      <c r="AH789">
        <v>13</v>
      </c>
      <c r="AI789">
        <v>17</v>
      </c>
      <c r="AJ789">
        <v>1</v>
      </c>
      <c r="AK789">
        <v>42</v>
      </c>
      <c r="AL789" t="s">
        <v>14705</v>
      </c>
      <c r="AM789" t="s">
        <v>14706</v>
      </c>
      <c r="AN789" t="s">
        <v>14707</v>
      </c>
      <c r="AO789" t="s">
        <v>14708</v>
      </c>
      <c r="AP789" t="s">
        <v>74</v>
      </c>
      <c r="AQ789" t="s">
        <v>14709</v>
      </c>
      <c r="AR789" t="s">
        <v>14710</v>
      </c>
      <c r="AS789" t="s">
        <v>14711</v>
      </c>
      <c r="AT789" t="s">
        <v>74</v>
      </c>
      <c r="AU789">
        <v>2012</v>
      </c>
      <c r="AV789">
        <v>37</v>
      </c>
      <c r="AW789" t="s">
        <v>74</v>
      </c>
      <c r="AX789" t="s">
        <v>74</v>
      </c>
      <c r="AY789" t="s">
        <v>74</v>
      </c>
      <c r="AZ789" t="s">
        <v>74</v>
      </c>
      <c r="BA789" t="s">
        <v>74</v>
      </c>
      <c r="BB789">
        <v>449</v>
      </c>
      <c r="BC789">
        <v>472</v>
      </c>
      <c r="BD789" t="s">
        <v>74</v>
      </c>
      <c r="BE789" t="s">
        <v>14712</v>
      </c>
      <c r="BF789" t="str">
        <f>HYPERLINK("http://dx.doi.org/10.1146/annurev-environ-042711-121244","http://dx.doi.org/10.1146/annurev-environ-042711-121244")</f>
        <v>http://dx.doi.org/10.1146/annurev-environ-042711-121244</v>
      </c>
      <c r="BG789" t="s">
        <v>74</v>
      </c>
      <c r="BH789" t="s">
        <v>74</v>
      </c>
      <c r="BI789">
        <v>24</v>
      </c>
      <c r="BJ789" t="s">
        <v>13025</v>
      </c>
      <c r="BK789" t="s">
        <v>14713</v>
      </c>
      <c r="BL789" t="s">
        <v>1259</v>
      </c>
      <c r="BM789" t="s">
        <v>14714</v>
      </c>
      <c r="BN789" t="s">
        <v>74</v>
      </c>
      <c r="BO789" t="s">
        <v>74</v>
      </c>
      <c r="BP789" t="s">
        <v>74</v>
      </c>
      <c r="BQ789" t="s">
        <v>74</v>
      </c>
      <c r="BR789" t="s">
        <v>101</v>
      </c>
      <c r="BS789" t="s">
        <v>14715</v>
      </c>
      <c r="BT789" t="str">
        <f>HYPERLINK("https%3A%2F%2Fwww.webofscience.com%2Fwos%2Fwoscc%2Ffull-record%2FWOS:000310224900019","View Full Record in Web of Science")</f>
        <v>View Full Record in Web of Science</v>
      </c>
    </row>
    <row r="790" spans="1:72" x14ac:dyDescent="0.15">
      <c r="A790" t="s">
        <v>72</v>
      </c>
      <c r="B790" t="s">
        <v>14716</v>
      </c>
      <c r="C790" t="s">
        <v>74</v>
      </c>
      <c r="D790" t="s">
        <v>74</v>
      </c>
      <c r="E790" t="s">
        <v>74</v>
      </c>
      <c r="F790" t="s">
        <v>14717</v>
      </c>
      <c r="G790" t="s">
        <v>74</v>
      </c>
      <c r="H790" t="s">
        <v>74</v>
      </c>
      <c r="I790" t="s">
        <v>14718</v>
      </c>
      <c r="J790" t="s">
        <v>13981</v>
      </c>
      <c r="K790" t="s">
        <v>74</v>
      </c>
      <c r="L790" t="s">
        <v>74</v>
      </c>
      <c r="M790" t="s">
        <v>78</v>
      </c>
      <c r="N790" t="s">
        <v>79</v>
      </c>
      <c r="O790" t="s">
        <v>74</v>
      </c>
      <c r="P790" t="s">
        <v>74</v>
      </c>
      <c r="Q790" t="s">
        <v>74</v>
      </c>
      <c r="R790" t="s">
        <v>74</v>
      </c>
      <c r="S790" t="s">
        <v>74</v>
      </c>
      <c r="T790" t="s">
        <v>14719</v>
      </c>
      <c r="U790" t="s">
        <v>14720</v>
      </c>
      <c r="V790" t="s">
        <v>14721</v>
      </c>
      <c r="W790" t="s">
        <v>14722</v>
      </c>
      <c r="X790" t="s">
        <v>14723</v>
      </c>
      <c r="Y790" t="s">
        <v>14724</v>
      </c>
      <c r="Z790" t="s">
        <v>14725</v>
      </c>
      <c r="AA790" t="s">
        <v>14726</v>
      </c>
      <c r="AB790" t="s">
        <v>14727</v>
      </c>
      <c r="AC790" t="s">
        <v>14728</v>
      </c>
      <c r="AD790" t="s">
        <v>14728</v>
      </c>
      <c r="AE790" t="s">
        <v>14729</v>
      </c>
      <c r="AF790" t="s">
        <v>74</v>
      </c>
      <c r="AG790">
        <v>69</v>
      </c>
      <c r="AH790">
        <v>16</v>
      </c>
      <c r="AI790">
        <v>16</v>
      </c>
      <c r="AJ790">
        <v>1</v>
      </c>
      <c r="AK790">
        <v>27</v>
      </c>
      <c r="AL790" t="s">
        <v>13640</v>
      </c>
      <c r="AM790" t="s">
        <v>13641</v>
      </c>
      <c r="AN790" t="s">
        <v>13642</v>
      </c>
      <c r="AO790" t="s">
        <v>13994</v>
      </c>
      <c r="AP790" t="s">
        <v>13995</v>
      </c>
      <c r="AQ790" t="s">
        <v>74</v>
      </c>
      <c r="AR790" t="s">
        <v>13996</v>
      </c>
      <c r="AS790" t="s">
        <v>13997</v>
      </c>
      <c r="AT790" t="s">
        <v>74</v>
      </c>
      <c r="AU790">
        <v>2012</v>
      </c>
      <c r="AV790">
        <v>17</v>
      </c>
      <c r="AW790">
        <v>1</v>
      </c>
      <c r="AX790" t="s">
        <v>74</v>
      </c>
      <c r="AY790" t="s">
        <v>74</v>
      </c>
      <c r="AZ790" t="s">
        <v>74</v>
      </c>
      <c r="BA790" t="s">
        <v>74</v>
      </c>
      <c r="BB790">
        <v>71</v>
      </c>
      <c r="BC790">
        <v>79</v>
      </c>
      <c r="BD790" t="s">
        <v>74</v>
      </c>
      <c r="BE790" t="s">
        <v>14730</v>
      </c>
      <c r="BF790" t="str">
        <f>HYPERLINK("http://dx.doi.org/10.3354/ab00463","http://dx.doi.org/10.3354/ab00463")</f>
        <v>http://dx.doi.org/10.3354/ab00463</v>
      </c>
      <c r="BG790" t="s">
        <v>74</v>
      </c>
      <c r="BH790" t="s">
        <v>74</v>
      </c>
      <c r="BI790">
        <v>9</v>
      </c>
      <c r="BJ790" t="s">
        <v>588</v>
      </c>
      <c r="BK790" t="s">
        <v>99</v>
      </c>
      <c r="BL790" t="s">
        <v>588</v>
      </c>
      <c r="BM790" t="s">
        <v>14731</v>
      </c>
      <c r="BN790" t="s">
        <v>74</v>
      </c>
      <c r="BO790" t="s">
        <v>197</v>
      </c>
      <c r="BP790" t="s">
        <v>74</v>
      </c>
      <c r="BQ790" t="s">
        <v>74</v>
      </c>
      <c r="BR790" t="s">
        <v>101</v>
      </c>
      <c r="BS790" t="s">
        <v>14732</v>
      </c>
      <c r="BT790" t="str">
        <f>HYPERLINK("https%3A%2F%2Fwww.webofscience.com%2Fwos%2Fwoscc%2Ffull-record%2FWOS:000310151500008","View Full Record in Web of Science")</f>
        <v>View Full Record in Web of Science</v>
      </c>
    </row>
    <row r="791" spans="1:72" x14ac:dyDescent="0.15">
      <c r="A791" t="s">
        <v>72</v>
      </c>
      <c r="B791" t="s">
        <v>14733</v>
      </c>
      <c r="C791" t="s">
        <v>74</v>
      </c>
      <c r="D791" t="s">
        <v>74</v>
      </c>
      <c r="E791" t="s">
        <v>74</v>
      </c>
      <c r="F791" t="s">
        <v>14734</v>
      </c>
      <c r="G791" t="s">
        <v>74</v>
      </c>
      <c r="H791" t="s">
        <v>74</v>
      </c>
      <c r="I791" t="s">
        <v>14735</v>
      </c>
      <c r="J791" t="s">
        <v>14736</v>
      </c>
      <c r="K791" t="s">
        <v>74</v>
      </c>
      <c r="L791" t="s">
        <v>74</v>
      </c>
      <c r="M791" t="s">
        <v>78</v>
      </c>
      <c r="N791" t="s">
        <v>79</v>
      </c>
      <c r="O791" t="s">
        <v>74</v>
      </c>
      <c r="P791" t="s">
        <v>74</v>
      </c>
      <c r="Q791" t="s">
        <v>74</v>
      </c>
      <c r="R791" t="s">
        <v>74</v>
      </c>
      <c r="S791" t="s">
        <v>74</v>
      </c>
      <c r="T791" t="s">
        <v>14737</v>
      </c>
      <c r="U791" t="s">
        <v>14738</v>
      </c>
      <c r="V791" t="s">
        <v>14739</v>
      </c>
      <c r="W791" t="s">
        <v>14740</v>
      </c>
      <c r="X791" t="s">
        <v>14741</v>
      </c>
      <c r="Y791" t="s">
        <v>14742</v>
      </c>
      <c r="Z791" t="s">
        <v>14743</v>
      </c>
      <c r="AA791" t="s">
        <v>74</v>
      </c>
      <c r="AB791" t="s">
        <v>14744</v>
      </c>
      <c r="AC791" t="s">
        <v>14745</v>
      </c>
      <c r="AD791" t="s">
        <v>14745</v>
      </c>
      <c r="AE791" t="s">
        <v>14746</v>
      </c>
      <c r="AF791" t="s">
        <v>74</v>
      </c>
      <c r="AG791">
        <v>76</v>
      </c>
      <c r="AH791">
        <v>9</v>
      </c>
      <c r="AI791">
        <v>11</v>
      </c>
      <c r="AJ791">
        <v>3</v>
      </c>
      <c r="AK791">
        <v>16</v>
      </c>
      <c r="AL791" t="s">
        <v>13640</v>
      </c>
      <c r="AM791" t="s">
        <v>13641</v>
      </c>
      <c r="AN791" t="s">
        <v>13642</v>
      </c>
      <c r="AO791" t="s">
        <v>14747</v>
      </c>
      <c r="AP791" t="s">
        <v>74</v>
      </c>
      <c r="AQ791" t="s">
        <v>74</v>
      </c>
      <c r="AR791" t="s">
        <v>14748</v>
      </c>
      <c r="AS791" t="s">
        <v>14749</v>
      </c>
      <c r="AT791" t="s">
        <v>74</v>
      </c>
      <c r="AU791">
        <v>2012</v>
      </c>
      <c r="AV791">
        <v>67</v>
      </c>
      <c r="AW791">
        <v>2</v>
      </c>
      <c r="AX791" t="s">
        <v>74</v>
      </c>
      <c r="AY791" t="s">
        <v>74</v>
      </c>
      <c r="AZ791" t="s">
        <v>74</v>
      </c>
      <c r="BA791" t="s">
        <v>74</v>
      </c>
      <c r="BB791">
        <v>123</v>
      </c>
      <c r="BC791">
        <v>137</v>
      </c>
      <c r="BD791" t="s">
        <v>74</v>
      </c>
      <c r="BE791" t="s">
        <v>14750</v>
      </c>
      <c r="BF791" t="str">
        <f>HYPERLINK("http://dx.doi.org/10.3354/ame01588","http://dx.doi.org/10.3354/ame01588")</f>
        <v>http://dx.doi.org/10.3354/ame01588</v>
      </c>
      <c r="BG791" t="s">
        <v>74</v>
      </c>
      <c r="BH791" t="s">
        <v>74</v>
      </c>
      <c r="BI791">
        <v>15</v>
      </c>
      <c r="BJ791" t="s">
        <v>662</v>
      </c>
      <c r="BK791" t="s">
        <v>99</v>
      </c>
      <c r="BL791" t="s">
        <v>663</v>
      </c>
      <c r="BM791" t="s">
        <v>14751</v>
      </c>
      <c r="BN791" t="s">
        <v>74</v>
      </c>
      <c r="BO791" t="s">
        <v>217</v>
      </c>
      <c r="BP791" t="s">
        <v>74</v>
      </c>
      <c r="BQ791" t="s">
        <v>74</v>
      </c>
      <c r="BR791" t="s">
        <v>101</v>
      </c>
      <c r="BS791" t="s">
        <v>14752</v>
      </c>
      <c r="BT791" t="str">
        <f>HYPERLINK("https%3A%2F%2Fwww.webofscience.com%2Fwos%2Fwoscc%2Ffull-record%2FWOS:000310006400003","View Full Record in Web of Science")</f>
        <v>View Full Record in Web of Science</v>
      </c>
    </row>
    <row r="792" spans="1:72" x14ac:dyDescent="0.15">
      <c r="A792" t="s">
        <v>72</v>
      </c>
      <c r="B792" t="s">
        <v>14753</v>
      </c>
      <c r="C792" t="s">
        <v>74</v>
      </c>
      <c r="D792" t="s">
        <v>74</v>
      </c>
      <c r="E792" t="s">
        <v>74</v>
      </c>
      <c r="F792" t="s">
        <v>14754</v>
      </c>
      <c r="G792" t="s">
        <v>74</v>
      </c>
      <c r="H792" t="s">
        <v>74</v>
      </c>
      <c r="I792" t="s">
        <v>14755</v>
      </c>
      <c r="J792" t="s">
        <v>14756</v>
      </c>
      <c r="K792" t="s">
        <v>74</v>
      </c>
      <c r="L792" t="s">
        <v>74</v>
      </c>
      <c r="M792" t="s">
        <v>78</v>
      </c>
      <c r="N792" t="s">
        <v>79</v>
      </c>
      <c r="O792" t="s">
        <v>74</v>
      </c>
      <c r="P792" t="s">
        <v>74</v>
      </c>
      <c r="Q792" t="s">
        <v>74</v>
      </c>
      <c r="R792" t="s">
        <v>74</v>
      </c>
      <c r="S792" t="s">
        <v>74</v>
      </c>
      <c r="T792" t="s">
        <v>14757</v>
      </c>
      <c r="U792" t="s">
        <v>14758</v>
      </c>
      <c r="V792" t="s">
        <v>14759</v>
      </c>
      <c r="W792" t="s">
        <v>14760</v>
      </c>
      <c r="X792" t="s">
        <v>14761</v>
      </c>
      <c r="Y792" t="s">
        <v>14762</v>
      </c>
      <c r="Z792" t="s">
        <v>388</v>
      </c>
      <c r="AA792" t="s">
        <v>74</v>
      </c>
      <c r="AB792" t="s">
        <v>14763</v>
      </c>
      <c r="AC792" t="s">
        <v>14764</v>
      </c>
      <c r="AD792" t="s">
        <v>14764</v>
      </c>
      <c r="AE792" t="s">
        <v>14765</v>
      </c>
      <c r="AF792" t="s">
        <v>74</v>
      </c>
      <c r="AG792">
        <v>51</v>
      </c>
      <c r="AH792">
        <v>9</v>
      </c>
      <c r="AI792">
        <v>11</v>
      </c>
      <c r="AJ792">
        <v>0</v>
      </c>
      <c r="AK792">
        <v>8</v>
      </c>
      <c r="AL792" t="s">
        <v>761</v>
      </c>
      <c r="AM792" t="s">
        <v>762</v>
      </c>
      <c r="AN792" t="s">
        <v>10609</v>
      </c>
      <c r="AO792" t="s">
        <v>14766</v>
      </c>
      <c r="AP792" t="s">
        <v>74</v>
      </c>
      <c r="AQ792" t="s">
        <v>74</v>
      </c>
      <c r="AR792" t="s">
        <v>14767</v>
      </c>
      <c r="AS792" t="s">
        <v>14768</v>
      </c>
      <c r="AT792" t="s">
        <v>74</v>
      </c>
      <c r="AU792">
        <v>2012</v>
      </c>
      <c r="AV792">
        <v>27</v>
      </c>
      <c r="AW792">
        <v>4</v>
      </c>
      <c r="AX792" t="s">
        <v>74</v>
      </c>
      <c r="AY792" t="s">
        <v>74</v>
      </c>
      <c r="AZ792" t="s">
        <v>74</v>
      </c>
      <c r="BA792" t="s">
        <v>74</v>
      </c>
      <c r="BB792">
        <v>213</v>
      </c>
      <c r="BC792">
        <v>221</v>
      </c>
      <c r="BD792" t="s">
        <v>74</v>
      </c>
      <c r="BE792" t="s">
        <v>14769</v>
      </c>
      <c r="BF792" t="str">
        <f>HYPERLINK("http://dx.doi.org/10.1080/0269249X.2012.720612","http://dx.doi.org/10.1080/0269249X.2012.720612")</f>
        <v>http://dx.doi.org/10.1080/0269249X.2012.720612</v>
      </c>
      <c r="BG792" t="s">
        <v>74</v>
      </c>
      <c r="BH792" t="s">
        <v>74</v>
      </c>
      <c r="BI792">
        <v>9</v>
      </c>
      <c r="BJ792" t="s">
        <v>588</v>
      </c>
      <c r="BK792" t="s">
        <v>99</v>
      </c>
      <c r="BL792" t="s">
        <v>588</v>
      </c>
      <c r="BM792" t="s">
        <v>14770</v>
      </c>
      <c r="BN792" t="s">
        <v>74</v>
      </c>
      <c r="BO792" t="s">
        <v>74</v>
      </c>
      <c r="BP792" t="s">
        <v>74</v>
      </c>
      <c r="BQ792" t="s">
        <v>74</v>
      </c>
      <c r="BR792" t="s">
        <v>101</v>
      </c>
      <c r="BS792" t="s">
        <v>14771</v>
      </c>
      <c r="BT792" t="str">
        <f>HYPERLINK("https%3A%2F%2Fwww.webofscience.com%2Fwos%2Fwoscc%2Ffull-record%2FWOS:000310146000002","View Full Record in Web of Science")</f>
        <v>View Full Record in Web of Science</v>
      </c>
    </row>
    <row r="793" spans="1:72" x14ac:dyDescent="0.15">
      <c r="A793" t="s">
        <v>72</v>
      </c>
      <c r="B793" t="s">
        <v>14772</v>
      </c>
      <c r="C793" t="s">
        <v>74</v>
      </c>
      <c r="D793" t="s">
        <v>74</v>
      </c>
      <c r="E793" t="s">
        <v>74</v>
      </c>
      <c r="F793" t="s">
        <v>14773</v>
      </c>
      <c r="G793" t="s">
        <v>74</v>
      </c>
      <c r="H793" t="s">
        <v>74</v>
      </c>
      <c r="I793" t="s">
        <v>14774</v>
      </c>
      <c r="J793" t="s">
        <v>13816</v>
      </c>
      <c r="K793" t="s">
        <v>74</v>
      </c>
      <c r="L793" t="s">
        <v>74</v>
      </c>
      <c r="M793" t="s">
        <v>78</v>
      </c>
      <c r="N793" t="s">
        <v>79</v>
      </c>
      <c r="O793" t="s">
        <v>74</v>
      </c>
      <c r="P793" t="s">
        <v>74</v>
      </c>
      <c r="Q793" t="s">
        <v>74</v>
      </c>
      <c r="R793" t="s">
        <v>74</v>
      </c>
      <c r="S793" t="s">
        <v>74</v>
      </c>
      <c r="T793" t="s">
        <v>74</v>
      </c>
      <c r="U793" t="s">
        <v>14775</v>
      </c>
      <c r="V793" t="s">
        <v>14776</v>
      </c>
      <c r="W793" t="s">
        <v>14777</v>
      </c>
      <c r="X793" t="s">
        <v>14778</v>
      </c>
      <c r="Y793" t="s">
        <v>14779</v>
      </c>
      <c r="Z793" t="s">
        <v>14780</v>
      </c>
      <c r="AA793" t="s">
        <v>14781</v>
      </c>
      <c r="AB793" t="s">
        <v>14782</v>
      </c>
      <c r="AC793" t="s">
        <v>14783</v>
      </c>
      <c r="AD793" t="s">
        <v>14784</v>
      </c>
      <c r="AE793" t="s">
        <v>14785</v>
      </c>
      <c r="AF793" t="s">
        <v>74</v>
      </c>
      <c r="AG793">
        <v>48</v>
      </c>
      <c r="AH793">
        <v>48</v>
      </c>
      <c r="AI793">
        <v>55</v>
      </c>
      <c r="AJ793">
        <v>0</v>
      </c>
      <c r="AK793">
        <v>18</v>
      </c>
      <c r="AL793" t="s">
        <v>13270</v>
      </c>
      <c r="AM793" t="s">
        <v>13271</v>
      </c>
      <c r="AN793" t="s">
        <v>13272</v>
      </c>
      <c r="AO793" t="s">
        <v>13828</v>
      </c>
      <c r="AP793" t="s">
        <v>74</v>
      </c>
      <c r="AQ793" t="s">
        <v>74</v>
      </c>
      <c r="AR793" t="s">
        <v>13830</v>
      </c>
      <c r="AS793" t="s">
        <v>13831</v>
      </c>
      <c r="AT793" t="s">
        <v>74</v>
      </c>
      <c r="AU793">
        <v>2012</v>
      </c>
      <c r="AV793">
        <v>12</v>
      </c>
      <c r="AW793">
        <v>19</v>
      </c>
      <c r="AX793" t="s">
        <v>74</v>
      </c>
      <c r="AY793" t="s">
        <v>74</v>
      </c>
      <c r="AZ793" t="s">
        <v>74</v>
      </c>
      <c r="BA793" t="s">
        <v>74</v>
      </c>
      <c r="BB793">
        <v>9149</v>
      </c>
      <c r="BC793">
        <v>9165</v>
      </c>
      <c r="BD793" t="s">
        <v>74</v>
      </c>
      <c r="BE793" t="s">
        <v>14786</v>
      </c>
      <c r="BF793" t="str">
        <f>HYPERLINK("http://dx.doi.org/10.5194/acp-12-9149-2012","http://dx.doi.org/10.5194/acp-12-9149-2012")</f>
        <v>http://dx.doi.org/10.5194/acp-12-9149-2012</v>
      </c>
      <c r="BG793" t="s">
        <v>74</v>
      </c>
      <c r="BH793" t="s">
        <v>74</v>
      </c>
      <c r="BI793">
        <v>17</v>
      </c>
      <c r="BJ793" t="s">
        <v>1758</v>
      </c>
      <c r="BK793" t="s">
        <v>99</v>
      </c>
      <c r="BL793" t="s">
        <v>1759</v>
      </c>
      <c r="BM793" t="s">
        <v>14787</v>
      </c>
      <c r="BN793" t="s">
        <v>74</v>
      </c>
      <c r="BO793" t="s">
        <v>3496</v>
      </c>
      <c r="BP793" t="s">
        <v>74</v>
      </c>
      <c r="BQ793" t="s">
        <v>74</v>
      </c>
      <c r="BR793" t="s">
        <v>101</v>
      </c>
      <c r="BS793" t="s">
        <v>14788</v>
      </c>
      <c r="BT793" t="str">
        <f>HYPERLINK("https%3A%2F%2Fwww.webofscience.com%2Fwos%2Fwoscc%2Ffull-record%2FWOS:000309836800014","View Full Record in Web of Science")</f>
        <v>View Full Record in Web of Science</v>
      </c>
    </row>
    <row r="794" spans="1:72" x14ac:dyDescent="0.15">
      <c r="A794" t="s">
        <v>72</v>
      </c>
      <c r="B794" t="s">
        <v>14789</v>
      </c>
      <c r="C794" t="s">
        <v>74</v>
      </c>
      <c r="D794" t="s">
        <v>74</v>
      </c>
      <c r="E794" t="s">
        <v>74</v>
      </c>
      <c r="F794" t="s">
        <v>14790</v>
      </c>
      <c r="G794" t="s">
        <v>74</v>
      </c>
      <c r="H794" t="s">
        <v>74</v>
      </c>
      <c r="I794" t="s">
        <v>14791</v>
      </c>
      <c r="J794" t="s">
        <v>14792</v>
      </c>
      <c r="K794" t="s">
        <v>74</v>
      </c>
      <c r="L794" t="s">
        <v>74</v>
      </c>
      <c r="M794" t="s">
        <v>78</v>
      </c>
      <c r="N794" t="s">
        <v>79</v>
      </c>
      <c r="O794" t="s">
        <v>74</v>
      </c>
      <c r="P794" t="s">
        <v>74</v>
      </c>
      <c r="Q794" t="s">
        <v>74</v>
      </c>
      <c r="R794" t="s">
        <v>74</v>
      </c>
      <c r="S794" t="s">
        <v>74</v>
      </c>
      <c r="T794" t="s">
        <v>14793</v>
      </c>
      <c r="U794" t="s">
        <v>14794</v>
      </c>
      <c r="V794" t="s">
        <v>14795</v>
      </c>
      <c r="W794" t="s">
        <v>14796</v>
      </c>
      <c r="X794" t="s">
        <v>14797</v>
      </c>
      <c r="Y794" t="s">
        <v>14798</v>
      </c>
      <c r="Z794" t="s">
        <v>14799</v>
      </c>
      <c r="AA794" t="s">
        <v>74</v>
      </c>
      <c r="AB794" t="s">
        <v>74</v>
      </c>
      <c r="AC794" t="s">
        <v>14800</v>
      </c>
      <c r="AD794" t="s">
        <v>14801</v>
      </c>
      <c r="AE794" t="s">
        <v>14802</v>
      </c>
      <c r="AF794" t="s">
        <v>74</v>
      </c>
      <c r="AG794">
        <v>33</v>
      </c>
      <c r="AH794">
        <v>3</v>
      </c>
      <c r="AI794">
        <v>3</v>
      </c>
      <c r="AJ794">
        <v>0</v>
      </c>
      <c r="AK794">
        <v>1</v>
      </c>
      <c r="AL794" t="s">
        <v>761</v>
      </c>
      <c r="AM794" t="s">
        <v>762</v>
      </c>
      <c r="AN794" t="s">
        <v>10609</v>
      </c>
      <c r="AO794" t="s">
        <v>14803</v>
      </c>
      <c r="AP794" t="s">
        <v>14804</v>
      </c>
      <c r="AQ794" t="s">
        <v>74</v>
      </c>
      <c r="AR794" t="s">
        <v>14805</v>
      </c>
      <c r="AS794" t="s">
        <v>14806</v>
      </c>
      <c r="AT794" t="s">
        <v>74</v>
      </c>
      <c r="AU794">
        <v>2012</v>
      </c>
      <c r="AV794">
        <v>46</v>
      </c>
      <c r="AW794" t="s">
        <v>14807</v>
      </c>
      <c r="AX794" t="s">
        <v>74</v>
      </c>
      <c r="AY794" t="s">
        <v>74</v>
      </c>
      <c r="AZ794" t="s">
        <v>74</v>
      </c>
      <c r="BA794" t="s">
        <v>74</v>
      </c>
      <c r="BB794">
        <v>2285</v>
      </c>
      <c r="BC794">
        <v>2327</v>
      </c>
      <c r="BD794" t="s">
        <v>74</v>
      </c>
      <c r="BE794" t="s">
        <v>14808</v>
      </c>
      <c r="BF794" t="str">
        <f>HYPERLINK("http://dx.doi.org/10.1080/00222933.2012.708455","http://dx.doi.org/10.1080/00222933.2012.708455")</f>
        <v>http://dx.doi.org/10.1080/00222933.2012.708455</v>
      </c>
      <c r="BG794" t="s">
        <v>74</v>
      </c>
      <c r="BH794" t="s">
        <v>74</v>
      </c>
      <c r="BI794">
        <v>43</v>
      </c>
      <c r="BJ794" t="s">
        <v>14809</v>
      </c>
      <c r="BK794" t="s">
        <v>99</v>
      </c>
      <c r="BL794" t="s">
        <v>14810</v>
      </c>
      <c r="BM794" t="s">
        <v>14811</v>
      </c>
      <c r="BN794" t="s">
        <v>74</v>
      </c>
      <c r="BO794" t="s">
        <v>74</v>
      </c>
      <c r="BP794" t="s">
        <v>74</v>
      </c>
      <c r="BQ794" t="s">
        <v>74</v>
      </c>
      <c r="BR794" t="s">
        <v>101</v>
      </c>
      <c r="BS794" t="s">
        <v>14812</v>
      </c>
      <c r="BT794" t="str">
        <f>HYPERLINK("https%3A%2F%2Fwww.webofscience.com%2Fwos%2Fwoscc%2Ffull-record%2FWOS:000309651400002","View Full Record in Web of Science")</f>
        <v>View Full Record in Web of Science</v>
      </c>
    </row>
    <row r="795" spans="1:72" x14ac:dyDescent="0.15">
      <c r="A795" t="s">
        <v>72</v>
      </c>
      <c r="B795" t="s">
        <v>14813</v>
      </c>
      <c r="C795" t="s">
        <v>74</v>
      </c>
      <c r="D795" t="s">
        <v>74</v>
      </c>
      <c r="E795" t="s">
        <v>74</v>
      </c>
      <c r="F795" t="s">
        <v>14814</v>
      </c>
      <c r="G795" t="s">
        <v>74</v>
      </c>
      <c r="H795" t="s">
        <v>74</v>
      </c>
      <c r="I795" t="s">
        <v>14815</v>
      </c>
      <c r="J795" t="s">
        <v>14816</v>
      </c>
      <c r="K795" t="s">
        <v>74</v>
      </c>
      <c r="L795" t="s">
        <v>74</v>
      </c>
      <c r="M795" t="s">
        <v>78</v>
      </c>
      <c r="N795" t="s">
        <v>79</v>
      </c>
      <c r="O795" t="s">
        <v>74</v>
      </c>
      <c r="P795" t="s">
        <v>74</v>
      </c>
      <c r="Q795" t="s">
        <v>74</v>
      </c>
      <c r="R795" t="s">
        <v>74</v>
      </c>
      <c r="S795" t="s">
        <v>74</v>
      </c>
      <c r="T795" t="s">
        <v>14817</v>
      </c>
      <c r="U795" t="s">
        <v>14818</v>
      </c>
      <c r="V795" t="s">
        <v>14819</v>
      </c>
      <c r="W795" t="s">
        <v>14820</v>
      </c>
      <c r="X795" t="s">
        <v>14821</v>
      </c>
      <c r="Y795" t="s">
        <v>14822</v>
      </c>
      <c r="Z795" t="s">
        <v>14823</v>
      </c>
      <c r="AA795" t="s">
        <v>74</v>
      </c>
      <c r="AB795" t="s">
        <v>14824</v>
      </c>
      <c r="AC795" t="s">
        <v>14825</v>
      </c>
      <c r="AD795" t="s">
        <v>14826</v>
      </c>
      <c r="AE795" t="s">
        <v>14827</v>
      </c>
      <c r="AF795" t="s">
        <v>74</v>
      </c>
      <c r="AG795">
        <v>81</v>
      </c>
      <c r="AH795">
        <v>11</v>
      </c>
      <c r="AI795">
        <v>11</v>
      </c>
      <c r="AJ795">
        <v>1</v>
      </c>
      <c r="AK795">
        <v>31</v>
      </c>
      <c r="AL795" t="s">
        <v>14828</v>
      </c>
      <c r="AM795" t="s">
        <v>14829</v>
      </c>
      <c r="AN795" t="s">
        <v>14830</v>
      </c>
      <c r="AO795" t="s">
        <v>14831</v>
      </c>
      <c r="AP795" t="s">
        <v>14832</v>
      </c>
      <c r="AQ795" t="s">
        <v>74</v>
      </c>
      <c r="AR795" t="s">
        <v>14833</v>
      </c>
      <c r="AS795" t="s">
        <v>14834</v>
      </c>
      <c r="AT795" t="s">
        <v>74</v>
      </c>
      <c r="AU795">
        <v>2012</v>
      </c>
      <c r="AV795">
        <v>8</v>
      </c>
      <c r="AW795">
        <v>10</v>
      </c>
      <c r="AX795" t="s">
        <v>74</v>
      </c>
      <c r="AY795" t="s">
        <v>74</v>
      </c>
      <c r="AZ795" t="s">
        <v>74</v>
      </c>
      <c r="BA795" t="s">
        <v>74</v>
      </c>
      <c r="BB795">
        <v>937</v>
      </c>
      <c r="BC795">
        <v>953</v>
      </c>
      <c r="BD795" t="s">
        <v>74</v>
      </c>
      <c r="BE795" t="s">
        <v>14835</v>
      </c>
      <c r="BF795" t="str">
        <f>HYPERLINK("http://dx.doi.org/10.1080/17451000.2012.702911","http://dx.doi.org/10.1080/17451000.2012.702911")</f>
        <v>http://dx.doi.org/10.1080/17451000.2012.702911</v>
      </c>
      <c r="BG795" t="s">
        <v>74</v>
      </c>
      <c r="BH795" t="s">
        <v>74</v>
      </c>
      <c r="BI795">
        <v>17</v>
      </c>
      <c r="BJ795" t="s">
        <v>9179</v>
      </c>
      <c r="BK795" t="s">
        <v>99</v>
      </c>
      <c r="BL795" t="s">
        <v>1145</v>
      </c>
      <c r="BM795" t="s">
        <v>14836</v>
      </c>
      <c r="BN795" t="s">
        <v>74</v>
      </c>
      <c r="BO795" t="s">
        <v>328</v>
      </c>
      <c r="BP795" t="s">
        <v>74</v>
      </c>
      <c r="BQ795" t="s">
        <v>74</v>
      </c>
      <c r="BR795" t="s">
        <v>101</v>
      </c>
      <c r="BS795" t="s">
        <v>14837</v>
      </c>
      <c r="BT795" t="str">
        <f>HYPERLINK("https%3A%2F%2Fwww.webofscience.com%2Fwos%2Fwoscc%2Ffull-record%2FWOS:000309611300002","View Full Record in Web of Science")</f>
        <v>View Full Record in Web of Science</v>
      </c>
    </row>
    <row r="796" spans="1:72" x14ac:dyDescent="0.15">
      <c r="A796" t="s">
        <v>72</v>
      </c>
      <c r="B796" t="s">
        <v>14838</v>
      </c>
      <c r="C796" t="s">
        <v>74</v>
      </c>
      <c r="D796" t="s">
        <v>74</v>
      </c>
      <c r="E796" t="s">
        <v>74</v>
      </c>
      <c r="F796" t="s">
        <v>14839</v>
      </c>
      <c r="G796" t="s">
        <v>74</v>
      </c>
      <c r="H796" t="s">
        <v>74</v>
      </c>
      <c r="I796" t="s">
        <v>14840</v>
      </c>
      <c r="J796" t="s">
        <v>14816</v>
      </c>
      <c r="K796" t="s">
        <v>74</v>
      </c>
      <c r="L796" t="s">
        <v>74</v>
      </c>
      <c r="M796" t="s">
        <v>78</v>
      </c>
      <c r="N796" t="s">
        <v>79</v>
      </c>
      <c r="O796" t="s">
        <v>74</v>
      </c>
      <c r="P796" t="s">
        <v>74</v>
      </c>
      <c r="Q796" t="s">
        <v>74</v>
      </c>
      <c r="R796" t="s">
        <v>74</v>
      </c>
      <c r="S796" t="s">
        <v>74</v>
      </c>
      <c r="T796" t="s">
        <v>14841</v>
      </c>
      <c r="U796" t="s">
        <v>14842</v>
      </c>
      <c r="V796" t="s">
        <v>14843</v>
      </c>
      <c r="W796" t="s">
        <v>14844</v>
      </c>
      <c r="X796" t="s">
        <v>14845</v>
      </c>
      <c r="Y796" t="s">
        <v>14846</v>
      </c>
      <c r="Z796" t="s">
        <v>14847</v>
      </c>
      <c r="AA796" t="s">
        <v>14848</v>
      </c>
      <c r="AB796" t="s">
        <v>14849</v>
      </c>
      <c r="AC796" t="s">
        <v>14850</v>
      </c>
      <c r="AD796" t="s">
        <v>14850</v>
      </c>
      <c r="AE796" t="s">
        <v>14851</v>
      </c>
      <c r="AF796" t="s">
        <v>74</v>
      </c>
      <c r="AG796">
        <v>20</v>
      </c>
      <c r="AH796">
        <v>0</v>
      </c>
      <c r="AI796">
        <v>0</v>
      </c>
      <c r="AJ796">
        <v>0</v>
      </c>
      <c r="AK796">
        <v>8</v>
      </c>
      <c r="AL796" t="s">
        <v>14828</v>
      </c>
      <c r="AM796" t="s">
        <v>14829</v>
      </c>
      <c r="AN796" t="s">
        <v>14830</v>
      </c>
      <c r="AO796" t="s">
        <v>14831</v>
      </c>
      <c r="AP796" t="s">
        <v>14832</v>
      </c>
      <c r="AQ796" t="s">
        <v>74</v>
      </c>
      <c r="AR796" t="s">
        <v>14833</v>
      </c>
      <c r="AS796" t="s">
        <v>14834</v>
      </c>
      <c r="AT796" t="s">
        <v>74</v>
      </c>
      <c r="AU796">
        <v>2012</v>
      </c>
      <c r="AV796">
        <v>8</v>
      </c>
      <c r="AW796">
        <v>10</v>
      </c>
      <c r="AX796" t="s">
        <v>74</v>
      </c>
      <c r="AY796" t="s">
        <v>74</v>
      </c>
      <c r="AZ796" t="s">
        <v>74</v>
      </c>
      <c r="BA796" t="s">
        <v>74</v>
      </c>
      <c r="BB796">
        <v>1032</v>
      </c>
      <c r="BC796">
        <v>1035</v>
      </c>
      <c r="BD796" t="s">
        <v>74</v>
      </c>
      <c r="BE796" t="s">
        <v>14852</v>
      </c>
      <c r="BF796" t="str">
        <f>HYPERLINK("http://dx.doi.org/10.1080/17451000.2012.708419","http://dx.doi.org/10.1080/17451000.2012.708419")</f>
        <v>http://dx.doi.org/10.1080/17451000.2012.708419</v>
      </c>
      <c r="BG796" t="s">
        <v>74</v>
      </c>
      <c r="BH796" t="s">
        <v>74</v>
      </c>
      <c r="BI796">
        <v>4</v>
      </c>
      <c r="BJ796" t="s">
        <v>9179</v>
      </c>
      <c r="BK796" t="s">
        <v>99</v>
      </c>
      <c r="BL796" t="s">
        <v>1145</v>
      </c>
      <c r="BM796" t="s">
        <v>14836</v>
      </c>
      <c r="BN796" t="s">
        <v>74</v>
      </c>
      <c r="BO796" t="s">
        <v>74</v>
      </c>
      <c r="BP796" t="s">
        <v>74</v>
      </c>
      <c r="BQ796" t="s">
        <v>74</v>
      </c>
      <c r="BR796" t="s">
        <v>101</v>
      </c>
      <c r="BS796" t="s">
        <v>14853</v>
      </c>
      <c r="BT796" t="str">
        <f>HYPERLINK("https%3A%2F%2Fwww.webofscience.com%2Fwos%2Fwoscc%2Ffull-record%2FWOS:000309611300011","View Full Record in Web of Science")</f>
        <v>View Full Record in Web of Science</v>
      </c>
    </row>
    <row r="797" spans="1:72" x14ac:dyDescent="0.15">
      <c r="A797" t="s">
        <v>72</v>
      </c>
      <c r="B797" t="s">
        <v>14854</v>
      </c>
      <c r="C797" t="s">
        <v>74</v>
      </c>
      <c r="D797" t="s">
        <v>74</v>
      </c>
      <c r="E797" t="s">
        <v>74</v>
      </c>
      <c r="F797" t="s">
        <v>14855</v>
      </c>
      <c r="G797" t="s">
        <v>74</v>
      </c>
      <c r="H797" t="s">
        <v>74</v>
      </c>
      <c r="I797" t="s">
        <v>14856</v>
      </c>
      <c r="J797" t="s">
        <v>14857</v>
      </c>
      <c r="K797" t="s">
        <v>74</v>
      </c>
      <c r="L797" t="s">
        <v>74</v>
      </c>
      <c r="M797" t="s">
        <v>78</v>
      </c>
      <c r="N797" t="s">
        <v>79</v>
      </c>
      <c r="O797" t="s">
        <v>74</v>
      </c>
      <c r="P797" t="s">
        <v>74</v>
      </c>
      <c r="Q797" t="s">
        <v>74</v>
      </c>
      <c r="R797" t="s">
        <v>74</v>
      </c>
      <c r="S797" t="s">
        <v>74</v>
      </c>
      <c r="T797" t="s">
        <v>14858</v>
      </c>
      <c r="U797" t="s">
        <v>14859</v>
      </c>
      <c r="V797" t="s">
        <v>14860</v>
      </c>
      <c r="W797" t="s">
        <v>14861</v>
      </c>
      <c r="X797" t="s">
        <v>14862</v>
      </c>
      <c r="Y797" t="s">
        <v>14863</v>
      </c>
      <c r="Z797" t="s">
        <v>14864</v>
      </c>
      <c r="AA797" t="s">
        <v>14865</v>
      </c>
      <c r="AB797" t="s">
        <v>14866</v>
      </c>
      <c r="AC797" t="s">
        <v>14867</v>
      </c>
      <c r="AD797" t="s">
        <v>14868</v>
      </c>
      <c r="AE797" t="s">
        <v>14869</v>
      </c>
      <c r="AF797" t="s">
        <v>74</v>
      </c>
      <c r="AG797">
        <v>31</v>
      </c>
      <c r="AH797">
        <v>15</v>
      </c>
      <c r="AI797">
        <v>16</v>
      </c>
      <c r="AJ797">
        <v>0</v>
      </c>
      <c r="AK797">
        <v>29</v>
      </c>
      <c r="AL797" t="s">
        <v>14870</v>
      </c>
      <c r="AM797" t="s">
        <v>14871</v>
      </c>
      <c r="AN797" t="s">
        <v>14872</v>
      </c>
      <c r="AO797" t="s">
        <v>14873</v>
      </c>
      <c r="AP797" t="s">
        <v>74</v>
      </c>
      <c r="AQ797" t="s">
        <v>74</v>
      </c>
      <c r="AR797" t="s">
        <v>14874</v>
      </c>
      <c r="AS797" t="s">
        <v>14875</v>
      </c>
      <c r="AT797" t="s">
        <v>74</v>
      </c>
      <c r="AU797">
        <v>2012</v>
      </c>
      <c r="AV797">
        <v>64</v>
      </c>
      <c r="AW797" t="s">
        <v>74</v>
      </c>
      <c r="AX797" t="s">
        <v>74</v>
      </c>
      <c r="AY797" t="s">
        <v>74</v>
      </c>
      <c r="AZ797" t="s">
        <v>74</v>
      </c>
      <c r="BA797" t="s">
        <v>74</v>
      </c>
      <c r="BB797" t="s">
        <v>74</v>
      </c>
      <c r="BC797" t="s">
        <v>74</v>
      </c>
      <c r="BD797">
        <v>18924</v>
      </c>
      <c r="BE797" t="s">
        <v>14876</v>
      </c>
      <c r="BF797" t="str">
        <f>HYPERLINK("http://dx.doi.org/10.3402/tellusb.v64i0.18924","http://dx.doi.org/10.3402/tellusb.v64i0.18924")</f>
        <v>http://dx.doi.org/10.3402/tellusb.v64i0.18924</v>
      </c>
      <c r="BG797" t="s">
        <v>74</v>
      </c>
      <c r="BH797" t="s">
        <v>74</v>
      </c>
      <c r="BI797">
        <v>8</v>
      </c>
      <c r="BJ797" t="s">
        <v>128</v>
      </c>
      <c r="BK797" t="s">
        <v>99</v>
      </c>
      <c r="BL797" t="s">
        <v>128</v>
      </c>
      <c r="BM797" t="s">
        <v>14877</v>
      </c>
      <c r="BN797" t="s">
        <v>74</v>
      </c>
      <c r="BO797" t="s">
        <v>9400</v>
      </c>
      <c r="BP797" t="s">
        <v>74</v>
      </c>
      <c r="BQ797" t="s">
        <v>74</v>
      </c>
      <c r="BR797" t="s">
        <v>101</v>
      </c>
      <c r="BS797" t="s">
        <v>14878</v>
      </c>
      <c r="BT797" t="str">
        <f>HYPERLINK("https%3A%2F%2Fwww.webofscience.com%2Fwos%2Fwoscc%2Ffull-record%2FWOS:000309659500001","View Full Record in Web of Science")</f>
        <v>View Full Record in Web of Science</v>
      </c>
    </row>
    <row r="798" spans="1:72" x14ac:dyDescent="0.15">
      <c r="A798" t="s">
        <v>72</v>
      </c>
      <c r="B798" t="s">
        <v>14879</v>
      </c>
      <c r="C798" t="s">
        <v>74</v>
      </c>
      <c r="D798" t="s">
        <v>74</v>
      </c>
      <c r="E798" t="s">
        <v>74</v>
      </c>
      <c r="F798" t="s">
        <v>14880</v>
      </c>
      <c r="G798" t="s">
        <v>74</v>
      </c>
      <c r="H798" t="s">
        <v>74</v>
      </c>
      <c r="I798" t="s">
        <v>14881</v>
      </c>
      <c r="J798" t="s">
        <v>14882</v>
      </c>
      <c r="K798" t="s">
        <v>74</v>
      </c>
      <c r="L798" t="s">
        <v>74</v>
      </c>
      <c r="M798" t="s">
        <v>78</v>
      </c>
      <c r="N798" t="s">
        <v>79</v>
      </c>
      <c r="O798" t="s">
        <v>74</v>
      </c>
      <c r="P798" t="s">
        <v>74</v>
      </c>
      <c r="Q798" t="s">
        <v>74</v>
      </c>
      <c r="R798" t="s">
        <v>74</v>
      </c>
      <c r="S798" t="s">
        <v>74</v>
      </c>
      <c r="T798" t="s">
        <v>74</v>
      </c>
      <c r="U798" t="s">
        <v>14883</v>
      </c>
      <c r="V798" t="s">
        <v>14884</v>
      </c>
      <c r="W798" t="s">
        <v>14885</v>
      </c>
      <c r="X798" t="s">
        <v>14886</v>
      </c>
      <c r="Y798" t="s">
        <v>14887</v>
      </c>
      <c r="Z798" t="s">
        <v>14888</v>
      </c>
      <c r="AA798" t="s">
        <v>74</v>
      </c>
      <c r="AB798" t="s">
        <v>74</v>
      </c>
      <c r="AC798" t="s">
        <v>14889</v>
      </c>
      <c r="AD798" t="s">
        <v>14890</v>
      </c>
      <c r="AE798" t="s">
        <v>14891</v>
      </c>
      <c r="AF798" t="s">
        <v>74</v>
      </c>
      <c r="AG798">
        <v>76</v>
      </c>
      <c r="AH798">
        <v>31</v>
      </c>
      <c r="AI798">
        <v>34</v>
      </c>
      <c r="AJ798">
        <v>0</v>
      </c>
      <c r="AK798">
        <v>37</v>
      </c>
      <c r="AL798" t="s">
        <v>761</v>
      </c>
      <c r="AM798" t="s">
        <v>762</v>
      </c>
      <c r="AN798" t="s">
        <v>763</v>
      </c>
      <c r="AO798" t="s">
        <v>14892</v>
      </c>
      <c r="AP798" t="s">
        <v>14893</v>
      </c>
      <c r="AQ798" t="s">
        <v>74</v>
      </c>
      <c r="AR798" t="s">
        <v>14894</v>
      </c>
      <c r="AS798" t="s">
        <v>14895</v>
      </c>
      <c r="AT798" t="s">
        <v>74</v>
      </c>
      <c r="AU798">
        <v>2012</v>
      </c>
      <c r="AV798">
        <v>6</v>
      </c>
      <c r="AW798" t="s">
        <v>74</v>
      </c>
      <c r="AX798" t="s">
        <v>74</v>
      </c>
      <c r="AY798">
        <v>2</v>
      </c>
      <c r="AZ798" t="s">
        <v>1913</v>
      </c>
      <c r="BA798" t="s">
        <v>74</v>
      </c>
      <c r="BB798">
        <v>3</v>
      </c>
      <c r="BC798">
        <v>30</v>
      </c>
      <c r="BD798" t="s">
        <v>74</v>
      </c>
      <c r="BE798" t="s">
        <v>14896</v>
      </c>
      <c r="BF798" t="str">
        <f>HYPERLINK("http://dx.doi.org/10.1080/17513758.2012.697195","http://dx.doi.org/10.1080/17513758.2012.697195")</f>
        <v>http://dx.doi.org/10.1080/17513758.2012.697195</v>
      </c>
      <c r="BG798" t="s">
        <v>74</v>
      </c>
      <c r="BH798" t="s">
        <v>74</v>
      </c>
      <c r="BI798">
        <v>28</v>
      </c>
      <c r="BJ798" t="s">
        <v>14897</v>
      </c>
      <c r="BK798" t="s">
        <v>99</v>
      </c>
      <c r="BL798" t="s">
        <v>14898</v>
      </c>
      <c r="BM798" t="s">
        <v>14899</v>
      </c>
      <c r="BN798">
        <v>22882022</v>
      </c>
      <c r="BO798" t="s">
        <v>74</v>
      </c>
      <c r="BP798" t="s">
        <v>74</v>
      </c>
      <c r="BQ798" t="s">
        <v>74</v>
      </c>
      <c r="BR798" t="s">
        <v>101</v>
      </c>
      <c r="BS798" t="s">
        <v>14900</v>
      </c>
      <c r="BT798" t="str">
        <f>HYPERLINK("https%3A%2F%2Fwww.webofscience.com%2Fwos%2Fwoscc%2Ffull-record%2FWOS:000309709600002","View Full Record in Web of Science")</f>
        <v>View Full Record in Web of Science</v>
      </c>
    </row>
    <row r="799" spans="1:72" x14ac:dyDescent="0.15">
      <c r="A799" t="s">
        <v>12086</v>
      </c>
      <c r="B799" t="s">
        <v>14901</v>
      </c>
      <c r="C799" t="s">
        <v>74</v>
      </c>
      <c r="D799" t="s">
        <v>14902</v>
      </c>
      <c r="E799" t="s">
        <v>74</v>
      </c>
      <c r="F799" t="s">
        <v>14903</v>
      </c>
      <c r="G799" t="s">
        <v>74</v>
      </c>
      <c r="H799" t="s">
        <v>74</v>
      </c>
      <c r="I799" t="s">
        <v>14904</v>
      </c>
      <c r="J799" t="s">
        <v>14905</v>
      </c>
      <c r="K799" t="s">
        <v>14906</v>
      </c>
      <c r="L799" t="s">
        <v>74</v>
      </c>
      <c r="M799" t="s">
        <v>78</v>
      </c>
      <c r="N799" t="s">
        <v>12093</v>
      </c>
      <c r="O799" t="s">
        <v>14907</v>
      </c>
      <c r="P799" t="s">
        <v>14908</v>
      </c>
      <c r="Q799" t="s">
        <v>3758</v>
      </c>
      <c r="R799" t="s">
        <v>74</v>
      </c>
      <c r="S799" t="s">
        <v>74</v>
      </c>
      <c r="T799" t="s">
        <v>74</v>
      </c>
      <c r="U799" t="s">
        <v>14909</v>
      </c>
      <c r="V799" t="s">
        <v>14910</v>
      </c>
      <c r="W799" t="s">
        <v>14911</v>
      </c>
      <c r="X799" t="s">
        <v>14912</v>
      </c>
      <c r="Y799" t="s">
        <v>14913</v>
      </c>
      <c r="Z799" t="s">
        <v>74</v>
      </c>
      <c r="AA799" t="s">
        <v>14914</v>
      </c>
      <c r="AB799" t="s">
        <v>14915</v>
      </c>
      <c r="AC799" t="s">
        <v>74</v>
      </c>
      <c r="AD799" t="s">
        <v>74</v>
      </c>
      <c r="AE799" t="s">
        <v>74</v>
      </c>
      <c r="AF799" t="s">
        <v>74</v>
      </c>
      <c r="AG799">
        <v>24</v>
      </c>
      <c r="AH799">
        <v>1</v>
      </c>
      <c r="AI799">
        <v>1</v>
      </c>
      <c r="AJ799">
        <v>0</v>
      </c>
      <c r="AK799">
        <v>1</v>
      </c>
      <c r="AL799" t="s">
        <v>14916</v>
      </c>
      <c r="AM799" t="s">
        <v>1965</v>
      </c>
      <c r="AN799" t="s">
        <v>14917</v>
      </c>
      <c r="AO799" t="s">
        <v>14918</v>
      </c>
      <c r="AP799" t="s">
        <v>74</v>
      </c>
      <c r="AQ799" t="s">
        <v>14919</v>
      </c>
      <c r="AR799" t="s">
        <v>14920</v>
      </c>
      <c r="AS799" t="s">
        <v>74</v>
      </c>
      <c r="AT799" t="s">
        <v>74</v>
      </c>
      <c r="AU799">
        <v>2012</v>
      </c>
      <c r="AV799">
        <v>143</v>
      </c>
      <c r="AW799" t="s">
        <v>74</v>
      </c>
      <c r="AX799" t="s">
        <v>3703</v>
      </c>
      <c r="AY799" t="s">
        <v>74</v>
      </c>
      <c r="AZ799" t="s">
        <v>74</v>
      </c>
      <c r="BA799" t="s">
        <v>74</v>
      </c>
      <c r="BB799">
        <v>897</v>
      </c>
      <c r="BC799">
        <v>916</v>
      </c>
      <c r="BD799" t="s">
        <v>74</v>
      </c>
      <c r="BE799" t="s">
        <v>74</v>
      </c>
      <c r="BF799" t="s">
        <v>74</v>
      </c>
      <c r="BG799" t="s">
        <v>74</v>
      </c>
      <c r="BH799" t="s">
        <v>74</v>
      </c>
      <c r="BI799">
        <v>20</v>
      </c>
      <c r="BJ799" t="s">
        <v>14485</v>
      </c>
      <c r="BK799" t="s">
        <v>12109</v>
      </c>
      <c r="BL799" t="s">
        <v>6941</v>
      </c>
      <c r="BM799" t="s">
        <v>14921</v>
      </c>
      <c r="BN799" t="s">
        <v>74</v>
      </c>
      <c r="BO799" t="s">
        <v>74</v>
      </c>
      <c r="BP799" t="s">
        <v>74</v>
      </c>
      <c r="BQ799" t="s">
        <v>74</v>
      </c>
      <c r="BR799" t="s">
        <v>101</v>
      </c>
      <c r="BS799" t="s">
        <v>14922</v>
      </c>
      <c r="BT799" t="str">
        <f>HYPERLINK("https%3A%2F%2Fwww.webofscience.com%2Fwos%2Fwoscc%2Ffull-record%2FWOS:000308787200056","View Full Record in Web of Science")</f>
        <v>View Full Record in Web of Science</v>
      </c>
    </row>
    <row r="800" spans="1:72" x14ac:dyDescent="0.15">
      <c r="A800" t="s">
        <v>12086</v>
      </c>
      <c r="B800" t="s">
        <v>14923</v>
      </c>
      <c r="C800" t="s">
        <v>74</v>
      </c>
      <c r="D800" t="s">
        <v>74</v>
      </c>
      <c r="E800" t="s">
        <v>12088</v>
      </c>
      <c r="F800" t="s">
        <v>14924</v>
      </c>
      <c r="G800" t="s">
        <v>74</v>
      </c>
      <c r="H800" t="s">
        <v>74</v>
      </c>
      <c r="I800" t="s">
        <v>14925</v>
      </c>
      <c r="J800" t="s">
        <v>14926</v>
      </c>
      <c r="K800" t="s">
        <v>74</v>
      </c>
      <c r="L800" t="s">
        <v>74</v>
      </c>
      <c r="M800" t="s">
        <v>78</v>
      </c>
      <c r="N800" t="s">
        <v>12093</v>
      </c>
      <c r="O800" t="s">
        <v>14927</v>
      </c>
      <c r="P800" t="s">
        <v>14928</v>
      </c>
      <c r="Q800" t="s">
        <v>14929</v>
      </c>
      <c r="R800" t="s">
        <v>74</v>
      </c>
      <c r="S800" t="s">
        <v>74</v>
      </c>
      <c r="T800" t="s">
        <v>14930</v>
      </c>
      <c r="U800" t="s">
        <v>74</v>
      </c>
      <c r="V800" t="s">
        <v>14931</v>
      </c>
      <c r="W800" t="s">
        <v>74</v>
      </c>
      <c r="X800" t="s">
        <v>74</v>
      </c>
      <c r="Y800" t="s">
        <v>74</v>
      </c>
      <c r="Z800" t="s">
        <v>74</v>
      </c>
      <c r="AA800" t="s">
        <v>14932</v>
      </c>
      <c r="AB800" t="s">
        <v>14933</v>
      </c>
      <c r="AC800" t="s">
        <v>74</v>
      </c>
      <c r="AD800" t="s">
        <v>74</v>
      </c>
      <c r="AE800" t="s">
        <v>74</v>
      </c>
      <c r="AF800" t="s">
        <v>74</v>
      </c>
      <c r="AG800">
        <v>1</v>
      </c>
      <c r="AH800">
        <v>0</v>
      </c>
      <c r="AI800">
        <v>0</v>
      </c>
      <c r="AJ800">
        <v>0</v>
      </c>
      <c r="AK800">
        <v>1</v>
      </c>
      <c r="AL800" t="s">
        <v>12088</v>
      </c>
      <c r="AM800" t="s">
        <v>656</v>
      </c>
      <c r="AN800" t="s">
        <v>12104</v>
      </c>
      <c r="AO800" t="s">
        <v>74</v>
      </c>
      <c r="AP800" t="s">
        <v>74</v>
      </c>
      <c r="AQ800" t="s">
        <v>14934</v>
      </c>
      <c r="AR800" t="s">
        <v>74</v>
      </c>
      <c r="AS800" t="s">
        <v>74</v>
      </c>
      <c r="AT800" t="s">
        <v>74</v>
      </c>
      <c r="AU800">
        <v>2012</v>
      </c>
      <c r="AV800" t="s">
        <v>74</v>
      </c>
      <c r="AW800" t="s">
        <v>74</v>
      </c>
      <c r="AX800" t="s">
        <v>74</v>
      </c>
      <c r="AY800" t="s">
        <v>74</v>
      </c>
      <c r="AZ800" t="s">
        <v>74</v>
      </c>
      <c r="BA800" t="s">
        <v>74</v>
      </c>
      <c r="BB800" t="s">
        <v>74</v>
      </c>
      <c r="BC800" t="s">
        <v>74</v>
      </c>
      <c r="BD800" t="s">
        <v>74</v>
      </c>
      <c r="BE800" t="s">
        <v>74</v>
      </c>
      <c r="BF800" t="s">
        <v>74</v>
      </c>
      <c r="BG800" t="s">
        <v>74</v>
      </c>
      <c r="BH800" t="s">
        <v>74</v>
      </c>
      <c r="BI800">
        <v>5</v>
      </c>
      <c r="BJ800" t="s">
        <v>14935</v>
      </c>
      <c r="BK800" t="s">
        <v>12109</v>
      </c>
      <c r="BL800" t="s">
        <v>6941</v>
      </c>
      <c r="BM800" t="s">
        <v>14936</v>
      </c>
      <c r="BN800" t="s">
        <v>74</v>
      </c>
      <c r="BO800" t="s">
        <v>74</v>
      </c>
      <c r="BP800" t="s">
        <v>74</v>
      </c>
      <c r="BQ800" t="s">
        <v>74</v>
      </c>
      <c r="BR800" t="s">
        <v>101</v>
      </c>
      <c r="BS800" t="s">
        <v>14937</v>
      </c>
      <c r="BT800" t="str">
        <f>HYPERLINK("https%3A%2F%2Fwww.webofscience.com%2Fwos%2Fwoscc%2Ffull-record%2FWOS:000309184100053","View Full Record in Web of Science")</f>
        <v>View Full Record in Web of Science</v>
      </c>
    </row>
    <row r="801" spans="1:72" x14ac:dyDescent="0.15">
      <c r="A801" t="s">
        <v>72</v>
      </c>
      <c r="B801" t="s">
        <v>14938</v>
      </c>
      <c r="C801" t="s">
        <v>74</v>
      </c>
      <c r="D801" t="s">
        <v>74</v>
      </c>
      <c r="E801" t="s">
        <v>74</v>
      </c>
      <c r="F801" t="s">
        <v>14939</v>
      </c>
      <c r="G801" t="s">
        <v>74</v>
      </c>
      <c r="H801" t="s">
        <v>74</v>
      </c>
      <c r="I801" t="s">
        <v>14940</v>
      </c>
      <c r="J801" t="s">
        <v>14941</v>
      </c>
      <c r="K801" t="s">
        <v>74</v>
      </c>
      <c r="L801" t="s">
        <v>74</v>
      </c>
      <c r="M801" t="s">
        <v>78</v>
      </c>
      <c r="N801" t="s">
        <v>79</v>
      </c>
      <c r="O801" t="s">
        <v>74</v>
      </c>
      <c r="P801" t="s">
        <v>74</v>
      </c>
      <c r="Q801" t="s">
        <v>74</v>
      </c>
      <c r="R801" t="s">
        <v>74</v>
      </c>
      <c r="S801" t="s">
        <v>74</v>
      </c>
      <c r="T801" t="s">
        <v>14942</v>
      </c>
      <c r="U801" t="s">
        <v>14943</v>
      </c>
      <c r="V801" t="s">
        <v>14944</v>
      </c>
      <c r="W801" t="s">
        <v>14945</v>
      </c>
      <c r="X801" t="s">
        <v>14946</v>
      </c>
      <c r="Y801" t="s">
        <v>14947</v>
      </c>
      <c r="Z801" t="s">
        <v>14948</v>
      </c>
      <c r="AA801" t="s">
        <v>14949</v>
      </c>
      <c r="AB801" t="s">
        <v>14950</v>
      </c>
      <c r="AC801" t="s">
        <v>14951</v>
      </c>
      <c r="AD801" t="s">
        <v>14952</v>
      </c>
      <c r="AE801" t="s">
        <v>14953</v>
      </c>
      <c r="AF801" t="s">
        <v>74</v>
      </c>
      <c r="AG801">
        <v>33</v>
      </c>
      <c r="AH801">
        <v>12</v>
      </c>
      <c r="AI801">
        <v>14</v>
      </c>
      <c r="AJ801">
        <v>1</v>
      </c>
      <c r="AK801">
        <v>9</v>
      </c>
      <c r="AL801" t="s">
        <v>13270</v>
      </c>
      <c r="AM801" t="s">
        <v>13271</v>
      </c>
      <c r="AN801" t="s">
        <v>13272</v>
      </c>
      <c r="AO801" t="s">
        <v>14954</v>
      </c>
      <c r="AP801" t="s">
        <v>14955</v>
      </c>
      <c r="AQ801" t="s">
        <v>74</v>
      </c>
      <c r="AR801" t="s">
        <v>14956</v>
      </c>
      <c r="AS801" t="s">
        <v>14957</v>
      </c>
      <c r="AT801" t="s">
        <v>74</v>
      </c>
      <c r="AU801">
        <v>2012</v>
      </c>
      <c r="AV801">
        <v>30</v>
      </c>
      <c r="AW801">
        <v>9</v>
      </c>
      <c r="AX801" t="s">
        <v>74</v>
      </c>
      <c r="AY801" t="s">
        <v>74</v>
      </c>
      <c r="AZ801" t="s">
        <v>74</v>
      </c>
      <c r="BA801" t="s">
        <v>74</v>
      </c>
      <c r="BB801">
        <v>1297</v>
      </c>
      <c r="BC801">
        <v>1307</v>
      </c>
      <c r="BD801" t="s">
        <v>74</v>
      </c>
      <c r="BE801" t="s">
        <v>14958</v>
      </c>
      <c r="BF801" t="str">
        <f>HYPERLINK("http://dx.doi.org/10.5194/angeo-30-1297-2012","http://dx.doi.org/10.5194/angeo-30-1297-2012")</f>
        <v>http://dx.doi.org/10.5194/angeo-30-1297-2012</v>
      </c>
      <c r="BG801" t="s">
        <v>74</v>
      </c>
      <c r="BH801" t="s">
        <v>74</v>
      </c>
      <c r="BI801">
        <v>11</v>
      </c>
      <c r="BJ801" t="s">
        <v>14959</v>
      </c>
      <c r="BK801" t="s">
        <v>99</v>
      </c>
      <c r="BL801" t="s">
        <v>14960</v>
      </c>
      <c r="BM801" t="s">
        <v>14961</v>
      </c>
      <c r="BN801" t="s">
        <v>74</v>
      </c>
      <c r="BO801" t="s">
        <v>3496</v>
      </c>
      <c r="BP801" t="s">
        <v>74</v>
      </c>
      <c r="BQ801" t="s">
        <v>74</v>
      </c>
      <c r="BR801" t="s">
        <v>101</v>
      </c>
      <c r="BS801" t="s">
        <v>14962</v>
      </c>
      <c r="BT801" t="str">
        <f>HYPERLINK("https%3A%2F%2Fwww.webofscience.com%2Fwos%2Fwoscc%2Ffull-record%2FWOS:000309421400001","View Full Record in Web of Science")</f>
        <v>View Full Record in Web of Science</v>
      </c>
    </row>
    <row r="802" spans="1:72" x14ac:dyDescent="0.15">
      <c r="A802" t="s">
        <v>72</v>
      </c>
      <c r="B802" t="s">
        <v>14963</v>
      </c>
      <c r="C802" t="s">
        <v>74</v>
      </c>
      <c r="D802" t="s">
        <v>74</v>
      </c>
      <c r="E802" t="s">
        <v>74</v>
      </c>
      <c r="F802" t="s">
        <v>14964</v>
      </c>
      <c r="G802" t="s">
        <v>74</v>
      </c>
      <c r="H802" t="s">
        <v>74</v>
      </c>
      <c r="I802" t="s">
        <v>14965</v>
      </c>
      <c r="J802" t="s">
        <v>14941</v>
      </c>
      <c r="K802" t="s">
        <v>74</v>
      </c>
      <c r="L802" t="s">
        <v>74</v>
      </c>
      <c r="M802" t="s">
        <v>78</v>
      </c>
      <c r="N802" t="s">
        <v>79</v>
      </c>
      <c r="O802" t="s">
        <v>74</v>
      </c>
      <c r="P802" t="s">
        <v>74</v>
      </c>
      <c r="Q802" t="s">
        <v>74</v>
      </c>
      <c r="R802" t="s">
        <v>74</v>
      </c>
      <c r="S802" t="s">
        <v>74</v>
      </c>
      <c r="T802" t="s">
        <v>14966</v>
      </c>
      <c r="U802" t="s">
        <v>14967</v>
      </c>
      <c r="V802" t="s">
        <v>14968</v>
      </c>
      <c r="W802" t="s">
        <v>14969</v>
      </c>
      <c r="X802" t="s">
        <v>14970</v>
      </c>
      <c r="Y802" t="s">
        <v>14971</v>
      </c>
      <c r="Z802" t="s">
        <v>14972</v>
      </c>
      <c r="AA802" t="s">
        <v>14973</v>
      </c>
      <c r="AB802" t="s">
        <v>14974</v>
      </c>
      <c r="AC802" t="s">
        <v>14975</v>
      </c>
      <c r="AD802" t="s">
        <v>14976</v>
      </c>
      <c r="AE802" t="s">
        <v>14977</v>
      </c>
      <c r="AF802" t="s">
        <v>74</v>
      </c>
      <c r="AG802">
        <v>37</v>
      </c>
      <c r="AH802">
        <v>11</v>
      </c>
      <c r="AI802">
        <v>15</v>
      </c>
      <c r="AJ802">
        <v>1</v>
      </c>
      <c r="AK802">
        <v>26</v>
      </c>
      <c r="AL802" t="s">
        <v>13270</v>
      </c>
      <c r="AM802" t="s">
        <v>13271</v>
      </c>
      <c r="AN802" t="s">
        <v>13272</v>
      </c>
      <c r="AO802" t="s">
        <v>14954</v>
      </c>
      <c r="AP802" t="s">
        <v>14955</v>
      </c>
      <c r="AQ802" t="s">
        <v>74</v>
      </c>
      <c r="AR802" t="s">
        <v>14956</v>
      </c>
      <c r="AS802" t="s">
        <v>14957</v>
      </c>
      <c r="AT802" t="s">
        <v>74</v>
      </c>
      <c r="AU802">
        <v>2012</v>
      </c>
      <c r="AV802">
        <v>30</v>
      </c>
      <c r="AW802">
        <v>9</v>
      </c>
      <c r="AX802" t="s">
        <v>74</v>
      </c>
      <c r="AY802" t="s">
        <v>74</v>
      </c>
      <c r="AZ802" t="s">
        <v>74</v>
      </c>
      <c r="BA802" t="s">
        <v>74</v>
      </c>
      <c r="BB802">
        <v>1411</v>
      </c>
      <c r="BC802">
        <v>1421</v>
      </c>
      <c r="BD802" t="s">
        <v>74</v>
      </c>
      <c r="BE802" t="s">
        <v>14978</v>
      </c>
      <c r="BF802" t="str">
        <f>HYPERLINK("http://dx.doi.org/10.5194/angeo-30-1411-2012","http://dx.doi.org/10.5194/angeo-30-1411-2012")</f>
        <v>http://dx.doi.org/10.5194/angeo-30-1411-2012</v>
      </c>
      <c r="BG802" t="s">
        <v>74</v>
      </c>
      <c r="BH802" t="s">
        <v>74</v>
      </c>
      <c r="BI802">
        <v>11</v>
      </c>
      <c r="BJ802" t="s">
        <v>14959</v>
      </c>
      <c r="BK802" t="s">
        <v>99</v>
      </c>
      <c r="BL802" t="s">
        <v>14960</v>
      </c>
      <c r="BM802" t="s">
        <v>14961</v>
      </c>
      <c r="BN802" t="s">
        <v>74</v>
      </c>
      <c r="BO802" t="s">
        <v>3496</v>
      </c>
      <c r="BP802" t="s">
        <v>74</v>
      </c>
      <c r="BQ802" t="s">
        <v>74</v>
      </c>
      <c r="BR802" t="s">
        <v>101</v>
      </c>
      <c r="BS802" t="s">
        <v>14979</v>
      </c>
      <c r="BT802" t="str">
        <f>HYPERLINK("https%3A%2F%2Fwww.webofscience.com%2Fwos%2Fwoscc%2Ffull-record%2FWOS:000309421400011","View Full Record in Web of Science")</f>
        <v>View Full Record in Web of Science</v>
      </c>
    </row>
    <row r="803" spans="1:72" x14ac:dyDescent="0.15">
      <c r="A803" t="s">
        <v>72</v>
      </c>
      <c r="B803" t="s">
        <v>14980</v>
      </c>
      <c r="C803" t="s">
        <v>74</v>
      </c>
      <c r="D803" t="s">
        <v>74</v>
      </c>
      <c r="E803" t="s">
        <v>74</v>
      </c>
      <c r="F803" t="s">
        <v>14981</v>
      </c>
      <c r="G803" t="s">
        <v>74</v>
      </c>
      <c r="H803" t="s">
        <v>74</v>
      </c>
      <c r="I803" t="s">
        <v>14982</v>
      </c>
      <c r="J803" t="s">
        <v>13838</v>
      </c>
      <c r="K803" t="s">
        <v>74</v>
      </c>
      <c r="L803" t="s">
        <v>74</v>
      </c>
      <c r="M803" t="s">
        <v>78</v>
      </c>
      <c r="N803" t="s">
        <v>79</v>
      </c>
      <c r="O803" t="s">
        <v>74</v>
      </c>
      <c r="P803" t="s">
        <v>74</v>
      </c>
      <c r="Q803" t="s">
        <v>74</v>
      </c>
      <c r="R803" t="s">
        <v>74</v>
      </c>
      <c r="S803" t="s">
        <v>74</v>
      </c>
      <c r="T803" t="s">
        <v>74</v>
      </c>
      <c r="U803" t="s">
        <v>14983</v>
      </c>
      <c r="V803" t="s">
        <v>14984</v>
      </c>
      <c r="W803" t="s">
        <v>14985</v>
      </c>
      <c r="X803" t="s">
        <v>1612</v>
      </c>
      <c r="Y803" t="s">
        <v>14986</v>
      </c>
      <c r="Z803" t="s">
        <v>14987</v>
      </c>
      <c r="AA803" t="s">
        <v>74</v>
      </c>
      <c r="AB803" t="s">
        <v>14988</v>
      </c>
      <c r="AC803" t="s">
        <v>14989</v>
      </c>
      <c r="AD803" t="s">
        <v>14990</v>
      </c>
      <c r="AE803" t="s">
        <v>14991</v>
      </c>
      <c r="AF803" t="s">
        <v>74</v>
      </c>
      <c r="AG803">
        <v>40</v>
      </c>
      <c r="AH803">
        <v>125</v>
      </c>
      <c r="AI803">
        <v>139</v>
      </c>
      <c r="AJ803">
        <v>0</v>
      </c>
      <c r="AK803">
        <v>43</v>
      </c>
      <c r="AL803" t="s">
        <v>12729</v>
      </c>
      <c r="AM803" t="s">
        <v>1112</v>
      </c>
      <c r="AN803" t="s">
        <v>12730</v>
      </c>
      <c r="AO803" t="s">
        <v>13846</v>
      </c>
      <c r="AP803" t="s">
        <v>13847</v>
      </c>
      <c r="AQ803" t="s">
        <v>74</v>
      </c>
      <c r="AR803" t="s">
        <v>13848</v>
      </c>
      <c r="AS803" t="s">
        <v>13849</v>
      </c>
      <c r="AT803" t="s">
        <v>74</v>
      </c>
      <c r="AU803">
        <v>2012</v>
      </c>
      <c r="AV803">
        <v>58</v>
      </c>
      <c r="AW803">
        <v>211</v>
      </c>
      <c r="AX803" t="s">
        <v>74</v>
      </c>
      <c r="AY803" t="s">
        <v>74</v>
      </c>
      <c r="AZ803" t="s">
        <v>74</v>
      </c>
      <c r="BA803" t="s">
        <v>74</v>
      </c>
      <c r="BB803">
        <v>830</v>
      </c>
      <c r="BC803">
        <v>840</v>
      </c>
      <c r="BD803" t="s">
        <v>74</v>
      </c>
      <c r="BE803" t="s">
        <v>14992</v>
      </c>
      <c r="BF803" t="str">
        <f>HYPERLINK("http://dx.doi.org/10.3189/2012JoG11J118","http://dx.doi.org/10.3189/2012JoG11J118")</f>
        <v>http://dx.doi.org/10.3189/2012JoG11J118</v>
      </c>
      <c r="BG803" t="s">
        <v>74</v>
      </c>
      <c r="BH803" t="s">
        <v>74</v>
      </c>
      <c r="BI803">
        <v>11</v>
      </c>
      <c r="BJ803" t="s">
        <v>943</v>
      </c>
      <c r="BK803" t="s">
        <v>99</v>
      </c>
      <c r="BL803" t="s">
        <v>944</v>
      </c>
      <c r="BM803" t="s">
        <v>14993</v>
      </c>
      <c r="BN803" t="s">
        <v>74</v>
      </c>
      <c r="BO803" t="s">
        <v>777</v>
      </c>
      <c r="BP803" t="s">
        <v>74</v>
      </c>
      <c r="BQ803" t="s">
        <v>74</v>
      </c>
      <c r="BR803" t="s">
        <v>101</v>
      </c>
      <c r="BS803" t="s">
        <v>14994</v>
      </c>
      <c r="BT803" t="str">
        <f>HYPERLINK("https%3A%2F%2Fwww.webofscience.com%2Fwos%2Fwoscc%2Ffull-record%2FWOS:000309248400002","View Full Record in Web of Science")</f>
        <v>View Full Record in Web of Science</v>
      </c>
    </row>
    <row r="804" spans="1:72" x14ac:dyDescent="0.15">
      <c r="A804" t="s">
        <v>72</v>
      </c>
      <c r="B804" t="s">
        <v>14995</v>
      </c>
      <c r="C804" t="s">
        <v>74</v>
      </c>
      <c r="D804" t="s">
        <v>74</v>
      </c>
      <c r="E804" t="s">
        <v>74</v>
      </c>
      <c r="F804" t="s">
        <v>14996</v>
      </c>
      <c r="G804" t="s">
        <v>74</v>
      </c>
      <c r="H804" t="s">
        <v>74</v>
      </c>
      <c r="I804" t="s">
        <v>14997</v>
      </c>
      <c r="J804" t="s">
        <v>13838</v>
      </c>
      <c r="K804" t="s">
        <v>74</v>
      </c>
      <c r="L804" t="s">
        <v>74</v>
      </c>
      <c r="M804" t="s">
        <v>78</v>
      </c>
      <c r="N804" t="s">
        <v>79</v>
      </c>
      <c r="O804" t="s">
        <v>74</v>
      </c>
      <c r="P804" t="s">
        <v>74</v>
      </c>
      <c r="Q804" t="s">
        <v>74</v>
      </c>
      <c r="R804" t="s">
        <v>74</v>
      </c>
      <c r="S804" t="s">
        <v>74</v>
      </c>
      <c r="T804" t="s">
        <v>74</v>
      </c>
      <c r="U804" t="s">
        <v>14998</v>
      </c>
      <c r="V804" t="s">
        <v>14999</v>
      </c>
      <c r="W804" t="s">
        <v>15000</v>
      </c>
      <c r="X804" t="s">
        <v>15001</v>
      </c>
      <c r="Y804" t="s">
        <v>15002</v>
      </c>
      <c r="Z804" t="s">
        <v>15003</v>
      </c>
      <c r="AA804" t="s">
        <v>15004</v>
      </c>
      <c r="AB804" t="s">
        <v>15005</v>
      </c>
      <c r="AC804" t="s">
        <v>15006</v>
      </c>
      <c r="AD804" t="s">
        <v>15007</v>
      </c>
      <c r="AE804" t="s">
        <v>15008</v>
      </c>
      <c r="AF804" t="s">
        <v>74</v>
      </c>
      <c r="AG804">
        <v>65</v>
      </c>
      <c r="AH804">
        <v>49</v>
      </c>
      <c r="AI804">
        <v>51</v>
      </c>
      <c r="AJ804">
        <v>0</v>
      </c>
      <c r="AK804">
        <v>20</v>
      </c>
      <c r="AL804" t="s">
        <v>1111</v>
      </c>
      <c r="AM804" t="s">
        <v>1112</v>
      </c>
      <c r="AN804" t="s">
        <v>1113</v>
      </c>
      <c r="AO804" t="s">
        <v>13846</v>
      </c>
      <c r="AP804" t="s">
        <v>13847</v>
      </c>
      <c r="AQ804" t="s">
        <v>74</v>
      </c>
      <c r="AR804" t="s">
        <v>13848</v>
      </c>
      <c r="AS804" t="s">
        <v>13849</v>
      </c>
      <c r="AT804" t="s">
        <v>74</v>
      </c>
      <c r="AU804">
        <v>2012</v>
      </c>
      <c r="AV804">
        <v>58</v>
      </c>
      <c r="AW804">
        <v>211</v>
      </c>
      <c r="AX804" t="s">
        <v>74</v>
      </c>
      <c r="AY804" t="s">
        <v>74</v>
      </c>
      <c r="AZ804" t="s">
        <v>74</v>
      </c>
      <c r="BA804" t="s">
        <v>74</v>
      </c>
      <c r="BB804">
        <v>904</v>
      </c>
      <c r="BC804">
        <v>914</v>
      </c>
      <c r="BD804" t="s">
        <v>74</v>
      </c>
      <c r="BE804" t="s">
        <v>15009</v>
      </c>
      <c r="BF804" t="str">
        <f>HYPERLINK("http://dx.doi.org/10.3189/2012JoG11J156","http://dx.doi.org/10.3189/2012JoG11J156")</f>
        <v>http://dx.doi.org/10.3189/2012JoG11J156</v>
      </c>
      <c r="BG804" t="s">
        <v>74</v>
      </c>
      <c r="BH804" t="s">
        <v>74</v>
      </c>
      <c r="BI804">
        <v>11</v>
      </c>
      <c r="BJ804" t="s">
        <v>943</v>
      </c>
      <c r="BK804" t="s">
        <v>99</v>
      </c>
      <c r="BL804" t="s">
        <v>944</v>
      </c>
      <c r="BM804" t="s">
        <v>14993</v>
      </c>
      <c r="BN804" t="s">
        <v>74</v>
      </c>
      <c r="BO804" t="s">
        <v>217</v>
      </c>
      <c r="BP804" t="s">
        <v>74</v>
      </c>
      <c r="BQ804" t="s">
        <v>74</v>
      </c>
      <c r="BR804" t="s">
        <v>101</v>
      </c>
      <c r="BS804" t="s">
        <v>15010</v>
      </c>
      <c r="BT804" t="str">
        <f>HYPERLINK("https%3A%2F%2Fwww.webofscience.com%2Fwos%2Fwoscc%2Ffull-record%2FWOS:000309248400009","View Full Record in Web of Science")</f>
        <v>View Full Record in Web of Science</v>
      </c>
    </row>
    <row r="805" spans="1:72" x14ac:dyDescent="0.15">
      <c r="A805" t="s">
        <v>72</v>
      </c>
      <c r="B805" t="s">
        <v>15011</v>
      </c>
      <c r="C805" t="s">
        <v>74</v>
      </c>
      <c r="D805" t="s">
        <v>74</v>
      </c>
      <c r="E805" t="s">
        <v>74</v>
      </c>
      <c r="F805" t="s">
        <v>15012</v>
      </c>
      <c r="G805" t="s">
        <v>74</v>
      </c>
      <c r="H805" t="s">
        <v>74</v>
      </c>
      <c r="I805" t="s">
        <v>15013</v>
      </c>
      <c r="J805" t="s">
        <v>13628</v>
      </c>
      <c r="K805" t="s">
        <v>74</v>
      </c>
      <c r="L805" t="s">
        <v>74</v>
      </c>
      <c r="M805" t="s">
        <v>78</v>
      </c>
      <c r="N805" t="s">
        <v>79</v>
      </c>
      <c r="O805" t="s">
        <v>74</v>
      </c>
      <c r="P805" t="s">
        <v>74</v>
      </c>
      <c r="Q805" t="s">
        <v>74</v>
      </c>
      <c r="R805" t="s">
        <v>74</v>
      </c>
      <c r="S805" t="s">
        <v>74</v>
      </c>
      <c r="T805" t="s">
        <v>15014</v>
      </c>
      <c r="U805" t="s">
        <v>15015</v>
      </c>
      <c r="V805" t="s">
        <v>15016</v>
      </c>
      <c r="W805" t="s">
        <v>15017</v>
      </c>
      <c r="X805" t="s">
        <v>15018</v>
      </c>
      <c r="Y805" t="s">
        <v>15019</v>
      </c>
      <c r="Z805" t="s">
        <v>15020</v>
      </c>
      <c r="AA805" t="s">
        <v>74</v>
      </c>
      <c r="AB805" t="s">
        <v>15021</v>
      </c>
      <c r="AC805" t="s">
        <v>15022</v>
      </c>
      <c r="AD805" t="s">
        <v>15023</v>
      </c>
      <c r="AE805" t="s">
        <v>15024</v>
      </c>
      <c r="AF805" t="s">
        <v>74</v>
      </c>
      <c r="AG805">
        <v>50</v>
      </c>
      <c r="AH805">
        <v>13</v>
      </c>
      <c r="AI805">
        <v>20</v>
      </c>
      <c r="AJ805">
        <v>0</v>
      </c>
      <c r="AK805">
        <v>24</v>
      </c>
      <c r="AL805" t="s">
        <v>13640</v>
      </c>
      <c r="AM805" t="s">
        <v>13641</v>
      </c>
      <c r="AN805" t="s">
        <v>13642</v>
      </c>
      <c r="AO805" t="s">
        <v>13643</v>
      </c>
      <c r="AP805" t="s">
        <v>13644</v>
      </c>
      <c r="AQ805" t="s">
        <v>74</v>
      </c>
      <c r="AR805" t="s">
        <v>13645</v>
      </c>
      <c r="AS805" t="s">
        <v>13646</v>
      </c>
      <c r="AT805" t="s">
        <v>74</v>
      </c>
      <c r="AU805">
        <v>2012</v>
      </c>
      <c r="AV805">
        <v>465</v>
      </c>
      <c r="AW805" t="s">
        <v>74</v>
      </c>
      <c r="AX805" t="s">
        <v>74</v>
      </c>
      <c r="AY805" t="s">
        <v>74</v>
      </c>
      <c r="AZ805" t="s">
        <v>74</v>
      </c>
      <c r="BA805" t="s">
        <v>74</v>
      </c>
      <c r="BB805">
        <v>69</v>
      </c>
      <c r="BC805">
        <v>83</v>
      </c>
      <c r="BD805" t="s">
        <v>74</v>
      </c>
      <c r="BE805" t="s">
        <v>15025</v>
      </c>
      <c r="BF805" t="str">
        <f>HYPERLINK("http://dx.doi.org/10.3354/meps09876","http://dx.doi.org/10.3354/meps09876")</f>
        <v>http://dx.doi.org/10.3354/meps09876</v>
      </c>
      <c r="BG805" t="s">
        <v>74</v>
      </c>
      <c r="BH805" t="s">
        <v>74</v>
      </c>
      <c r="BI805">
        <v>15</v>
      </c>
      <c r="BJ805" t="s">
        <v>13648</v>
      </c>
      <c r="BK805" t="s">
        <v>99</v>
      </c>
      <c r="BL805" t="s">
        <v>13649</v>
      </c>
      <c r="BM805" t="s">
        <v>15026</v>
      </c>
      <c r="BN805" t="s">
        <v>74</v>
      </c>
      <c r="BO805" t="s">
        <v>197</v>
      </c>
      <c r="BP805" t="s">
        <v>74</v>
      </c>
      <c r="BQ805" t="s">
        <v>74</v>
      </c>
      <c r="BR805" t="s">
        <v>101</v>
      </c>
      <c r="BS805" t="s">
        <v>15027</v>
      </c>
      <c r="BT805" t="str">
        <f>HYPERLINK("https%3A%2F%2Fwww.webofscience.com%2Fwos%2Fwoscc%2Ffull-record%2FWOS:000309366300006","View Full Record in Web of Science")</f>
        <v>View Full Record in Web of Science</v>
      </c>
    </row>
    <row r="806" spans="1:72" x14ac:dyDescent="0.15">
      <c r="A806" t="s">
        <v>72</v>
      </c>
      <c r="B806" t="s">
        <v>15028</v>
      </c>
      <c r="C806" t="s">
        <v>74</v>
      </c>
      <c r="D806" t="s">
        <v>74</v>
      </c>
      <c r="E806" t="s">
        <v>74</v>
      </c>
      <c r="F806" t="s">
        <v>15029</v>
      </c>
      <c r="G806" t="s">
        <v>74</v>
      </c>
      <c r="H806" t="s">
        <v>74</v>
      </c>
      <c r="I806" t="s">
        <v>15030</v>
      </c>
      <c r="J806" t="s">
        <v>14857</v>
      </c>
      <c r="K806" t="s">
        <v>74</v>
      </c>
      <c r="L806" t="s">
        <v>74</v>
      </c>
      <c r="M806" t="s">
        <v>78</v>
      </c>
      <c r="N806" t="s">
        <v>79</v>
      </c>
      <c r="O806" t="s">
        <v>74</v>
      </c>
      <c r="P806" t="s">
        <v>74</v>
      </c>
      <c r="Q806" t="s">
        <v>74</v>
      </c>
      <c r="R806" t="s">
        <v>74</v>
      </c>
      <c r="S806" t="s">
        <v>74</v>
      </c>
      <c r="T806" t="s">
        <v>15031</v>
      </c>
      <c r="U806" t="s">
        <v>15032</v>
      </c>
      <c r="V806" t="s">
        <v>15033</v>
      </c>
      <c r="W806" t="s">
        <v>15034</v>
      </c>
      <c r="X806" t="s">
        <v>6030</v>
      </c>
      <c r="Y806" t="s">
        <v>15035</v>
      </c>
      <c r="Z806" t="s">
        <v>15036</v>
      </c>
      <c r="AA806" t="s">
        <v>15037</v>
      </c>
      <c r="AB806" t="s">
        <v>15038</v>
      </c>
      <c r="AC806" t="s">
        <v>15039</v>
      </c>
      <c r="AD806" t="s">
        <v>15040</v>
      </c>
      <c r="AE806" t="s">
        <v>15041</v>
      </c>
      <c r="AF806" t="s">
        <v>74</v>
      </c>
      <c r="AG806">
        <v>26</v>
      </c>
      <c r="AH806">
        <v>0</v>
      </c>
      <c r="AI806">
        <v>1</v>
      </c>
      <c r="AJ806">
        <v>0</v>
      </c>
      <c r="AK806">
        <v>3</v>
      </c>
      <c r="AL806" t="s">
        <v>15042</v>
      </c>
      <c r="AM806" t="s">
        <v>15043</v>
      </c>
      <c r="AN806" t="s">
        <v>15044</v>
      </c>
      <c r="AO806" t="s">
        <v>15045</v>
      </c>
      <c r="AP806" t="s">
        <v>74</v>
      </c>
      <c r="AQ806" t="s">
        <v>74</v>
      </c>
      <c r="AR806" t="s">
        <v>14874</v>
      </c>
      <c r="AS806" t="s">
        <v>14875</v>
      </c>
      <c r="AT806" t="s">
        <v>74</v>
      </c>
      <c r="AU806">
        <v>2012</v>
      </c>
      <c r="AV806">
        <v>64</v>
      </c>
      <c r="AW806" t="s">
        <v>74</v>
      </c>
      <c r="AX806" t="s">
        <v>74</v>
      </c>
      <c r="AY806" t="s">
        <v>74</v>
      </c>
      <c r="AZ806" t="s">
        <v>74</v>
      </c>
      <c r="BA806" t="s">
        <v>74</v>
      </c>
      <c r="BB806" t="s">
        <v>74</v>
      </c>
      <c r="BC806" t="s">
        <v>74</v>
      </c>
      <c r="BD806">
        <v>17164</v>
      </c>
      <c r="BE806" t="s">
        <v>15046</v>
      </c>
      <c r="BF806" t="str">
        <f>HYPERLINK("http://dx.doi.org/10.3402/tellusb.v64i0.17164","http://dx.doi.org/10.3402/tellusb.v64i0.17164")</f>
        <v>http://dx.doi.org/10.3402/tellusb.v64i0.17164</v>
      </c>
      <c r="BG806" t="s">
        <v>74</v>
      </c>
      <c r="BH806" t="s">
        <v>74</v>
      </c>
      <c r="BI806">
        <v>7</v>
      </c>
      <c r="BJ806" t="s">
        <v>128</v>
      </c>
      <c r="BK806" t="s">
        <v>99</v>
      </c>
      <c r="BL806" t="s">
        <v>128</v>
      </c>
      <c r="BM806" t="s">
        <v>15047</v>
      </c>
      <c r="BN806" t="s">
        <v>74</v>
      </c>
      <c r="BO806" t="s">
        <v>9400</v>
      </c>
      <c r="BP806" t="s">
        <v>74</v>
      </c>
      <c r="BQ806" t="s">
        <v>74</v>
      </c>
      <c r="BR806" t="s">
        <v>101</v>
      </c>
      <c r="BS806" t="s">
        <v>15048</v>
      </c>
      <c r="BT806" t="str">
        <f>HYPERLINK("https%3A%2F%2Fwww.webofscience.com%2Fwos%2Fwoscc%2Ffull-record%2FWOS:000309520000001","View Full Record in Web of Science")</f>
        <v>View Full Record in Web of Science</v>
      </c>
    </row>
    <row r="807" spans="1:72" x14ac:dyDescent="0.15">
      <c r="A807" t="s">
        <v>72</v>
      </c>
      <c r="B807" t="s">
        <v>15049</v>
      </c>
      <c r="C807" t="s">
        <v>74</v>
      </c>
      <c r="D807" t="s">
        <v>74</v>
      </c>
      <c r="E807" t="s">
        <v>74</v>
      </c>
      <c r="F807" t="s">
        <v>15050</v>
      </c>
      <c r="G807" t="s">
        <v>74</v>
      </c>
      <c r="H807" t="s">
        <v>74</v>
      </c>
      <c r="I807" t="s">
        <v>15051</v>
      </c>
      <c r="J807" t="s">
        <v>13816</v>
      </c>
      <c r="K807" t="s">
        <v>74</v>
      </c>
      <c r="L807" t="s">
        <v>74</v>
      </c>
      <c r="M807" t="s">
        <v>78</v>
      </c>
      <c r="N807" t="s">
        <v>79</v>
      </c>
      <c r="O807" t="s">
        <v>74</v>
      </c>
      <c r="P807" t="s">
        <v>74</v>
      </c>
      <c r="Q807" t="s">
        <v>74</v>
      </c>
      <c r="R807" t="s">
        <v>74</v>
      </c>
      <c r="S807" t="s">
        <v>74</v>
      </c>
      <c r="T807" t="s">
        <v>74</v>
      </c>
      <c r="U807" t="s">
        <v>15052</v>
      </c>
      <c r="V807" t="s">
        <v>15053</v>
      </c>
      <c r="W807" t="s">
        <v>15054</v>
      </c>
      <c r="X807" t="s">
        <v>15055</v>
      </c>
      <c r="Y807" t="s">
        <v>15056</v>
      </c>
      <c r="Z807" t="s">
        <v>15057</v>
      </c>
      <c r="AA807" t="s">
        <v>15058</v>
      </c>
      <c r="AB807" t="s">
        <v>15059</v>
      </c>
      <c r="AC807" t="s">
        <v>15060</v>
      </c>
      <c r="AD807" t="s">
        <v>15061</v>
      </c>
      <c r="AE807" t="s">
        <v>15062</v>
      </c>
      <c r="AF807" t="s">
        <v>74</v>
      </c>
      <c r="AG807">
        <v>51</v>
      </c>
      <c r="AH807">
        <v>24</v>
      </c>
      <c r="AI807">
        <v>28</v>
      </c>
      <c r="AJ807">
        <v>1</v>
      </c>
      <c r="AK807">
        <v>37</v>
      </c>
      <c r="AL807" t="s">
        <v>13270</v>
      </c>
      <c r="AM807" t="s">
        <v>13271</v>
      </c>
      <c r="AN807" t="s">
        <v>13272</v>
      </c>
      <c r="AO807" t="s">
        <v>13828</v>
      </c>
      <c r="AP807" t="s">
        <v>13829</v>
      </c>
      <c r="AQ807" t="s">
        <v>74</v>
      </c>
      <c r="AR807" t="s">
        <v>13830</v>
      </c>
      <c r="AS807" t="s">
        <v>13831</v>
      </c>
      <c r="AT807" t="s">
        <v>74</v>
      </c>
      <c r="AU807">
        <v>2012</v>
      </c>
      <c r="AV807">
        <v>12</v>
      </c>
      <c r="AW807">
        <v>17</v>
      </c>
      <c r="AX807" t="s">
        <v>74</v>
      </c>
      <c r="AY807" t="s">
        <v>74</v>
      </c>
      <c r="AZ807" t="s">
        <v>74</v>
      </c>
      <c r="BA807" t="s">
        <v>74</v>
      </c>
      <c r="BB807">
        <v>7995</v>
      </c>
      <c r="BC807">
        <v>8007</v>
      </c>
      <c r="BD807" t="s">
        <v>74</v>
      </c>
      <c r="BE807" t="s">
        <v>15063</v>
      </c>
      <c r="BF807" t="str">
        <f>HYPERLINK("http://dx.doi.org/10.5194/acp-12-7995-2012","http://dx.doi.org/10.5194/acp-12-7995-2012")</f>
        <v>http://dx.doi.org/10.5194/acp-12-7995-2012</v>
      </c>
      <c r="BG807" t="s">
        <v>74</v>
      </c>
      <c r="BH807" t="s">
        <v>74</v>
      </c>
      <c r="BI807">
        <v>13</v>
      </c>
      <c r="BJ807" t="s">
        <v>1758</v>
      </c>
      <c r="BK807" t="s">
        <v>99</v>
      </c>
      <c r="BL807" t="s">
        <v>1759</v>
      </c>
      <c r="BM807" t="s">
        <v>15064</v>
      </c>
      <c r="BN807" t="s">
        <v>74</v>
      </c>
      <c r="BO807" t="s">
        <v>7430</v>
      </c>
      <c r="BP807" t="s">
        <v>74</v>
      </c>
      <c r="BQ807" t="s">
        <v>74</v>
      </c>
      <c r="BR807" t="s">
        <v>101</v>
      </c>
      <c r="BS807" t="s">
        <v>15065</v>
      </c>
      <c r="BT807" t="str">
        <f>HYPERLINK("https%3A%2F%2Fwww.webofscience.com%2Fwos%2Fwoscc%2Ffull-record%2FWOS:000308753800009","View Full Record in Web of Science")</f>
        <v>View Full Record in Web of Science</v>
      </c>
    </row>
    <row r="808" spans="1:72" x14ac:dyDescent="0.15">
      <c r="A808" t="s">
        <v>72</v>
      </c>
      <c r="B808" t="s">
        <v>15066</v>
      </c>
      <c r="C808" t="s">
        <v>74</v>
      </c>
      <c r="D808" t="s">
        <v>74</v>
      </c>
      <c r="E808" t="s">
        <v>74</v>
      </c>
      <c r="F808" t="s">
        <v>15067</v>
      </c>
      <c r="G808" t="s">
        <v>74</v>
      </c>
      <c r="H808" t="s">
        <v>74</v>
      </c>
      <c r="I808" t="s">
        <v>15068</v>
      </c>
      <c r="J808" t="s">
        <v>15069</v>
      </c>
      <c r="K808" t="s">
        <v>74</v>
      </c>
      <c r="L808" t="s">
        <v>74</v>
      </c>
      <c r="M808" t="s">
        <v>78</v>
      </c>
      <c r="N808" t="s">
        <v>79</v>
      </c>
      <c r="O808" t="s">
        <v>74</v>
      </c>
      <c r="P808" t="s">
        <v>74</v>
      </c>
      <c r="Q808" t="s">
        <v>74</v>
      </c>
      <c r="R808" t="s">
        <v>74</v>
      </c>
      <c r="S808" t="s">
        <v>74</v>
      </c>
      <c r="T808" t="s">
        <v>15070</v>
      </c>
      <c r="U808" t="s">
        <v>15071</v>
      </c>
      <c r="V808" t="s">
        <v>15072</v>
      </c>
      <c r="W808" t="s">
        <v>74</v>
      </c>
      <c r="X808" t="s">
        <v>74</v>
      </c>
      <c r="Y808" t="s">
        <v>74</v>
      </c>
      <c r="Z808" t="s">
        <v>15073</v>
      </c>
      <c r="AA808" t="s">
        <v>74</v>
      </c>
      <c r="AB808" t="s">
        <v>74</v>
      </c>
      <c r="AC808" t="s">
        <v>74</v>
      </c>
      <c r="AD808" t="s">
        <v>74</v>
      </c>
      <c r="AE808" t="s">
        <v>74</v>
      </c>
      <c r="AF808" t="s">
        <v>74</v>
      </c>
      <c r="AG808">
        <v>62</v>
      </c>
      <c r="AH808">
        <v>8</v>
      </c>
      <c r="AI808">
        <v>8</v>
      </c>
      <c r="AJ808">
        <v>0</v>
      </c>
      <c r="AK808">
        <v>22</v>
      </c>
      <c r="AL808" t="s">
        <v>15074</v>
      </c>
      <c r="AM808" t="s">
        <v>762</v>
      </c>
      <c r="AN808" t="s">
        <v>15075</v>
      </c>
      <c r="AO808" t="s">
        <v>15076</v>
      </c>
      <c r="AP808" t="s">
        <v>15077</v>
      </c>
      <c r="AQ808" t="s">
        <v>74</v>
      </c>
      <c r="AR808" t="s">
        <v>15078</v>
      </c>
      <c r="AS808" t="s">
        <v>15079</v>
      </c>
      <c r="AT808" t="s">
        <v>74</v>
      </c>
      <c r="AU808">
        <v>2012</v>
      </c>
      <c r="AV808">
        <v>26</v>
      </c>
      <c r="AW808">
        <v>3</v>
      </c>
      <c r="AX808" t="s">
        <v>74</v>
      </c>
      <c r="AY808" t="s">
        <v>74</v>
      </c>
      <c r="AZ808" t="s">
        <v>1913</v>
      </c>
      <c r="BA808" t="s">
        <v>74</v>
      </c>
      <c r="BB808">
        <v>328</v>
      </c>
      <c r="BC808">
        <v>352</v>
      </c>
      <c r="BD808" t="s">
        <v>74</v>
      </c>
      <c r="BE808" t="s">
        <v>15080</v>
      </c>
      <c r="BF808" t="str">
        <f>HYPERLINK("http://dx.doi.org/10.1080/02560046.2012.705460","http://dx.doi.org/10.1080/02560046.2012.705460")</f>
        <v>http://dx.doi.org/10.1080/02560046.2012.705460</v>
      </c>
      <c r="BG808" t="s">
        <v>74</v>
      </c>
      <c r="BH808" t="s">
        <v>74</v>
      </c>
      <c r="BI808">
        <v>25</v>
      </c>
      <c r="BJ808" t="s">
        <v>15081</v>
      </c>
      <c r="BK808" t="s">
        <v>15082</v>
      </c>
      <c r="BL808" t="s">
        <v>15081</v>
      </c>
      <c r="BM808" t="s">
        <v>15083</v>
      </c>
      <c r="BN808" t="s">
        <v>74</v>
      </c>
      <c r="BO808" t="s">
        <v>74</v>
      </c>
      <c r="BP808" t="s">
        <v>74</v>
      </c>
      <c r="BQ808" t="s">
        <v>74</v>
      </c>
      <c r="BR808" t="s">
        <v>101</v>
      </c>
      <c r="BS808" t="s">
        <v>15084</v>
      </c>
      <c r="BT808" t="str">
        <f>HYPERLINK("https%3A%2F%2Fwww.webofscience.com%2Fwos%2Fwoscc%2Ffull-record%2FWOS:000308980500007","View Full Record in Web of Science")</f>
        <v>View Full Record in Web of Science</v>
      </c>
    </row>
    <row r="809" spans="1:72" x14ac:dyDescent="0.15">
      <c r="A809" t="s">
        <v>72</v>
      </c>
      <c r="B809" t="s">
        <v>15085</v>
      </c>
      <c r="C809" t="s">
        <v>74</v>
      </c>
      <c r="D809" t="s">
        <v>74</v>
      </c>
      <c r="E809" t="s">
        <v>74</v>
      </c>
      <c r="F809" t="s">
        <v>15086</v>
      </c>
      <c r="G809" t="s">
        <v>74</v>
      </c>
      <c r="H809" t="s">
        <v>74</v>
      </c>
      <c r="I809" t="s">
        <v>15087</v>
      </c>
      <c r="J809" t="s">
        <v>13074</v>
      </c>
      <c r="K809" t="s">
        <v>74</v>
      </c>
      <c r="L809" t="s">
        <v>74</v>
      </c>
      <c r="M809" t="s">
        <v>78</v>
      </c>
      <c r="N809" t="s">
        <v>79</v>
      </c>
      <c r="O809" t="s">
        <v>74</v>
      </c>
      <c r="P809" t="s">
        <v>74</v>
      </c>
      <c r="Q809" t="s">
        <v>74</v>
      </c>
      <c r="R809" t="s">
        <v>74</v>
      </c>
      <c r="S809" t="s">
        <v>74</v>
      </c>
      <c r="T809" t="s">
        <v>74</v>
      </c>
      <c r="U809" t="s">
        <v>15088</v>
      </c>
      <c r="V809" t="s">
        <v>15089</v>
      </c>
      <c r="W809" t="s">
        <v>15090</v>
      </c>
      <c r="X809" t="s">
        <v>15091</v>
      </c>
      <c r="Y809" t="s">
        <v>15092</v>
      </c>
      <c r="Z809" t="s">
        <v>15093</v>
      </c>
      <c r="AA809" t="s">
        <v>13081</v>
      </c>
      <c r="AB809" t="s">
        <v>13082</v>
      </c>
      <c r="AC809" t="s">
        <v>15094</v>
      </c>
      <c r="AD809" t="s">
        <v>15095</v>
      </c>
      <c r="AE809" t="s">
        <v>15096</v>
      </c>
      <c r="AF809" t="s">
        <v>74</v>
      </c>
      <c r="AG809">
        <v>27</v>
      </c>
      <c r="AH809">
        <v>5</v>
      </c>
      <c r="AI809">
        <v>6</v>
      </c>
      <c r="AJ809">
        <v>1</v>
      </c>
      <c r="AK809">
        <v>5</v>
      </c>
      <c r="AL809" t="s">
        <v>13086</v>
      </c>
      <c r="AM809" t="s">
        <v>13087</v>
      </c>
      <c r="AN809" t="s">
        <v>13088</v>
      </c>
      <c r="AO809" t="s">
        <v>13089</v>
      </c>
      <c r="AP809" t="s">
        <v>13090</v>
      </c>
      <c r="AQ809" t="s">
        <v>74</v>
      </c>
      <c r="AR809" t="s">
        <v>13074</v>
      </c>
      <c r="AS809" t="s">
        <v>13091</v>
      </c>
      <c r="AT809" t="s">
        <v>74</v>
      </c>
      <c r="AU809">
        <v>2012</v>
      </c>
      <c r="AV809">
        <v>58</v>
      </c>
      <c r="AW809">
        <v>3</v>
      </c>
      <c r="AX809" t="s">
        <v>74</v>
      </c>
      <c r="AY809" t="s">
        <v>74</v>
      </c>
      <c r="AZ809" t="s">
        <v>74</v>
      </c>
      <c r="BA809" t="s">
        <v>74</v>
      </c>
      <c r="BB809">
        <v>273</v>
      </c>
      <c r="BC809">
        <v>289</v>
      </c>
      <c r="BD809" t="s">
        <v>74</v>
      </c>
      <c r="BE809" t="s">
        <v>74</v>
      </c>
      <c r="BF809" t="s">
        <v>74</v>
      </c>
      <c r="BG809" t="s">
        <v>74</v>
      </c>
      <c r="BH809" t="s">
        <v>74</v>
      </c>
      <c r="BI809">
        <v>17</v>
      </c>
      <c r="BJ809" t="s">
        <v>5138</v>
      </c>
      <c r="BK809" t="s">
        <v>99</v>
      </c>
      <c r="BL809" t="s">
        <v>5138</v>
      </c>
      <c r="BM809" t="s">
        <v>15097</v>
      </c>
      <c r="BN809" t="s">
        <v>74</v>
      </c>
      <c r="BO809" t="s">
        <v>74</v>
      </c>
      <c r="BP809" t="s">
        <v>74</v>
      </c>
      <c r="BQ809" t="s">
        <v>74</v>
      </c>
      <c r="BR809" t="s">
        <v>101</v>
      </c>
      <c r="BS809" t="s">
        <v>15098</v>
      </c>
      <c r="BT809" t="str">
        <f>HYPERLINK("https%3A%2F%2Fwww.webofscience.com%2Fwos%2Fwoscc%2Ffull-record%2FWOS:000307911900004","View Full Record in Web of Science")</f>
        <v>View Full Record in Web of Science</v>
      </c>
    </row>
    <row r="810" spans="1:72" x14ac:dyDescent="0.15">
      <c r="A810" t="s">
        <v>72</v>
      </c>
      <c r="B810" t="s">
        <v>15099</v>
      </c>
      <c r="C810" t="s">
        <v>74</v>
      </c>
      <c r="D810" t="s">
        <v>74</v>
      </c>
      <c r="E810" t="s">
        <v>74</v>
      </c>
      <c r="F810" t="s">
        <v>15100</v>
      </c>
      <c r="G810" t="s">
        <v>74</v>
      </c>
      <c r="H810" t="s">
        <v>74</v>
      </c>
      <c r="I810" t="s">
        <v>15101</v>
      </c>
      <c r="J810" t="s">
        <v>15102</v>
      </c>
      <c r="K810" t="s">
        <v>74</v>
      </c>
      <c r="L810" t="s">
        <v>74</v>
      </c>
      <c r="M810" t="s">
        <v>78</v>
      </c>
      <c r="N810" t="s">
        <v>79</v>
      </c>
      <c r="O810" t="s">
        <v>74</v>
      </c>
      <c r="P810" t="s">
        <v>74</v>
      </c>
      <c r="Q810" t="s">
        <v>74</v>
      </c>
      <c r="R810" t="s">
        <v>74</v>
      </c>
      <c r="S810" t="s">
        <v>74</v>
      </c>
      <c r="T810" t="s">
        <v>15103</v>
      </c>
      <c r="U810" t="s">
        <v>15104</v>
      </c>
      <c r="V810" t="s">
        <v>15105</v>
      </c>
      <c r="W810" t="s">
        <v>15106</v>
      </c>
      <c r="X810" t="s">
        <v>74</v>
      </c>
      <c r="Y810" t="s">
        <v>15107</v>
      </c>
      <c r="Z810" t="s">
        <v>15108</v>
      </c>
      <c r="AA810" t="s">
        <v>74</v>
      </c>
      <c r="AB810" t="s">
        <v>74</v>
      </c>
      <c r="AC810" t="s">
        <v>15109</v>
      </c>
      <c r="AD810" t="s">
        <v>15110</v>
      </c>
      <c r="AE810" t="s">
        <v>15111</v>
      </c>
      <c r="AF810" t="s">
        <v>74</v>
      </c>
      <c r="AG810">
        <v>69</v>
      </c>
      <c r="AH810">
        <v>13</v>
      </c>
      <c r="AI810">
        <v>13</v>
      </c>
      <c r="AJ810">
        <v>0</v>
      </c>
      <c r="AK810">
        <v>11</v>
      </c>
      <c r="AL810" t="s">
        <v>761</v>
      </c>
      <c r="AM810" t="s">
        <v>762</v>
      </c>
      <c r="AN810" t="s">
        <v>763</v>
      </c>
      <c r="AO810" t="s">
        <v>15112</v>
      </c>
      <c r="AP810" t="s">
        <v>15113</v>
      </c>
      <c r="AQ810" t="s">
        <v>74</v>
      </c>
      <c r="AR810" t="s">
        <v>15114</v>
      </c>
      <c r="AS810" t="s">
        <v>15115</v>
      </c>
      <c r="AT810" t="s">
        <v>74</v>
      </c>
      <c r="AU810">
        <v>2012</v>
      </c>
      <c r="AV810">
        <v>10</v>
      </c>
      <c r="AW810">
        <v>3</v>
      </c>
      <c r="AX810" t="s">
        <v>74</v>
      </c>
      <c r="AY810" t="s">
        <v>74</v>
      </c>
      <c r="AZ810" t="s">
        <v>74</v>
      </c>
      <c r="BA810" t="s">
        <v>74</v>
      </c>
      <c r="BB810">
        <v>361</v>
      </c>
      <c r="BC810">
        <v>374</v>
      </c>
      <c r="BD810" t="s">
        <v>74</v>
      </c>
      <c r="BE810" t="s">
        <v>15116</v>
      </c>
      <c r="BF810" t="str">
        <f>HYPERLINK("http://dx.doi.org/10.1080/14772000.2012.716462","http://dx.doi.org/10.1080/14772000.2012.716462")</f>
        <v>http://dx.doi.org/10.1080/14772000.2012.716462</v>
      </c>
      <c r="BG810" t="s">
        <v>74</v>
      </c>
      <c r="BH810" t="s">
        <v>74</v>
      </c>
      <c r="BI810">
        <v>14</v>
      </c>
      <c r="BJ810" t="s">
        <v>15117</v>
      </c>
      <c r="BK810" t="s">
        <v>99</v>
      </c>
      <c r="BL810" t="s">
        <v>15118</v>
      </c>
      <c r="BM810" t="s">
        <v>15119</v>
      </c>
      <c r="BN810" t="s">
        <v>74</v>
      </c>
      <c r="BO810" t="s">
        <v>74</v>
      </c>
      <c r="BP810" t="s">
        <v>74</v>
      </c>
      <c r="BQ810" t="s">
        <v>74</v>
      </c>
      <c r="BR810" t="s">
        <v>101</v>
      </c>
      <c r="BS810" t="s">
        <v>15120</v>
      </c>
      <c r="BT810" t="str">
        <f>HYPERLINK("https%3A%2F%2Fwww.webofscience.com%2Fwos%2Fwoscc%2Ffull-record%2FWOS:000309130300009","View Full Record in Web of Science")</f>
        <v>View Full Record in Web of Science</v>
      </c>
    </row>
    <row r="811" spans="1:72" x14ac:dyDescent="0.15">
      <c r="A811" t="s">
        <v>72</v>
      </c>
      <c r="B811" t="s">
        <v>15121</v>
      </c>
      <c r="C811" t="s">
        <v>74</v>
      </c>
      <c r="D811" t="s">
        <v>74</v>
      </c>
      <c r="E811" t="s">
        <v>74</v>
      </c>
      <c r="F811" t="s">
        <v>15122</v>
      </c>
      <c r="G811" t="s">
        <v>74</v>
      </c>
      <c r="H811" t="s">
        <v>74</v>
      </c>
      <c r="I811" t="s">
        <v>15123</v>
      </c>
      <c r="J811" t="s">
        <v>13777</v>
      </c>
      <c r="K811" t="s">
        <v>74</v>
      </c>
      <c r="L811" t="s">
        <v>74</v>
      </c>
      <c r="M811" t="s">
        <v>78</v>
      </c>
      <c r="N811" t="s">
        <v>79</v>
      </c>
      <c r="O811" t="s">
        <v>74</v>
      </c>
      <c r="P811" t="s">
        <v>74</v>
      </c>
      <c r="Q811" t="s">
        <v>74</v>
      </c>
      <c r="R811" t="s">
        <v>74</v>
      </c>
      <c r="S811" t="s">
        <v>74</v>
      </c>
      <c r="T811" t="s">
        <v>15124</v>
      </c>
      <c r="U811" t="s">
        <v>15125</v>
      </c>
      <c r="V811" t="s">
        <v>15126</v>
      </c>
      <c r="W811" t="s">
        <v>15127</v>
      </c>
      <c r="X811" t="s">
        <v>14797</v>
      </c>
      <c r="Y811" t="s">
        <v>14798</v>
      </c>
      <c r="Z811" t="s">
        <v>14799</v>
      </c>
      <c r="AA811" t="s">
        <v>74</v>
      </c>
      <c r="AB811" t="s">
        <v>74</v>
      </c>
      <c r="AC811" t="s">
        <v>74</v>
      </c>
      <c r="AD811" t="s">
        <v>74</v>
      </c>
      <c r="AE811" t="s">
        <v>74</v>
      </c>
      <c r="AF811" t="s">
        <v>74</v>
      </c>
      <c r="AG811">
        <v>63</v>
      </c>
      <c r="AH811">
        <v>7</v>
      </c>
      <c r="AI811">
        <v>7</v>
      </c>
      <c r="AJ811">
        <v>0</v>
      </c>
      <c r="AK811">
        <v>6</v>
      </c>
      <c r="AL811" t="s">
        <v>13785</v>
      </c>
      <c r="AM811" t="s">
        <v>13786</v>
      </c>
      <c r="AN811" t="s">
        <v>13787</v>
      </c>
      <c r="AO811" t="s">
        <v>13788</v>
      </c>
      <c r="AP811" t="s">
        <v>13789</v>
      </c>
      <c r="AQ811" t="s">
        <v>74</v>
      </c>
      <c r="AR811" t="s">
        <v>13777</v>
      </c>
      <c r="AS811" t="s">
        <v>13790</v>
      </c>
      <c r="AT811" t="s">
        <v>74</v>
      </c>
      <c r="AU811">
        <v>2012</v>
      </c>
      <c r="AV811" t="s">
        <v>74</v>
      </c>
      <c r="AW811">
        <v>215</v>
      </c>
      <c r="AX811" t="s">
        <v>74</v>
      </c>
      <c r="AY811" t="s">
        <v>74</v>
      </c>
      <c r="AZ811" t="s">
        <v>74</v>
      </c>
      <c r="BA811" t="s">
        <v>74</v>
      </c>
      <c r="BB811">
        <v>1</v>
      </c>
      <c r="BC811">
        <v>31</v>
      </c>
      <c r="BD811" t="s">
        <v>74</v>
      </c>
      <c r="BE811" t="s">
        <v>15128</v>
      </c>
      <c r="BF811" t="str">
        <f>HYPERLINK("http://dx.doi.org/10.3897/zookeys.215.2987","http://dx.doi.org/10.3897/zookeys.215.2987")</f>
        <v>http://dx.doi.org/10.3897/zookeys.215.2987</v>
      </c>
      <c r="BG811" t="s">
        <v>74</v>
      </c>
      <c r="BH811" t="s">
        <v>74</v>
      </c>
      <c r="BI811">
        <v>31</v>
      </c>
      <c r="BJ811" t="s">
        <v>98</v>
      </c>
      <c r="BK811" t="s">
        <v>99</v>
      </c>
      <c r="BL811" t="s">
        <v>98</v>
      </c>
      <c r="BM811" t="s">
        <v>15129</v>
      </c>
      <c r="BN811">
        <v>22936868</v>
      </c>
      <c r="BO811" t="s">
        <v>2787</v>
      </c>
      <c r="BP811" t="s">
        <v>74</v>
      </c>
      <c r="BQ811" t="s">
        <v>74</v>
      </c>
      <c r="BR811" t="s">
        <v>101</v>
      </c>
      <c r="BS811" t="s">
        <v>15130</v>
      </c>
      <c r="BT811" t="str">
        <f>HYPERLINK("https%3A%2F%2Fwww.webofscience.com%2Fwos%2Fwoscc%2Ffull-record%2FWOS:000309080600001","View Full Record in Web of Science")</f>
        <v>View Full Record in Web of Science</v>
      </c>
    </row>
    <row r="812" spans="1:72" x14ac:dyDescent="0.15">
      <c r="A812" t="s">
        <v>12086</v>
      </c>
      <c r="B812" t="s">
        <v>15131</v>
      </c>
      <c r="C812" t="s">
        <v>74</v>
      </c>
      <c r="D812" t="s">
        <v>15132</v>
      </c>
      <c r="E812" t="s">
        <v>74</v>
      </c>
      <c r="F812" t="s">
        <v>15133</v>
      </c>
      <c r="G812" t="s">
        <v>74</v>
      </c>
      <c r="H812" t="s">
        <v>15134</v>
      </c>
      <c r="I812" t="s">
        <v>15135</v>
      </c>
      <c r="J812" t="s">
        <v>15136</v>
      </c>
      <c r="K812" t="s">
        <v>13513</v>
      </c>
      <c r="L812" t="s">
        <v>74</v>
      </c>
      <c r="M812" t="s">
        <v>78</v>
      </c>
      <c r="N812" t="s">
        <v>12093</v>
      </c>
      <c r="O812" t="s">
        <v>15137</v>
      </c>
      <c r="P812" t="s">
        <v>15138</v>
      </c>
      <c r="Q812" t="s">
        <v>15139</v>
      </c>
      <c r="R812" t="s">
        <v>74</v>
      </c>
      <c r="S812" t="s">
        <v>15140</v>
      </c>
      <c r="T812" t="s">
        <v>15141</v>
      </c>
      <c r="U812" t="s">
        <v>15142</v>
      </c>
      <c r="V812" t="s">
        <v>15143</v>
      </c>
      <c r="W812" t="s">
        <v>15144</v>
      </c>
      <c r="X812" t="s">
        <v>15145</v>
      </c>
      <c r="Y812" t="s">
        <v>15146</v>
      </c>
      <c r="Z812" t="s">
        <v>74</v>
      </c>
      <c r="AA812" t="s">
        <v>15147</v>
      </c>
      <c r="AB812" t="s">
        <v>15148</v>
      </c>
      <c r="AC812" t="s">
        <v>74</v>
      </c>
      <c r="AD812" t="s">
        <v>74</v>
      </c>
      <c r="AE812" t="s">
        <v>74</v>
      </c>
      <c r="AF812" t="s">
        <v>74</v>
      </c>
      <c r="AG812">
        <v>11</v>
      </c>
      <c r="AH812">
        <v>1</v>
      </c>
      <c r="AI812">
        <v>1</v>
      </c>
      <c r="AJ812">
        <v>0</v>
      </c>
      <c r="AK812">
        <v>4</v>
      </c>
      <c r="AL812" t="s">
        <v>13524</v>
      </c>
      <c r="AM812" t="s">
        <v>13525</v>
      </c>
      <c r="AN812" t="s">
        <v>13526</v>
      </c>
      <c r="AO812" t="s">
        <v>13527</v>
      </c>
      <c r="AP812" t="s">
        <v>74</v>
      </c>
      <c r="AQ812" t="s">
        <v>15149</v>
      </c>
      <c r="AR812" t="s">
        <v>13529</v>
      </c>
      <c r="AS812" t="s">
        <v>74</v>
      </c>
      <c r="AT812" t="s">
        <v>74</v>
      </c>
      <c r="AU812">
        <v>2012</v>
      </c>
      <c r="AV812">
        <v>1441</v>
      </c>
      <c r="AW812" t="s">
        <v>74</v>
      </c>
      <c r="AX812" t="s">
        <v>74</v>
      </c>
      <c r="AY812" t="s">
        <v>74</v>
      </c>
      <c r="AZ812" t="s">
        <v>74</v>
      </c>
      <c r="BA812" t="s">
        <v>74</v>
      </c>
      <c r="BB812">
        <v>429</v>
      </c>
      <c r="BC812">
        <v>431</v>
      </c>
      <c r="BD812" t="s">
        <v>74</v>
      </c>
      <c r="BE812" t="s">
        <v>15150</v>
      </c>
      <c r="BF812" t="str">
        <f>HYPERLINK("http://dx.doi.org/10.1063/1.3700575","http://dx.doi.org/10.1063/1.3700575")</f>
        <v>http://dx.doi.org/10.1063/1.3700575</v>
      </c>
      <c r="BG812" t="s">
        <v>74</v>
      </c>
      <c r="BH812" t="s">
        <v>74</v>
      </c>
      <c r="BI812">
        <v>3</v>
      </c>
      <c r="BJ812" t="s">
        <v>15151</v>
      </c>
      <c r="BK812" t="s">
        <v>12109</v>
      </c>
      <c r="BL812" t="s">
        <v>3678</v>
      </c>
      <c r="BM812" t="s">
        <v>15152</v>
      </c>
      <c r="BN812" t="s">
        <v>74</v>
      </c>
      <c r="BO812" t="s">
        <v>74</v>
      </c>
      <c r="BP812" t="s">
        <v>74</v>
      </c>
      <c r="BQ812" t="s">
        <v>74</v>
      </c>
      <c r="BR812" t="s">
        <v>101</v>
      </c>
      <c r="BS812" t="s">
        <v>15153</v>
      </c>
      <c r="BT812" t="str">
        <f>HYPERLINK("https%3A%2F%2Fwww.webofscience.com%2Fwos%2Fwoscc%2Ffull-record%2FWOS:000306963900101","View Full Record in Web of Science")</f>
        <v>View Full Record in Web of Science</v>
      </c>
    </row>
    <row r="813" spans="1:72" x14ac:dyDescent="0.15">
      <c r="A813" t="s">
        <v>72</v>
      </c>
      <c r="B813" t="s">
        <v>15154</v>
      </c>
      <c r="C813" t="s">
        <v>74</v>
      </c>
      <c r="D813" t="s">
        <v>74</v>
      </c>
      <c r="E813" t="s">
        <v>74</v>
      </c>
      <c r="F813" t="s">
        <v>15155</v>
      </c>
      <c r="G813" t="s">
        <v>74</v>
      </c>
      <c r="H813" t="s">
        <v>74</v>
      </c>
      <c r="I813" t="s">
        <v>15156</v>
      </c>
      <c r="J813" t="s">
        <v>13777</v>
      </c>
      <c r="K813" t="s">
        <v>74</v>
      </c>
      <c r="L813" t="s">
        <v>74</v>
      </c>
      <c r="M813" t="s">
        <v>78</v>
      </c>
      <c r="N813" t="s">
        <v>79</v>
      </c>
      <c r="O813" t="s">
        <v>74</v>
      </c>
      <c r="P813" t="s">
        <v>74</v>
      </c>
      <c r="Q813" t="s">
        <v>74</v>
      </c>
      <c r="R813" t="s">
        <v>74</v>
      </c>
      <c r="S813" t="s">
        <v>74</v>
      </c>
      <c r="T813" t="s">
        <v>15157</v>
      </c>
      <c r="U813" t="s">
        <v>15158</v>
      </c>
      <c r="V813" t="s">
        <v>15159</v>
      </c>
      <c r="W813" t="s">
        <v>15160</v>
      </c>
      <c r="X813" t="s">
        <v>15161</v>
      </c>
      <c r="Y813" t="s">
        <v>15162</v>
      </c>
      <c r="Z813" t="s">
        <v>15163</v>
      </c>
      <c r="AA813" t="s">
        <v>15164</v>
      </c>
      <c r="AB813" t="s">
        <v>74</v>
      </c>
      <c r="AC813" t="s">
        <v>15165</v>
      </c>
      <c r="AD813" t="s">
        <v>15166</v>
      </c>
      <c r="AE813" t="s">
        <v>15167</v>
      </c>
      <c r="AF813" t="s">
        <v>74</v>
      </c>
      <c r="AG813">
        <v>24</v>
      </c>
      <c r="AH813">
        <v>19</v>
      </c>
      <c r="AI813">
        <v>19</v>
      </c>
      <c r="AJ813">
        <v>2</v>
      </c>
      <c r="AK813">
        <v>9</v>
      </c>
      <c r="AL813" t="s">
        <v>14176</v>
      </c>
      <c r="AM813" t="s">
        <v>13786</v>
      </c>
      <c r="AN813" t="s">
        <v>13787</v>
      </c>
      <c r="AO813" t="s">
        <v>13788</v>
      </c>
      <c r="AP813" t="s">
        <v>13789</v>
      </c>
      <c r="AQ813" t="s">
        <v>74</v>
      </c>
      <c r="AR813" t="s">
        <v>13777</v>
      </c>
      <c r="AS813" t="s">
        <v>13790</v>
      </c>
      <c r="AT813" t="s">
        <v>74</v>
      </c>
      <c r="AU813">
        <v>2012</v>
      </c>
      <c r="AV813" t="s">
        <v>74</v>
      </c>
      <c r="AW813">
        <v>204</v>
      </c>
      <c r="AX813" t="s">
        <v>74</v>
      </c>
      <c r="AY813" t="s">
        <v>74</v>
      </c>
      <c r="AZ813" t="s">
        <v>74</v>
      </c>
      <c r="BA813" t="s">
        <v>74</v>
      </c>
      <c r="BB813">
        <v>47</v>
      </c>
      <c r="BC813">
        <v>52</v>
      </c>
      <c r="BD813" t="s">
        <v>74</v>
      </c>
      <c r="BE813" t="s">
        <v>15168</v>
      </c>
      <c r="BF813" t="str">
        <f>HYPERLINK("http://dx.doi.org/10.3897/zookeys.204.3134","http://dx.doi.org/10.3897/zookeys.204.3134")</f>
        <v>http://dx.doi.org/10.3897/zookeys.204.3134</v>
      </c>
      <c r="BG813" t="s">
        <v>74</v>
      </c>
      <c r="BH813" t="s">
        <v>74</v>
      </c>
      <c r="BI813">
        <v>6</v>
      </c>
      <c r="BJ813" t="s">
        <v>98</v>
      </c>
      <c r="BK813" t="s">
        <v>99</v>
      </c>
      <c r="BL813" t="s">
        <v>98</v>
      </c>
      <c r="BM813" t="s">
        <v>15169</v>
      </c>
      <c r="BN813">
        <v>22787419</v>
      </c>
      <c r="BO813" t="s">
        <v>13052</v>
      </c>
      <c r="BP813" t="s">
        <v>74</v>
      </c>
      <c r="BQ813" t="s">
        <v>74</v>
      </c>
      <c r="BR813" t="s">
        <v>101</v>
      </c>
      <c r="BS813" t="s">
        <v>15170</v>
      </c>
      <c r="BT813" t="str">
        <f>HYPERLINK("https%3A%2F%2Fwww.webofscience.com%2Fwos%2Fwoscc%2Ffull-record%2FWOS:000308378400003","View Full Record in Web of Science")</f>
        <v>View Full Record in Web of Science</v>
      </c>
    </row>
    <row r="814" spans="1:72" x14ac:dyDescent="0.15">
      <c r="A814" t="s">
        <v>72</v>
      </c>
      <c r="B814" t="s">
        <v>15171</v>
      </c>
      <c r="C814" t="s">
        <v>74</v>
      </c>
      <c r="D814" t="s">
        <v>74</v>
      </c>
      <c r="E814" t="s">
        <v>74</v>
      </c>
      <c r="F814" t="s">
        <v>15172</v>
      </c>
      <c r="G814" t="s">
        <v>74</v>
      </c>
      <c r="H814" t="s">
        <v>74</v>
      </c>
      <c r="I814" t="s">
        <v>15173</v>
      </c>
      <c r="J814" t="s">
        <v>13300</v>
      </c>
      <c r="K814" t="s">
        <v>74</v>
      </c>
      <c r="L814" t="s">
        <v>74</v>
      </c>
      <c r="M814" t="s">
        <v>78</v>
      </c>
      <c r="N814" t="s">
        <v>79</v>
      </c>
      <c r="O814" t="s">
        <v>74</v>
      </c>
      <c r="P814" t="s">
        <v>74</v>
      </c>
      <c r="Q814" t="s">
        <v>74</v>
      </c>
      <c r="R814" t="s">
        <v>74</v>
      </c>
      <c r="S814" t="s">
        <v>74</v>
      </c>
      <c r="T814" t="s">
        <v>74</v>
      </c>
      <c r="U814" t="s">
        <v>15174</v>
      </c>
      <c r="V814" t="s">
        <v>15175</v>
      </c>
      <c r="W814" t="s">
        <v>15176</v>
      </c>
      <c r="X814" t="s">
        <v>15177</v>
      </c>
      <c r="Y814" t="s">
        <v>15178</v>
      </c>
      <c r="Z814" t="s">
        <v>15179</v>
      </c>
      <c r="AA814" t="s">
        <v>15180</v>
      </c>
      <c r="AB814" t="s">
        <v>15181</v>
      </c>
      <c r="AC814" t="s">
        <v>15182</v>
      </c>
      <c r="AD814" t="s">
        <v>15183</v>
      </c>
      <c r="AE814" t="s">
        <v>15184</v>
      </c>
      <c r="AF814" t="s">
        <v>74</v>
      </c>
      <c r="AG814">
        <v>98</v>
      </c>
      <c r="AH814">
        <v>12</v>
      </c>
      <c r="AI814">
        <v>13</v>
      </c>
      <c r="AJ814">
        <v>1</v>
      </c>
      <c r="AK814">
        <v>43</v>
      </c>
      <c r="AL814" t="s">
        <v>13270</v>
      </c>
      <c r="AM814" t="s">
        <v>13271</v>
      </c>
      <c r="AN814" t="s">
        <v>13272</v>
      </c>
      <c r="AO814" t="s">
        <v>13312</v>
      </c>
      <c r="AP814" t="s">
        <v>13335</v>
      </c>
      <c r="AQ814" t="s">
        <v>74</v>
      </c>
      <c r="AR814" t="s">
        <v>13313</v>
      </c>
      <c r="AS814" t="s">
        <v>13314</v>
      </c>
      <c r="AT814" t="s">
        <v>74</v>
      </c>
      <c r="AU814">
        <v>2012</v>
      </c>
      <c r="AV814">
        <v>8</v>
      </c>
      <c r="AW814">
        <v>4</v>
      </c>
      <c r="AX814" t="s">
        <v>74</v>
      </c>
      <c r="AY814" t="s">
        <v>74</v>
      </c>
      <c r="AZ814" t="s">
        <v>74</v>
      </c>
      <c r="BA814" t="s">
        <v>74</v>
      </c>
      <c r="BB814">
        <v>1177</v>
      </c>
      <c r="BC814">
        <v>1197</v>
      </c>
      <c r="BD814" t="s">
        <v>74</v>
      </c>
      <c r="BE814" t="s">
        <v>15185</v>
      </c>
      <c r="BF814" t="str">
        <f>HYPERLINK("http://dx.doi.org/10.5194/cp-8-1177-2012","http://dx.doi.org/10.5194/cp-8-1177-2012")</f>
        <v>http://dx.doi.org/10.5194/cp-8-1177-2012</v>
      </c>
      <c r="BG814" t="s">
        <v>74</v>
      </c>
      <c r="BH814" t="s">
        <v>74</v>
      </c>
      <c r="BI814">
        <v>21</v>
      </c>
      <c r="BJ814" t="s">
        <v>13316</v>
      </c>
      <c r="BK814" t="s">
        <v>99</v>
      </c>
      <c r="BL814" t="s">
        <v>13317</v>
      </c>
      <c r="BM814" t="s">
        <v>15186</v>
      </c>
      <c r="BN814" t="s">
        <v>74</v>
      </c>
      <c r="BO814" t="s">
        <v>7430</v>
      </c>
      <c r="BP814" t="s">
        <v>74</v>
      </c>
      <c r="BQ814" t="s">
        <v>74</v>
      </c>
      <c r="BR814" t="s">
        <v>101</v>
      </c>
      <c r="BS814" t="s">
        <v>15187</v>
      </c>
      <c r="BT814" t="str">
        <f>HYPERLINK("https%3A%2F%2Fwww.webofscience.com%2Fwos%2Fwoscc%2Ffull-record%2FWOS:000308244600005","View Full Record in Web of Science")</f>
        <v>View Full Record in Web of Science</v>
      </c>
    </row>
    <row r="815" spans="1:72" x14ac:dyDescent="0.15">
      <c r="A815" t="s">
        <v>72</v>
      </c>
      <c r="B815" t="s">
        <v>15188</v>
      </c>
      <c r="C815" t="s">
        <v>74</v>
      </c>
      <c r="D815" t="s">
        <v>74</v>
      </c>
      <c r="E815" t="s">
        <v>74</v>
      </c>
      <c r="F815" t="s">
        <v>15189</v>
      </c>
      <c r="G815" t="s">
        <v>74</v>
      </c>
      <c r="H815" t="s">
        <v>74</v>
      </c>
      <c r="I815" t="s">
        <v>15190</v>
      </c>
      <c r="J815" t="s">
        <v>13300</v>
      </c>
      <c r="K815" t="s">
        <v>74</v>
      </c>
      <c r="L815" t="s">
        <v>74</v>
      </c>
      <c r="M815" t="s">
        <v>78</v>
      </c>
      <c r="N815" t="s">
        <v>79</v>
      </c>
      <c r="O815" t="s">
        <v>74</v>
      </c>
      <c r="P815" t="s">
        <v>74</v>
      </c>
      <c r="Q815" t="s">
        <v>74</v>
      </c>
      <c r="R815" t="s">
        <v>74</v>
      </c>
      <c r="S815" t="s">
        <v>74</v>
      </c>
      <c r="T815" t="s">
        <v>74</v>
      </c>
      <c r="U815" t="s">
        <v>15191</v>
      </c>
      <c r="V815" t="s">
        <v>15192</v>
      </c>
      <c r="W815" t="s">
        <v>15193</v>
      </c>
      <c r="X815" t="s">
        <v>15194</v>
      </c>
      <c r="Y815" t="s">
        <v>15195</v>
      </c>
      <c r="Z815" t="s">
        <v>15196</v>
      </c>
      <c r="AA815" t="s">
        <v>15197</v>
      </c>
      <c r="AB815" t="s">
        <v>15198</v>
      </c>
      <c r="AC815" t="s">
        <v>15199</v>
      </c>
      <c r="AD815" t="s">
        <v>15199</v>
      </c>
      <c r="AE815" t="s">
        <v>15200</v>
      </c>
      <c r="AF815" t="s">
        <v>74</v>
      </c>
      <c r="AG815">
        <v>45</v>
      </c>
      <c r="AH815">
        <v>56</v>
      </c>
      <c r="AI815">
        <v>62</v>
      </c>
      <c r="AJ815">
        <v>0</v>
      </c>
      <c r="AK815">
        <v>53</v>
      </c>
      <c r="AL815" t="s">
        <v>13270</v>
      </c>
      <c r="AM815" t="s">
        <v>13271</v>
      </c>
      <c r="AN815" t="s">
        <v>13272</v>
      </c>
      <c r="AO815" t="s">
        <v>13312</v>
      </c>
      <c r="AP815" t="s">
        <v>74</v>
      </c>
      <c r="AQ815" t="s">
        <v>74</v>
      </c>
      <c r="AR815" t="s">
        <v>13313</v>
      </c>
      <c r="AS815" t="s">
        <v>13314</v>
      </c>
      <c r="AT815" t="s">
        <v>74</v>
      </c>
      <c r="AU815">
        <v>2012</v>
      </c>
      <c r="AV815">
        <v>8</v>
      </c>
      <c r="AW815">
        <v>4</v>
      </c>
      <c r="AX815" t="s">
        <v>74</v>
      </c>
      <c r="AY815" t="s">
        <v>74</v>
      </c>
      <c r="AZ815" t="s">
        <v>74</v>
      </c>
      <c r="BA815" t="s">
        <v>74</v>
      </c>
      <c r="BB815">
        <v>1213</v>
      </c>
      <c r="BC815">
        <v>1221</v>
      </c>
      <c r="BD815" t="s">
        <v>74</v>
      </c>
      <c r="BE815" t="s">
        <v>15201</v>
      </c>
      <c r="BF815" t="str">
        <f>HYPERLINK("http://dx.doi.org/10.5194/cp-8-1213-2012","http://dx.doi.org/10.5194/cp-8-1213-2012")</f>
        <v>http://dx.doi.org/10.5194/cp-8-1213-2012</v>
      </c>
      <c r="BG815" t="s">
        <v>74</v>
      </c>
      <c r="BH815" t="s">
        <v>74</v>
      </c>
      <c r="BI815">
        <v>9</v>
      </c>
      <c r="BJ815" t="s">
        <v>13316</v>
      </c>
      <c r="BK815" t="s">
        <v>99</v>
      </c>
      <c r="BL815" t="s">
        <v>13317</v>
      </c>
      <c r="BM815" t="s">
        <v>15186</v>
      </c>
      <c r="BN815" t="s">
        <v>74</v>
      </c>
      <c r="BO815" t="s">
        <v>3496</v>
      </c>
      <c r="BP815" t="s">
        <v>74</v>
      </c>
      <c r="BQ815" t="s">
        <v>74</v>
      </c>
      <c r="BR815" t="s">
        <v>101</v>
      </c>
      <c r="BS815" t="s">
        <v>15202</v>
      </c>
      <c r="BT815" t="str">
        <f>HYPERLINK("https%3A%2F%2Fwww.webofscience.com%2Fwos%2Fwoscc%2Ffull-record%2FWOS:000308244600007","View Full Record in Web of Science")</f>
        <v>View Full Record in Web of Science</v>
      </c>
    </row>
    <row r="816" spans="1:72" x14ac:dyDescent="0.15">
      <c r="A816" t="s">
        <v>72</v>
      </c>
      <c r="B816" t="s">
        <v>15203</v>
      </c>
      <c r="C816" t="s">
        <v>74</v>
      </c>
      <c r="D816" t="s">
        <v>74</v>
      </c>
      <c r="E816" t="s">
        <v>74</v>
      </c>
      <c r="F816" t="s">
        <v>15204</v>
      </c>
      <c r="G816" t="s">
        <v>74</v>
      </c>
      <c r="H816" t="s">
        <v>74</v>
      </c>
      <c r="I816" t="s">
        <v>15205</v>
      </c>
      <c r="J816" t="s">
        <v>13300</v>
      </c>
      <c r="K816" t="s">
        <v>74</v>
      </c>
      <c r="L816" t="s">
        <v>74</v>
      </c>
      <c r="M816" t="s">
        <v>78</v>
      </c>
      <c r="N816" t="s">
        <v>79</v>
      </c>
      <c r="O816" t="s">
        <v>74</v>
      </c>
      <c r="P816" t="s">
        <v>74</v>
      </c>
      <c r="Q816" t="s">
        <v>74</v>
      </c>
      <c r="R816" t="s">
        <v>74</v>
      </c>
      <c r="S816" t="s">
        <v>74</v>
      </c>
      <c r="T816" t="s">
        <v>74</v>
      </c>
      <c r="U816" t="s">
        <v>15206</v>
      </c>
      <c r="V816" t="s">
        <v>15207</v>
      </c>
      <c r="W816" t="s">
        <v>15208</v>
      </c>
      <c r="X816" t="s">
        <v>15209</v>
      </c>
      <c r="Y816" t="s">
        <v>15210</v>
      </c>
      <c r="Z816" t="s">
        <v>15211</v>
      </c>
      <c r="AA816" t="s">
        <v>15212</v>
      </c>
      <c r="AB816" t="s">
        <v>15213</v>
      </c>
      <c r="AC816" t="s">
        <v>15214</v>
      </c>
      <c r="AD816" t="s">
        <v>15215</v>
      </c>
      <c r="AE816" t="s">
        <v>15216</v>
      </c>
      <c r="AF816" t="s">
        <v>74</v>
      </c>
      <c r="AG816">
        <v>69</v>
      </c>
      <c r="AH816">
        <v>36</v>
      </c>
      <c r="AI816">
        <v>38</v>
      </c>
      <c r="AJ816">
        <v>0</v>
      </c>
      <c r="AK816">
        <v>32</v>
      </c>
      <c r="AL816" t="s">
        <v>13270</v>
      </c>
      <c r="AM816" t="s">
        <v>13271</v>
      </c>
      <c r="AN816" t="s">
        <v>13272</v>
      </c>
      <c r="AO816" t="s">
        <v>13312</v>
      </c>
      <c r="AP816" t="s">
        <v>13335</v>
      </c>
      <c r="AQ816" t="s">
        <v>74</v>
      </c>
      <c r="AR816" t="s">
        <v>13313</v>
      </c>
      <c r="AS816" t="s">
        <v>13314</v>
      </c>
      <c r="AT816" t="s">
        <v>74</v>
      </c>
      <c r="AU816">
        <v>2012</v>
      </c>
      <c r="AV816">
        <v>8</v>
      </c>
      <c r="AW816">
        <v>4</v>
      </c>
      <c r="AX816" t="s">
        <v>74</v>
      </c>
      <c r="AY816" t="s">
        <v>74</v>
      </c>
      <c r="AZ816" t="s">
        <v>74</v>
      </c>
      <c r="BA816" t="s">
        <v>74</v>
      </c>
      <c r="BB816">
        <v>1239</v>
      </c>
      <c r="BC816">
        <v>1255</v>
      </c>
      <c r="BD816" t="s">
        <v>74</v>
      </c>
      <c r="BE816" t="s">
        <v>15217</v>
      </c>
      <c r="BF816" t="str">
        <f>HYPERLINK("http://dx.doi.org/10.5194/cp-8-1239-2012","http://dx.doi.org/10.5194/cp-8-1239-2012")</f>
        <v>http://dx.doi.org/10.5194/cp-8-1239-2012</v>
      </c>
      <c r="BG816" t="s">
        <v>74</v>
      </c>
      <c r="BH816" t="s">
        <v>74</v>
      </c>
      <c r="BI816">
        <v>17</v>
      </c>
      <c r="BJ816" t="s">
        <v>13316</v>
      </c>
      <c r="BK816" t="s">
        <v>99</v>
      </c>
      <c r="BL816" t="s">
        <v>13317</v>
      </c>
      <c r="BM816" t="s">
        <v>15186</v>
      </c>
      <c r="BN816" t="s">
        <v>74</v>
      </c>
      <c r="BO816" t="s">
        <v>564</v>
      </c>
      <c r="BP816" t="s">
        <v>74</v>
      </c>
      <c r="BQ816" t="s">
        <v>74</v>
      </c>
      <c r="BR816" t="s">
        <v>101</v>
      </c>
      <c r="BS816" t="s">
        <v>15218</v>
      </c>
      <c r="BT816" t="str">
        <f>HYPERLINK("https%3A%2F%2Fwww.webofscience.com%2Fwos%2Fwoscc%2Ffull-record%2FWOS:000308244600009","View Full Record in Web of Science")</f>
        <v>View Full Record in Web of Science</v>
      </c>
    </row>
    <row r="817" spans="1:72" x14ac:dyDescent="0.15">
      <c r="A817" t="s">
        <v>72</v>
      </c>
      <c r="B817" t="s">
        <v>15219</v>
      </c>
      <c r="C817" t="s">
        <v>74</v>
      </c>
      <c r="D817" t="s">
        <v>74</v>
      </c>
      <c r="E817" t="s">
        <v>74</v>
      </c>
      <c r="F817" t="s">
        <v>15220</v>
      </c>
      <c r="G817" t="s">
        <v>74</v>
      </c>
      <c r="H817" t="s">
        <v>74</v>
      </c>
      <c r="I817" t="s">
        <v>15221</v>
      </c>
      <c r="J817" t="s">
        <v>13838</v>
      </c>
      <c r="K817" t="s">
        <v>74</v>
      </c>
      <c r="L817" t="s">
        <v>74</v>
      </c>
      <c r="M817" t="s">
        <v>78</v>
      </c>
      <c r="N817" t="s">
        <v>79</v>
      </c>
      <c r="O817" t="s">
        <v>74</v>
      </c>
      <c r="P817" t="s">
        <v>74</v>
      </c>
      <c r="Q817" t="s">
        <v>74</v>
      </c>
      <c r="R817" t="s">
        <v>74</v>
      </c>
      <c r="S817" t="s">
        <v>74</v>
      </c>
      <c r="T817" t="s">
        <v>74</v>
      </c>
      <c r="U817" t="s">
        <v>15222</v>
      </c>
      <c r="V817" t="s">
        <v>15223</v>
      </c>
      <c r="W817" t="s">
        <v>15224</v>
      </c>
      <c r="X817" t="s">
        <v>15225</v>
      </c>
      <c r="Y817" t="s">
        <v>15226</v>
      </c>
      <c r="Z817" t="s">
        <v>15227</v>
      </c>
      <c r="AA817" t="s">
        <v>15228</v>
      </c>
      <c r="AB817" t="s">
        <v>15229</v>
      </c>
      <c r="AC817" t="s">
        <v>15230</v>
      </c>
      <c r="AD817" t="s">
        <v>15231</v>
      </c>
      <c r="AE817" t="s">
        <v>15232</v>
      </c>
      <c r="AF817" t="s">
        <v>74</v>
      </c>
      <c r="AG817">
        <v>53</v>
      </c>
      <c r="AH817">
        <v>20</v>
      </c>
      <c r="AI817">
        <v>20</v>
      </c>
      <c r="AJ817">
        <v>0</v>
      </c>
      <c r="AK817">
        <v>15</v>
      </c>
      <c r="AL817" t="s">
        <v>1111</v>
      </c>
      <c r="AM817" t="s">
        <v>1112</v>
      </c>
      <c r="AN817" t="s">
        <v>1113</v>
      </c>
      <c r="AO817" t="s">
        <v>13846</v>
      </c>
      <c r="AP817" t="s">
        <v>13847</v>
      </c>
      <c r="AQ817" t="s">
        <v>74</v>
      </c>
      <c r="AR817" t="s">
        <v>13848</v>
      </c>
      <c r="AS817" t="s">
        <v>13849</v>
      </c>
      <c r="AT817" t="s">
        <v>74</v>
      </c>
      <c r="AU817">
        <v>2012</v>
      </c>
      <c r="AV817">
        <v>58</v>
      </c>
      <c r="AW817">
        <v>210</v>
      </c>
      <c r="AX817" t="s">
        <v>74</v>
      </c>
      <c r="AY817" t="s">
        <v>74</v>
      </c>
      <c r="AZ817" t="s">
        <v>74</v>
      </c>
      <c r="BA817" t="s">
        <v>74</v>
      </c>
      <c r="BB817">
        <v>665</v>
      </c>
      <c r="BC817">
        <v>676</v>
      </c>
      <c r="BD817" t="s">
        <v>74</v>
      </c>
      <c r="BE817" t="s">
        <v>15233</v>
      </c>
      <c r="BF817" t="str">
        <f>HYPERLINK("http://dx.doi.org/10.3189/2012JoG11J089","http://dx.doi.org/10.3189/2012JoG11J089")</f>
        <v>http://dx.doi.org/10.3189/2012JoG11J089</v>
      </c>
      <c r="BG817" t="s">
        <v>74</v>
      </c>
      <c r="BH817" t="s">
        <v>74</v>
      </c>
      <c r="BI817">
        <v>12</v>
      </c>
      <c r="BJ817" t="s">
        <v>943</v>
      </c>
      <c r="BK817" t="s">
        <v>99</v>
      </c>
      <c r="BL817" t="s">
        <v>944</v>
      </c>
      <c r="BM817" t="s">
        <v>15234</v>
      </c>
      <c r="BN817" t="s">
        <v>74</v>
      </c>
      <c r="BO817" t="s">
        <v>1169</v>
      </c>
      <c r="BP817" t="s">
        <v>74</v>
      </c>
      <c r="BQ817" t="s">
        <v>74</v>
      </c>
      <c r="BR817" t="s">
        <v>101</v>
      </c>
      <c r="BS817" t="s">
        <v>15235</v>
      </c>
      <c r="BT817" t="str">
        <f>HYPERLINK("https%3A%2F%2Fwww.webofscience.com%2Fwos%2Fwoscc%2Ffull-record%2FWOS:000307208200004","View Full Record in Web of Science")</f>
        <v>View Full Record in Web of Science</v>
      </c>
    </row>
    <row r="818" spans="1:72" x14ac:dyDescent="0.15">
      <c r="A818" t="s">
        <v>72</v>
      </c>
      <c r="B818" t="s">
        <v>15236</v>
      </c>
      <c r="C818" t="s">
        <v>74</v>
      </c>
      <c r="D818" t="s">
        <v>74</v>
      </c>
      <c r="E818" t="s">
        <v>74</v>
      </c>
      <c r="F818" t="s">
        <v>15237</v>
      </c>
      <c r="G818" t="s">
        <v>74</v>
      </c>
      <c r="H818" t="s">
        <v>74</v>
      </c>
      <c r="I818" t="s">
        <v>15238</v>
      </c>
      <c r="J818" t="s">
        <v>13838</v>
      </c>
      <c r="K818" t="s">
        <v>74</v>
      </c>
      <c r="L818" t="s">
        <v>74</v>
      </c>
      <c r="M818" t="s">
        <v>78</v>
      </c>
      <c r="N818" t="s">
        <v>79</v>
      </c>
      <c r="O818" t="s">
        <v>74</v>
      </c>
      <c r="P818" t="s">
        <v>74</v>
      </c>
      <c r="Q818" t="s">
        <v>74</v>
      </c>
      <c r="R818" t="s">
        <v>74</v>
      </c>
      <c r="S818" t="s">
        <v>74</v>
      </c>
      <c r="T818" t="s">
        <v>74</v>
      </c>
      <c r="U818" t="s">
        <v>15239</v>
      </c>
      <c r="V818" t="s">
        <v>15240</v>
      </c>
      <c r="W818" t="s">
        <v>15241</v>
      </c>
      <c r="X818" t="s">
        <v>15242</v>
      </c>
      <c r="Y818" t="s">
        <v>15243</v>
      </c>
      <c r="Z818" t="s">
        <v>15244</v>
      </c>
      <c r="AA818" t="s">
        <v>15245</v>
      </c>
      <c r="AB818" t="s">
        <v>15246</v>
      </c>
      <c r="AC818" t="s">
        <v>15247</v>
      </c>
      <c r="AD818" t="s">
        <v>15248</v>
      </c>
      <c r="AE818" t="s">
        <v>15249</v>
      </c>
      <c r="AF818" t="s">
        <v>74</v>
      </c>
      <c r="AG818">
        <v>51</v>
      </c>
      <c r="AH818">
        <v>59</v>
      </c>
      <c r="AI818">
        <v>69</v>
      </c>
      <c r="AJ818">
        <v>0</v>
      </c>
      <c r="AK818">
        <v>44</v>
      </c>
      <c r="AL818" t="s">
        <v>1111</v>
      </c>
      <c r="AM818" t="s">
        <v>1112</v>
      </c>
      <c r="AN818" t="s">
        <v>1113</v>
      </c>
      <c r="AO818" t="s">
        <v>13846</v>
      </c>
      <c r="AP818" t="s">
        <v>13847</v>
      </c>
      <c r="AQ818" t="s">
        <v>74</v>
      </c>
      <c r="AR818" t="s">
        <v>13848</v>
      </c>
      <c r="AS818" t="s">
        <v>13849</v>
      </c>
      <c r="AT818" t="s">
        <v>74</v>
      </c>
      <c r="AU818">
        <v>2012</v>
      </c>
      <c r="AV818">
        <v>58</v>
      </c>
      <c r="AW818">
        <v>210</v>
      </c>
      <c r="AX818" t="s">
        <v>74</v>
      </c>
      <c r="AY818" t="s">
        <v>74</v>
      </c>
      <c r="AZ818" t="s">
        <v>74</v>
      </c>
      <c r="BA818" t="s">
        <v>74</v>
      </c>
      <c r="BB818">
        <v>725</v>
      </c>
      <c r="BC818">
        <v>733</v>
      </c>
      <c r="BD818" t="s">
        <v>74</v>
      </c>
      <c r="BE818" t="s">
        <v>15250</v>
      </c>
      <c r="BF818" t="str">
        <f>HYPERLINK("http://dx.doi.org/10.3189/2012JoG11J237","http://dx.doi.org/10.3189/2012JoG11J237")</f>
        <v>http://dx.doi.org/10.3189/2012JoG11J237</v>
      </c>
      <c r="BG818" t="s">
        <v>74</v>
      </c>
      <c r="BH818" t="s">
        <v>74</v>
      </c>
      <c r="BI818">
        <v>9</v>
      </c>
      <c r="BJ818" t="s">
        <v>943</v>
      </c>
      <c r="BK818" t="s">
        <v>99</v>
      </c>
      <c r="BL818" t="s">
        <v>944</v>
      </c>
      <c r="BM818" t="s">
        <v>15234</v>
      </c>
      <c r="BN818" t="s">
        <v>74</v>
      </c>
      <c r="BO818" t="s">
        <v>777</v>
      </c>
      <c r="BP818" t="s">
        <v>74</v>
      </c>
      <c r="BQ818" t="s">
        <v>74</v>
      </c>
      <c r="BR818" t="s">
        <v>101</v>
      </c>
      <c r="BS818" t="s">
        <v>15251</v>
      </c>
      <c r="BT818" t="str">
        <f>HYPERLINK("https%3A%2F%2Fwww.webofscience.com%2Fwos%2Fwoscc%2Ffull-record%2FWOS:000307208200009","View Full Record in Web of Science")</f>
        <v>View Full Record in Web of Science</v>
      </c>
    </row>
    <row r="819" spans="1:72" x14ac:dyDescent="0.15">
      <c r="A819" t="s">
        <v>72</v>
      </c>
      <c r="B819" t="s">
        <v>15252</v>
      </c>
      <c r="C819" t="s">
        <v>74</v>
      </c>
      <c r="D819" t="s">
        <v>74</v>
      </c>
      <c r="E819" t="s">
        <v>74</v>
      </c>
      <c r="F819" t="s">
        <v>15253</v>
      </c>
      <c r="G819" t="s">
        <v>74</v>
      </c>
      <c r="H819" t="s">
        <v>74</v>
      </c>
      <c r="I819" t="s">
        <v>15254</v>
      </c>
      <c r="J819" t="s">
        <v>13838</v>
      </c>
      <c r="K819" t="s">
        <v>74</v>
      </c>
      <c r="L819" t="s">
        <v>74</v>
      </c>
      <c r="M819" t="s">
        <v>78</v>
      </c>
      <c r="N819" t="s">
        <v>79</v>
      </c>
      <c r="O819" t="s">
        <v>74</v>
      </c>
      <c r="P819" t="s">
        <v>74</v>
      </c>
      <c r="Q819" t="s">
        <v>74</v>
      </c>
      <c r="R819" t="s">
        <v>74</v>
      </c>
      <c r="S819" t="s">
        <v>74</v>
      </c>
      <c r="T819" t="s">
        <v>74</v>
      </c>
      <c r="U819" t="s">
        <v>15255</v>
      </c>
      <c r="V819" t="s">
        <v>15256</v>
      </c>
      <c r="W819" t="s">
        <v>15257</v>
      </c>
      <c r="X819" t="s">
        <v>15258</v>
      </c>
      <c r="Y819" t="s">
        <v>15259</v>
      </c>
      <c r="Z819" t="s">
        <v>15260</v>
      </c>
      <c r="AA819" t="s">
        <v>15261</v>
      </c>
      <c r="AB819" t="s">
        <v>15262</v>
      </c>
      <c r="AC819" t="s">
        <v>15263</v>
      </c>
      <c r="AD819" t="s">
        <v>9592</v>
      </c>
      <c r="AE819" t="s">
        <v>15264</v>
      </c>
      <c r="AF819" t="s">
        <v>74</v>
      </c>
      <c r="AG819">
        <v>89</v>
      </c>
      <c r="AH819">
        <v>69</v>
      </c>
      <c r="AI819">
        <v>79</v>
      </c>
      <c r="AJ819">
        <v>0</v>
      </c>
      <c r="AK819">
        <v>19</v>
      </c>
      <c r="AL819" t="s">
        <v>12729</v>
      </c>
      <c r="AM819" t="s">
        <v>1112</v>
      </c>
      <c r="AN819" t="s">
        <v>12730</v>
      </c>
      <c r="AO819" t="s">
        <v>13846</v>
      </c>
      <c r="AP819" t="s">
        <v>13847</v>
      </c>
      <c r="AQ819" t="s">
        <v>74</v>
      </c>
      <c r="AR819" t="s">
        <v>13848</v>
      </c>
      <c r="AS819" t="s">
        <v>13849</v>
      </c>
      <c r="AT819" t="s">
        <v>74</v>
      </c>
      <c r="AU819">
        <v>2012</v>
      </c>
      <c r="AV819">
        <v>58</v>
      </c>
      <c r="AW819">
        <v>210</v>
      </c>
      <c r="AX819" t="s">
        <v>74</v>
      </c>
      <c r="AY819" t="s">
        <v>74</v>
      </c>
      <c r="AZ819" t="s">
        <v>74</v>
      </c>
      <c r="BA819" t="s">
        <v>74</v>
      </c>
      <c r="BB819">
        <v>741</v>
      </c>
      <c r="BC819">
        <v>752</v>
      </c>
      <c r="BD819" t="s">
        <v>74</v>
      </c>
      <c r="BE819" t="s">
        <v>15265</v>
      </c>
      <c r="BF819" t="str">
        <f>HYPERLINK("http://dx.doi.org/10.3189/2012JoG11J219","http://dx.doi.org/10.3189/2012JoG11J219")</f>
        <v>http://dx.doi.org/10.3189/2012JoG11J219</v>
      </c>
      <c r="BG819" t="s">
        <v>74</v>
      </c>
      <c r="BH819" t="s">
        <v>74</v>
      </c>
      <c r="BI819">
        <v>12</v>
      </c>
      <c r="BJ819" t="s">
        <v>943</v>
      </c>
      <c r="BK819" t="s">
        <v>99</v>
      </c>
      <c r="BL819" t="s">
        <v>944</v>
      </c>
      <c r="BM819" t="s">
        <v>15234</v>
      </c>
      <c r="BN819" t="s">
        <v>74</v>
      </c>
      <c r="BO819" t="s">
        <v>217</v>
      </c>
      <c r="BP819" t="s">
        <v>74</v>
      </c>
      <c r="BQ819" t="s">
        <v>74</v>
      </c>
      <c r="BR819" t="s">
        <v>101</v>
      </c>
      <c r="BS819" t="s">
        <v>15266</v>
      </c>
      <c r="BT819" t="str">
        <f>HYPERLINK("https%3A%2F%2Fwww.webofscience.com%2Fwos%2Fwoscc%2Ffull-record%2FWOS:000307208200011","View Full Record in Web of Science")</f>
        <v>View Full Record in Web of Science</v>
      </c>
    </row>
    <row r="820" spans="1:72" x14ac:dyDescent="0.15">
      <c r="A820" t="s">
        <v>72</v>
      </c>
      <c r="B820" t="s">
        <v>15267</v>
      </c>
      <c r="C820" t="s">
        <v>74</v>
      </c>
      <c r="D820" t="s">
        <v>74</v>
      </c>
      <c r="E820" t="s">
        <v>74</v>
      </c>
      <c r="F820" t="s">
        <v>15268</v>
      </c>
      <c r="G820" t="s">
        <v>74</v>
      </c>
      <c r="H820" t="s">
        <v>74</v>
      </c>
      <c r="I820" t="s">
        <v>15269</v>
      </c>
      <c r="J820" t="s">
        <v>13838</v>
      </c>
      <c r="K820" t="s">
        <v>74</v>
      </c>
      <c r="L820" t="s">
        <v>74</v>
      </c>
      <c r="M820" t="s">
        <v>78</v>
      </c>
      <c r="N820" t="s">
        <v>79</v>
      </c>
      <c r="O820" t="s">
        <v>74</v>
      </c>
      <c r="P820" t="s">
        <v>74</v>
      </c>
      <c r="Q820" t="s">
        <v>74</v>
      </c>
      <c r="R820" t="s">
        <v>74</v>
      </c>
      <c r="S820" t="s">
        <v>74</v>
      </c>
      <c r="T820" t="s">
        <v>74</v>
      </c>
      <c r="U820" t="s">
        <v>15270</v>
      </c>
      <c r="V820" t="s">
        <v>15271</v>
      </c>
      <c r="W820" t="s">
        <v>15272</v>
      </c>
      <c r="X820" t="s">
        <v>205</v>
      </c>
      <c r="Y820" t="s">
        <v>15273</v>
      </c>
      <c r="Z820" t="s">
        <v>15274</v>
      </c>
      <c r="AA820" t="s">
        <v>74</v>
      </c>
      <c r="AB820" t="s">
        <v>15275</v>
      </c>
      <c r="AC820" t="s">
        <v>15276</v>
      </c>
      <c r="AD820" t="s">
        <v>4205</v>
      </c>
      <c r="AE820" t="s">
        <v>15277</v>
      </c>
      <c r="AF820" t="s">
        <v>74</v>
      </c>
      <c r="AG820">
        <v>34</v>
      </c>
      <c r="AH820">
        <v>12</v>
      </c>
      <c r="AI820">
        <v>12</v>
      </c>
      <c r="AJ820">
        <v>0</v>
      </c>
      <c r="AK820">
        <v>15</v>
      </c>
      <c r="AL820" t="s">
        <v>1111</v>
      </c>
      <c r="AM820" t="s">
        <v>1112</v>
      </c>
      <c r="AN820" t="s">
        <v>1113</v>
      </c>
      <c r="AO820" t="s">
        <v>13846</v>
      </c>
      <c r="AP820" t="s">
        <v>13847</v>
      </c>
      <c r="AQ820" t="s">
        <v>74</v>
      </c>
      <c r="AR820" t="s">
        <v>13848</v>
      </c>
      <c r="AS820" t="s">
        <v>13849</v>
      </c>
      <c r="AT820" t="s">
        <v>74</v>
      </c>
      <c r="AU820">
        <v>2012</v>
      </c>
      <c r="AV820">
        <v>58</v>
      </c>
      <c r="AW820">
        <v>210</v>
      </c>
      <c r="AX820" t="s">
        <v>74</v>
      </c>
      <c r="AY820" t="s">
        <v>74</v>
      </c>
      <c r="AZ820" t="s">
        <v>74</v>
      </c>
      <c r="BA820" t="s">
        <v>74</v>
      </c>
      <c r="BB820">
        <v>761</v>
      </c>
      <c r="BC820">
        <v>766</v>
      </c>
      <c r="BD820" t="s">
        <v>74</v>
      </c>
      <c r="BE820" t="s">
        <v>15278</v>
      </c>
      <c r="BF820" t="str">
        <f>HYPERLINK("http://dx.doi.org/10.3189/2012JoG11J222","http://dx.doi.org/10.3189/2012JoG11J222")</f>
        <v>http://dx.doi.org/10.3189/2012JoG11J222</v>
      </c>
      <c r="BG820" t="s">
        <v>74</v>
      </c>
      <c r="BH820" t="s">
        <v>74</v>
      </c>
      <c r="BI820">
        <v>6</v>
      </c>
      <c r="BJ820" t="s">
        <v>943</v>
      </c>
      <c r="BK820" t="s">
        <v>99</v>
      </c>
      <c r="BL820" t="s">
        <v>944</v>
      </c>
      <c r="BM820" t="s">
        <v>15234</v>
      </c>
      <c r="BN820" t="s">
        <v>74</v>
      </c>
      <c r="BO820" t="s">
        <v>217</v>
      </c>
      <c r="BP820" t="s">
        <v>74</v>
      </c>
      <c r="BQ820" t="s">
        <v>74</v>
      </c>
      <c r="BR820" t="s">
        <v>101</v>
      </c>
      <c r="BS820" t="s">
        <v>15279</v>
      </c>
      <c r="BT820" t="str">
        <f>HYPERLINK("https%3A%2F%2Fwww.webofscience.com%2Fwos%2Fwoscc%2Ffull-record%2FWOS:000307208200013","View Full Record in Web of Science")</f>
        <v>View Full Record in Web of Science</v>
      </c>
    </row>
    <row r="821" spans="1:72" x14ac:dyDescent="0.15">
      <c r="A821" t="s">
        <v>72</v>
      </c>
      <c r="B821" t="s">
        <v>15280</v>
      </c>
      <c r="C821" t="s">
        <v>74</v>
      </c>
      <c r="D821" t="s">
        <v>74</v>
      </c>
      <c r="E821" t="s">
        <v>74</v>
      </c>
      <c r="F821" t="s">
        <v>15281</v>
      </c>
      <c r="G821" t="s">
        <v>74</v>
      </c>
      <c r="H821" t="s">
        <v>74</v>
      </c>
      <c r="I821" t="s">
        <v>15282</v>
      </c>
      <c r="J821" t="s">
        <v>13838</v>
      </c>
      <c r="K821" t="s">
        <v>74</v>
      </c>
      <c r="L821" t="s">
        <v>74</v>
      </c>
      <c r="M821" t="s">
        <v>78</v>
      </c>
      <c r="N821" t="s">
        <v>5106</v>
      </c>
      <c r="O821" t="s">
        <v>74</v>
      </c>
      <c r="P821" t="s">
        <v>74</v>
      </c>
      <c r="Q821" t="s">
        <v>74</v>
      </c>
      <c r="R821" t="s">
        <v>74</v>
      </c>
      <c r="S821" t="s">
        <v>74</v>
      </c>
      <c r="T821" t="s">
        <v>74</v>
      </c>
      <c r="U821" t="s">
        <v>74</v>
      </c>
      <c r="V821" t="s">
        <v>74</v>
      </c>
      <c r="W821" t="s">
        <v>15283</v>
      </c>
      <c r="X821" t="s">
        <v>74</v>
      </c>
      <c r="Y821" t="s">
        <v>15284</v>
      </c>
      <c r="Z821" t="s">
        <v>15285</v>
      </c>
      <c r="AA821" t="s">
        <v>74</v>
      </c>
      <c r="AB821" t="s">
        <v>74</v>
      </c>
      <c r="AC821" t="s">
        <v>74</v>
      </c>
      <c r="AD821" t="s">
        <v>74</v>
      </c>
      <c r="AE821" t="s">
        <v>74</v>
      </c>
      <c r="AF821" t="s">
        <v>74</v>
      </c>
      <c r="AG821">
        <v>15</v>
      </c>
      <c r="AH821">
        <v>2</v>
      </c>
      <c r="AI821">
        <v>2</v>
      </c>
      <c r="AJ821">
        <v>0</v>
      </c>
      <c r="AK821">
        <v>1</v>
      </c>
      <c r="AL821" t="s">
        <v>1111</v>
      </c>
      <c r="AM821" t="s">
        <v>1112</v>
      </c>
      <c r="AN821" t="s">
        <v>1113</v>
      </c>
      <c r="AO821" t="s">
        <v>13846</v>
      </c>
      <c r="AP821" t="s">
        <v>13847</v>
      </c>
      <c r="AQ821" t="s">
        <v>74</v>
      </c>
      <c r="AR821" t="s">
        <v>13848</v>
      </c>
      <c r="AS821" t="s">
        <v>13849</v>
      </c>
      <c r="AT821" t="s">
        <v>74</v>
      </c>
      <c r="AU821">
        <v>2012</v>
      </c>
      <c r="AV821">
        <v>58</v>
      </c>
      <c r="AW821">
        <v>210</v>
      </c>
      <c r="AX821" t="s">
        <v>74</v>
      </c>
      <c r="AY821" t="s">
        <v>74</v>
      </c>
      <c r="AZ821" t="s">
        <v>74</v>
      </c>
      <c r="BA821" t="s">
        <v>74</v>
      </c>
      <c r="BB821">
        <v>811</v>
      </c>
      <c r="BC821">
        <v>814</v>
      </c>
      <c r="BD821" t="s">
        <v>74</v>
      </c>
      <c r="BE821" t="s">
        <v>15286</v>
      </c>
      <c r="BF821" t="str">
        <f>HYPERLINK("http://dx.doi.org/10.3189/2012JoG12J068","http://dx.doi.org/10.3189/2012JoG12J068")</f>
        <v>http://dx.doi.org/10.3189/2012JoG12J068</v>
      </c>
      <c r="BG821" t="s">
        <v>74</v>
      </c>
      <c r="BH821" t="s">
        <v>74</v>
      </c>
      <c r="BI821">
        <v>4</v>
      </c>
      <c r="BJ821" t="s">
        <v>943</v>
      </c>
      <c r="BK821" t="s">
        <v>99</v>
      </c>
      <c r="BL821" t="s">
        <v>944</v>
      </c>
      <c r="BM821" t="s">
        <v>15234</v>
      </c>
      <c r="BN821" t="s">
        <v>74</v>
      </c>
      <c r="BO821" t="s">
        <v>217</v>
      </c>
      <c r="BP821" t="s">
        <v>74</v>
      </c>
      <c r="BQ821" t="s">
        <v>74</v>
      </c>
      <c r="BR821" t="s">
        <v>101</v>
      </c>
      <c r="BS821" t="s">
        <v>15287</v>
      </c>
      <c r="BT821" t="str">
        <f>HYPERLINK("https%3A%2F%2Fwww.webofscience.com%2Fwos%2Fwoscc%2Ffull-record%2FWOS:000307208200018","View Full Record in Web of Science")</f>
        <v>View Full Record in Web of Science</v>
      </c>
    </row>
    <row r="822" spans="1:72" x14ac:dyDescent="0.15">
      <c r="A822" t="s">
        <v>12134</v>
      </c>
      <c r="B822" t="s">
        <v>15288</v>
      </c>
      <c r="C822" t="s">
        <v>74</v>
      </c>
      <c r="D822" t="s">
        <v>15289</v>
      </c>
      <c r="E822" t="s">
        <v>74</v>
      </c>
      <c r="F822" t="s">
        <v>15290</v>
      </c>
      <c r="G822" t="s">
        <v>74</v>
      </c>
      <c r="H822" t="s">
        <v>74</v>
      </c>
      <c r="I822" t="s">
        <v>15291</v>
      </c>
      <c r="J822" t="s">
        <v>15292</v>
      </c>
      <c r="K822" t="s">
        <v>15293</v>
      </c>
      <c r="L822" t="s">
        <v>74</v>
      </c>
      <c r="M822" t="s">
        <v>78</v>
      </c>
      <c r="N822" t="s">
        <v>12141</v>
      </c>
      <c r="O822" t="s">
        <v>74</v>
      </c>
      <c r="P822" t="s">
        <v>74</v>
      </c>
      <c r="Q822" t="s">
        <v>74</v>
      </c>
      <c r="R822" t="s">
        <v>74</v>
      </c>
      <c r="S822" t="s">
        <v>74</v>
      </c>
      <c r="T822" t="s">
        <v>74</v>
      </c>
      <c r="U822" t="s">
        <v>15294</v>
      </c>
      <c r="V822" t="s">
        <v>15295</v>
      </c>
      <c r="W822" t="s">
        <v>15296</v>
      </c>
      <c r="X822" t="s">
        <v>15297</v>
      </c>
      <c r="Y822" t="s">
        <v>15298</v>
      </c>
      <c r="Z822" t="s">
        <v>15299</v>
      </c>
      <c r="AA822" t="s">
        <v>15300</v>
      </c>
      <c r="AB822" t="s">
        <v>15301</v>
      </c>
      <c r="AC822" t="s">
        <v>74</v>
      </c>
      <c r="AD822" t="s">
        <v>74</v>
      </c>
      <c r="AE822" t="s">
        <v>74</v>
      </c>
      <c r="AF822" t="s">
        <v>74</v>
      </c>
      <c r="AG822">
        <v>48</v>
      </c>
      <c r="AH822">
        <v>23</v>
      </c>
      <c r="AI822">
        <v>25</v>
      </c>
      <c r="AJ822">
        <v>0</v>
      </c>
      <c r="AK822">
        <v>1</v>
      </c>
      <c r="AL822" t="s">
        <v>15302</v>
      </c>
      <c r="AM822" t="s">
        <v>9773</v>
      </c>
      <c r="AN822" t="s">
        <v>15303</v>
      </c>
      <c r="AO822" t="s">
        <v>15304</v>
      </c>
      <c r="AP822" t="s">
        <v>74</v>
      </c>
      <c r="AQ822" t="s">
        <v>15305</v>
      </c>
      <c r="AR822" t="s">
        <v>15306</v>
      </c>
      <c r="AS822" t="s">
        <v>15307</v>
      </c>
      <c r="AT822" t="s">
        <v>74</v>
      </c>
      <c r="AU822">
        <v>2012</v>
      </c>
      <c r="AV822">
        <v>365</v>
      </c>
      <c r="AW822" t="s">
        <v>74</v>
      </c>
      <c r="AX822" t="s">
        <v>74</v>
      </c>
      <c r="AY822" t="s">
        <v>74</v>
      </c>
      <c r="AZ822" t="s">
        <v>74</v>
      </c>
      <c r="BA822" t="s">
        <v>74</v>
      </c>
      <c r="BB822">
        <v>185</v>
      </c>
      <c r="BC822">
        <v>195</v>
      </c>
      <c r="BD822" t="s">
        <v>74</v>
      </c>
      <c r="BE822" t="s">
        <v>15308</v>
      </c>
      <c r="BF822" t="str">
        <f>HYPERLINK("http://dx.doi.org/10.1144/SP365.10","http://dx.doi.org/10.1144/SP365.10")</f>
        <v>http://dx.doi.org/10.1144/SP365.10</v>
      </c>
      <c r="BG822" t="s">
        <v>15309</v>
      </c>
      <c r="BH822" t="s">
        <v>74</v>
      </c>
      <c r="BI822">
        <v>11</v>
      </c>
      <c r="BJ822" t="s">
        <v>195</v>
      </c>
      <c r="BK822" t="s">
        <v>12155</v>
      </c>
      <c r="BL822" t="s">
        <v>195</v>
      </c>
      <c r="BM822" t="s">
        <v>15310</v>
      </c>
      <c r="BN822" t="s">
        <v>74</v>
      </c>
      <c r="BO822" t="s">
        <v>74</v>
      </c>
      <c r="BP822" t="s">
        <v>74</v>
      </c>
      <c r="BQ822" t="s">
        <v>74</v>
      </c>
      <c r="BR822" t="s">
        <v>101</v>
      </c>
      <c r="BS822" t="s">
        <v>15311</v>
      </c>
      <c r="BT822" t="str">
        <f>HYPERLINK("https%3A%2F%2Fwww.webofscience.com%2Fwos%2Fwoscc%2Ffull-record%2FWOS:000308558700010","View Full Record in Web of Science")</f>
        <v>View Full Record in Web of Science</v>
      </c>
    </row>
    <row r="823" spans="1:72" x14ac:dyDescent="0.15">
      <c r="A823" t="s">
        <v>72</v>
      </c>
      <c r="B823" t="s">
        <v>15312</v>
      </c>
      <c r="C823" t="s">
        <v>74</v>
      </c>
      <c r="D823" t="s">
        <v>74</v>
      </c>
      <c r="E823" t="s">
        <v>74</v>
      </c>
      <c r="F823" t="s">
        <v>15313</v>
      </c>
      <c r="G823" t="s">
        <v>74</v>
      </c>
      <c r="H823" t="s">
        <v>74</v>
      </c>
      <c r="I823" t="s">
        <v>15314</v>
      </c>
      <c r="J823" t="s">
        <v>13816</v>
      </c>
      <c r="K823" t="s">
        <v>74</v>
      </c>
      <c r="L823" t="s">
        <v>74</v>
      </c>
      <c r="M823" t="s">
        <v>78</v>
      </c>
      <c r="N823" t="s">
        <v>79</v>
      </c>
      <c r="O823" t="s">
        <v>74</v>
      </c>
      <c r="P823" t="s">
        <v>74</v>
      </c>
      <c r="Q823" t="s">
        <v>74</v>
      </c>
      <c r="R823" t="s">
        <v>74</v>
      </c>
      <c r="S823" t="s">
        <v>74</v>
      </c>
      <c r="T823" t="s">
        <v>74</v>
      </c>
      <c r="U823" t="s">
        <v>15315</v>
      </c>
      <c r="V823" t="s">
        <v>15316</v>
      </c>
      <c r="W823" t="s">
        <v>15317</v>
      </c>
      <c r="X823" t="s">
        <v>15318</v>
      </c>
      <c r="Y823" t="s">
        <v>15319</v>
      </c>
      <c r="Z823" t="s">
        <v>15320</v>
      </c>
      <c r="AA823" t="s">
        <v>15321</v>
      </c>
      <c r="AB823" t="s">
        <v>15322</v>
      </c>
      <c r="AC823" t="s">
        <v>15323</v>
      </c>
      <c r="AD823" t="s">
        <v>15324</v>
      </c>
      <c r="AE823" t="s">
        <v>15325</v>
      </c>
      <c r="AF823" t="s">
        <v>74</v>
      </c>
      <c r="AG823">
        <v>46</v>
      </c>
      <c r="AH823">
        <v>42</v>
      </c>
      <c r="AI823">
        <v>46</v>
      </c>
      <c r="AJ823">
        <v>0</v>
      </c>
      <c r="AK823">
        <v>5</v>
      </c>
      <c r="AL823" t="s">
        <v>13270</v>
      </c>
      <c r="AM823" t="s">
        <v>13271</v>
      </c>
      <c r="AN823" t="s">
        <v>13272</v>
      </c>
      <c r="AO823" t="s">
        <v>13828</v>
      </c>
      <c r="AP823" t="s">
        <v>74</v>
      </c>
      <c r="AQ823" t="s">
        <v>74</v>
      </c>
      <c r="AR823" t="s">
        <v>13830</v>
      </c>
      <c r="AS823" t="s">
        <v>13831</v>
      </c>
      <c r="AT823" t="s">
        <v>74</v>
      </c>
      <c r="AU823">
        <v>2012</v>
      </c>
      <c r="AV823">
        <v>12</v>
      </c>
      <c r="AW823">
        <v>15</v>
      </c>
      <c r="AX823" t="s">
        <v>74</v>
      </c>
      <c r="AY823" t="s">
        <v>74</v>
      </c>
      <c r="AZ823" t="s">
        <v>74</v>
      </c>
      <c r="BA823" t="s">
        <v>74</v>
      </c>
      <c r="BB823">
        <v>7073</v>
      </c>
      <c r="BC823">
        <v>7085</v>
      </c>
      <c r="BD823" t="s">
        <v>74</v>
      </c>
      <c r="BE823" t="s">
        <v>15326</v>
      </c>
      <c r="BF823" t="str">
        <f>HYPERLINK("http://dx.doi.org/10.5194/acp-12-7073-2012","http://dx.doi.org/10.5194/acp-12-7073-2012")</f>
        <v>http://dx.doi.org/10.5194/acp-12-7073-2012</v>
      </c>
      <c r="BG823" t="s">
        <v>74</v>
      </c>
      <c r="BH823" t="s">
        <v>74</v>
      </c>
      <c r="BI823">
        <v>13</v>
      </c>
      <c r="BJ823" t="s">
        <v>1758</v>
      </c>
      <c r="BK823" t="s">
        <v>99</v>
      </c>
      <c r="BL823" t="s">
        <v>1759</v>
      </c>
      <c r="BM823" t="s">
        <v>15327</v>
      </c>
      <c r="BN823" t="s">
        <v>74</v>
      </c>
      <c r="BO823" t="s">
        <v>15328</v>
      </c>
      <c r="BP823" t="s">
        <v>74</v>
      </c>
      <c r="BQ823" t="s">
        <v>74</v>
      </c>
      <c r="BR823" t="s">
        <v>101</v>
      </c>
      <c r="BS823" t="s">
        <v>15329</v>
      </c>
      <c r="BT823" t="str">
        <f>HYPERLINK("https%3A%2F%2Fwww.webofscience.com%2Fwos%2Fwoscc%2Ffull-record%2FWOS:000308287000021","View Full Record in Web of Science")</f>
        <v>View Full Record in Web of Science</v>
      </c>
    </row>
    <row r="824" spans="1:72" x14ac:dyDescent="0.15">
      <c r="A824" t="s">
        <v>72</v>
      </c>
      <c r="B824" t="s">
        <v>15330</v>
      </c>
      <c r="C824" t="s">
        <v>74</v>
      </c>
      <c r="D824" t="s">
        <v>74</v>
      </c>
      <c r="E824" t="s">
        <v>74</v>
      </c>
      <c r="F824" t="s">
        <v>15331</v>
      </c>
      <c r="G824" t="s">
        <v>74</v>
      </c>
      <c r="H824" t="s">
        <v>74</v>
      </c>
      <c r="I824" t="s">
        <v>15332</v>
      </c>
      <c r="J824" t="s">
        <v>14105</v>
      </c>
      <c r="K824" t="s">
        <v>74</v>
      </c>
      <c r="L824" t="s">
        <v>74</v>
      </c>
      <c r="M824" t="s">
        <v>78</v>
      </c>
      <c r="N824" t="s">
        <v>79</v>
      </c>
      <c r="O824" t="s">
        <v>74</v>
      </c>
      <c r="P824" t="s">
        <v>74</v>
      </c>
      <c r="Q824" t="s">
        <v>74</v>
      </c>
      <c r="R824" t="s">
        <v>74</v>
      </c>
      <c r="S824" t="s">
        <v>74</v>
      </c>
      <c r="T824" t="s">
        <v>15333</v>
      </c>
      <c r="U824" t="s">
        <v>15334</v>
      </c>
      <c r="V824" t="s">
        <v>15335</v>
      </c>
      <c r="W824" t="s">
        <v>15336</v>
      </c>
      <c r="X824" t="s">
        <v>15337</v>
      </c>
      <c r="Y824" t="s">
        <v>15338</v>
      </c>
      <c r="Z824" t="s">
        <v>15339</v>
      </c>
      <c r="AA824" t="s">
        <v>74</v>
      </c>
      <c r="AB824" t="s">
        <v>74</v>
      </c>
      <c r="AC824" t="s">
        <v>74</v>
      </c>
      <c r="AD824" t="s">
        <v>74</v>
      </c>
      <c r="AE824" t="s">
        <v>74</v>
      </c>
      <c r="AF824" t="s">
        <v>74</v>
      </c>
      <c r="AG824">
        <v>116</v>
      </c>
      <c r="AH824">
        <v>3</v>
      </c>
      <c r="AI824">
        <v>3</v>
      </c>
      <c r="AJ824">
        <v>0</v>
      </c>
      <c r="AK824">
        <v>5</v>
      </c>
      <c r="AL824" t="s">
        <v>15340</v>
      </c>
      <c r="AM824" t="s">
        <v>147</v>
      </c>
      <c r="AN824" t="s">
        <v>2006</v>
      </c>
      <c r="AO824" t="s">
        <v>15341</v>
      </c>
      <c r="AP824" t="s">
        <v>74</v>
      </c>
      <c r="AQ824" t="s">
        <v>74</v>
      </c>
      <c r="AR824" t="s">
        <v>14117</v>
      </c>
      <c r="AS824" t="s">
        <v>14118</v>
      </c>
      <c r="AT824" t="s">
        <v>74</v>
      </c>
      <c r="AU824">
        <v>2012</v>
      </c>
      <c r="AV824">
        <v>64</v>
      </c>
      <c r="AW824">
        <v>7</v>
      </c>
      <c r="AX824" t="s">
        <v>74</v>
      </c>
      <c r="AY824" t="s">
        <v>74</v>
      </c>
      <c r="AZ824" t="s">
        <v>74</v>
      </c>
      <c r="BA824" t="s">
        <v>74</v>
      </c>
      <c r="BB824">
        <v>613</v>
      </c>
      <c r="BC824">
        <v>639</v>
      </c>
      <c r="BD824" t="s">
        <v>74</v>
      </c>
      <c r="BE824" t="s">
        <v>15342</v>
      </c>
      <c r="BF824" t="str">
        <f>HYPERLINK("http://dx.doi.org/10.5047/eps.2012.02.004","http://dx.doi.org/10.5047/eps.2012.02.004")</f>
        <v>http://dx.doi.org/10.5047/eps.2012.02.004</v>
      </c>
      <c r="BG824" t="s">
        <v>74</v>
      </c>
      <c r="BH824" t="s">
        <v>74</v>
      </c>
      <c r="BI824">
        <v>27</v>
      </c>
      <c r="BJ824" t="s">
        <v>194</v>
      </c>
      <c r="BK824" t="s">
        <v>99</v>
      </c>
      <c r="BL824" t="s">
        <v>195</v>
      </c>
      <c r="BM824" t="s">
        <v>15343</v>
      </c>
      <c r="BN824" t="s">
        <v>74</v>
      </c>
      <c r="BO824" t="s">
        <v>1094</v>
      </c>
      <c r="BP824" t="s">
        <v>74</v>
      </c>
      <c r="BQ824" t="s">
        <v>74</v>
      </c>
      <c r="BR824" t="s">
        <v>101</v>
      </c>
      <c r="BS824" t="s">
        <v>15344</v>
      </c>
      <c r="BT824" t="str">
        <f>HYPERLINK("https%3A%2F%2Fwww.webofscience.com%2Fwos%2Fwoscc%2Ffull-record%2FWOS:000308133500006","View Full Record in Web of Science")</f>
        <v>View Full Record in Web of Science</v>
      </c>
    </row>
    <row r="825" spans="1:72" x14ac:dyDescent="0.15">
      <c r="A825" t="s">
        <v>72</v>
      </c>
      <c r="B825" t="s">
        <v>15345</v>
      </c>
      <c r="C825" t="s">
        <v>74</v>
      </c>
      <c r="D825" t="s">
        <v>74</v>
      </c>
      <c r="E825" t="s">
        <v>74</v>
      </c>
      <c r="F825" t="s">
        <v>15346</v>
      </c>
      <c r="G825" t="s">
        <v>74</v>
      </c>
      <c r="H825" t="s">
        <v>74</v>
      </c>
      <c r="I825" t="s">
        <v>15347</v>
      </c>
      <c r="J825" t="s">
        <v>15348</v>
      </c>
      <c r="K825" t="s">
        <v>74</v>
      </c>
      <c r="L825" t="s">
        <v>74</v>
      </c>
      <c r="M825" t="s">
        <v>78</v>
      </c>
      <c r="N825" t="s">
        <v>79</v>
      </c>
      <c r="O825" t="s">
        <v>74</v>
      </c>
      <c r="P825" t="s">
        <v>74</v>
      </c>
      <c r="Q825" t="s">
        <v>74</v>
      </c>
      <c r="R825" t="s">
        <v>74</v>
      </c>
      <c r="S825" t="s">
        <v>74</v>
      </c>
      <c r="T825" t="s">
        <v>15349</v>
      </c>
      <c r="U825" t="s">
        <v>15350</v>
      </c>
      <c r="V825" t="s">
        <v>15351</v>
      </c>
      <c r="W825" t="s">
        <v>15352</v>
      </c>
      <c r="X825" t="s">
        <v>15353</v>
      </c>
      <c r="Y825" t="s">
        <v>15354</v>
      </c>
      <c r="Z825" t="s">
        <v>15355</v>
      </c>
      <c r="AA825" t="s">
        <v>74</v>
      </c>
      <c r="AB825" t="s">
        <v>74</v>
      </c>
      <c r="AC825" t="s">
        <v>15356</v>
      </c>
      <c r="AD825" t="s">
        <v>15356</v>
      </c>
      <c r="AE825" t="s">
        <v>15357</v>
      </c>
      <c r="AF825" t="s">
        <v>74</v>
      </c>
      <c r="AG825">
        <v>30</v>
      </c>
      <c r="AH825">
        <v>5</v>
      </c>
      <c r="AI825">
        <v>5</v>
      </c>
      <c r="AJ825">
        <v>0</v>
      </c>
      <c r="AK825">
        <v>6</v>
      </c>
      <c r="AL825" t="s">
        <v>15042</v>
      </c>
      <c r="AM825" t="s">
        <v>15043</v>
      </c>
      <c r="AN825" t="s">
        <v>15044</v>
      </c>
      <c r="AO825" t="s">
        <v>15358</v>
      </c>
      <c r="AP825" t="s">
        <v>74</v>
      </c>
      <c r="AQ825" t="s">
        <v>74</v>
      </c>
      <c r="AR825" t="s">
        <v>15359</v>
      </c>
      <c r="AS825" t="s">
        <v>15360</v>
      </c>
      <c r="AT825" t="s">
        <v>74</v>
      </c>
      <c r="AU825">
        <v>2012</v>
      </c>
      <c r="AV825">
        <v>71</v>
      </c>
      <c r="AW825" t="s">
        <v>74</v>
      </c>
      <c r="AX825" t="s">
        <v>74</v>
      </c>
      <c r="AY825" t="s">
        <v>74</v>
      </c>
      <c r="AZ825" t="s">
        <v>74</v>
      </c>
      <c r="BA825" t="s">
        <v>74</v>
      </c>
      <c r="BB825" t="s">
        <v>74</v>
      </c>
      <c r="BC825" t="s">
        <v>74</v>
      </c>
      <c r="BD825">
        <v>17227</v>
      </c>
      <c r="BE825" t="s">
        <v>15361</v>
      </c>
      <c r="BF825" t="str">
        <f>HYPERLINK("http://dx.doi.org/10.3402/ijch.v71i0.17227","http://dx.doi.org/10.3402/ijch.v71i0.17227")</f>
        <v>http://dx.doi.org/10.3402/ijch.v71i0.17227</v>
      </c>
      <c r="BG825" t="s">
        <v>74</v>
      </c>
      <c r="BH825" t="s">
        <v>74</v>
      </c>
      <c r="BI825">
        <v>8</v>
      </c>
      <c r="BJ825" t="s">
        <v>15362</v>
      </c>
      <c r="BK825" t="s">
        <v>2236</v>
      </c>
      <c r="BL825" t="s">
        <v>15362</v>
      </c>
      <c r="BM825" t="s">
        <v>15363</v>
      </c>
      <c r="BN825" t="s">
        <v>74</v>
      </c>
      <c r="BO825" t="s">
        <v>521</v>
      </c>
      <c r="BP825" t="s">
        <v>74</v>
      </c>
      <c r="BQ825" t="s">
        <v>74</v>
      </c>
      <c r="BR825" t="s">
        <v>101</v>
      </c>
      <c r="BS825" t="s">
        <v>15364</v>
      </c>
      <c r="BT825" t="str">
        <f>HYPERLINK("https%3A%2F%2Fwww.webofscience.com%2Fwos%2Fwoscc%2Ffull-record%2FWOS:000308225200001","View Full Record in Web of Science")</f>
        <v>View Full Record in Web of Science</v>
      </c>
    </row>
    <row r="826" spans="1:72" x14ac:dyDescent="0.15">
      <c r="A826" t="s">
        <v>72</v>
      </c>
      <c r="B826" t="s">
        <v>15365</v>
      </c>
      <c r="C826" t="s">
        <v>74</v>
      </c>
      <c r="D826" t="s">
        <v>74</v>
      </c>
      <c r="E826" t="s">
        <v>74</v>
      </c>
      <c r="F826" t="s">
        <v>15366</v>
      </c>
      <c r="G826" t="s">
        <v>74</v>
      </c>
      <c r="H826" t="s">
        <v>74</v>
      </c>
      <c r="I826" t="s">
        <v>15367</v>
      </c>
      <c r="J826" t="s">
        <v>13628</v>
      </c>
      <c r="K826" t="s">
        <v>74</v>
      </c>
      <c r="L826" t="s">
        <v>74</v>
      </c>
      <c r="M826" t="s">
        <v>78</v>
      </c>
      <c r="N826" t="s">
        <v>79</v>
      </c>
      <c r="O826" t="s">
        <v>74</v>
      </c>
      <c r="P826" t="s">
        <v>74</v>
      </c>
      <c r="Q826" t="s">
        <v>74</v>
      </c>
      <c r="R826" t="s">
        <v>74</v>
      </c>
      <c r="S826" t="s">
        <v>74</v>
      </c>
      <c r="T826" t="s">
        <v>15368</v>
      </c>
      <c r="U826" t="s">
        <v>15369</v>
      </c>
      <c r="V826" t="s">
        <v>15370</v>
      </c>
      <c r="W826" t="s">
        <v>15371</v>
      </c>
      <c r="X826" t="s">
        <v>6272</v>
      </c>
      <c r="Y826" t="s">
        <v>6273</v>
      </c>
      <c r="Z826" t="s">
        <v>15372</v>
      </c>
      <c r="AA826" t="s">
        <v>6275</v>
      </c>
      <c r="AB826" t="s">
        <v>6276</v>
      </c>
      <c r="AC826" t="s">
        <v>15373</v>
      </c>
      <c r="AD826" t="s">
        <v>15374</v>
      </c>
      <c r="AE826" t="s">
        <v>15375</v>
      </c>
      <c r="AF826" t="s">
        <v>74</v>
      </c>
      <c r="AG826">
        <v>55</v>
      </c>
      <c r="AH826">
        <v>5</v>
      </c>
      <c r="AI826">
        <v>5</v>
      </c>
      <c r="AJ826">
        <v>0</v>
      </c>
      <c r="AK826">
        <v>36</v>
      </c>
      <c r="AL826" t="s">
        <v>13640</v>
      </c>
      <c r="AM826" t="s">
        <v>13641</v>
      </c>
      <c r="AN826" t="s">
        <v>13642</v>
      </c>
      <c r="AO826" t="s">
        <v>13643</v>
      </c>
      <c r="AP826" t="s">
        <v>74</v>
      </c>
      <c r="AQ826" t="s">
        <v>74</v>
      </c>
      <c r="AR826" t="s">
        <v>13645</v>
      </c>
      <c r="AS826" t="s">
        <v>13646</v>
      </c>
      <c r="AT826" t="s">
        <v>74</v>
      </c>
      <c r="AU826">
        <v>2012</v>
      </c>
      <c r="AV826">
        <v>453</v>
      </c>
      <c r="AW826" t="s">
        <v>74</v>
      </c>
      <c r="AX826" t="s">
        <v>74</v>
      </c>
      <c r="AY826" t="s">
        <v>74</v>
      </c>
      <c r="AZ826" t="s">
        <v>74</v>
      </c>
      <c r="BA826" t="s">
        <v>74</v>
      </c>
      <c r="BB826">
        <v>49</v>
      </c>
      <c r="BC826">
        <v>62</v>
      </c>
      <c r="BD826" t="s">
        <v>74</v>
      </c>
      <c r="BE826" t="s">
        <v>15376</v>
      </c>
      <c r="BF826" t="str">
        <f>HYPERLINK("http://dx.doi.org/10.3354/meps09686","http://dx.doi.org/10.3354/meps09686")</f>
        <v>http://dx.doi.org/10.3354/meps09686</v>
      </c>
      <c r="BG826" t="s">
        <v>74</v>
      </c>
      <c r="BH826" t="s">
        <v>74</v>
      </c>
      <c r="BI826">
        <v>14</v>
      </c>
      <c r="BJ826" t="s">
        <v>13648</v>
      </c>
      <c r="BK826" t="s">
        <v>99</v>
      </c>
      <c r="BL826" t="s">
        <v>13649</v>
      </c>
      <c r="BM826" t="s">
        <v>15377</v>
      </c>
      <c r="BN826" t="s">
        <v>74</v>
      </c>
      <c r="BO826" t="s">
        <v>217</v>
      </c>
      <c r="BP826" t="s">
        <v>74</v>
      </c>
      <c r="BQ826" t="s">
        <v>74</v>
      </c>
      <c r="BR826" t="s">
        <v>101</v>
      </c>
      <c r="BS826" t="s">
        <v>15378</v>
      </c>
      <c r="BT826" t="str">
        <f>HYPERLINK("https%3A%2F%2Fwww.webofscience.com%2Fwos%2Fwoscc%2Ffull-record%2FWOS:000308135800005","View Full Record in Web of Science")</f>
        <v>View Full Record in Web of Science</v>
      </c>
    </row>
    <row r="827" spans="1:72" x14ac:dyDescent="0.15">
      <c r="A827" t="s">
        <v>72</v>
      </c>
      <c r="B827" t="s">
        <v>15379</v>
      </c>
      <c r="C827" t="s">
        <v>74</v>
      </c>
      <c r="D827" t="s">
        <v>74</v>
      </c>
      <c r="E827" t="s">
        <v>74</v>
      </c>
      <c r="F827" t="s">
        <v>15380</v>
      </c>
      <c r="G827" t="s">
        <v>74</v>
      </c>
      <c r="H827" t="s">
        <v>74</v>
      </c>
      <c r="I827" t="s">
        <v>15381</v>
      </c>
      <c r="J827" t="s">
        <v>15382</v>
      </c>
      <c r="K827" t="s">
        <v>74</v>
      </c>
      <c r="L827" t="s">
        <v>74</v>
      </c>
      <c r="M827" t="s">
        <v>78</v>
      </c>
      <c r="N827" t="s">
        <v>79</v>
      </c>
      <c r="O827" t="s">
        <v>74</v>
      </c>
      <c r="P827" t="s">
        <v>74</v>
      </c>
      <c r="Q827" t="s">
        <v>74</v>
      </c>
      <c r="R827" t="s">
        <v>74</v>
      </c>
      <c r="S827" t="s">
        <v>74</v>
      </c>
      <c r="T827" t="s">
        <v>15383</v>
      </c>
      <c r="U827" t="s">
        <v>15384</v>
      </c>
      <c r="V827" t="s">
        <v>15385</v>
      </c>
      <c r="W827" t="s">
        <v>15386</v>
      </c>
      <c r="X827" t="s">
        <v>15387</v>
      </c>
      <c r="Y827" t="s">
        <v>15388</v>
      </c>
      <c r="Z827" t="s">
        <v>15389</v>
      </c>
      <c r="AA827" t="s">
        <v>15390</v>
      </c>
      <c r="AB827" t="s">
        <v>15391</v>
      </c>
      <c r="AC827" t="s">
        <v>15392</v>
      </c>
      <c r="AD827" t="s">
        <v>15393</v>
      </c>
      <c r="AE827" t="s">
        <v>15394</v>
      </c>
      <c r="AF827" t="s">
        <v>74</v>
      </c>
      <c r="AG827">
        <v>31</v>
      </c>
      <c r="AH827">
        <v>3</v>
      </c>
      <c r="AI827">
        <v>5</v>
      </c>
      <c r="AJ827">
        <v>1</v>
      </c>
      <c r="AK827">
        <v>29</v>
      </c>
      <c r="AL827" t="s">
        <v>14681</v>
      </c>
      <c r="AM827" t="s">
        <v>14682</v>
      </c>
      <c r="AN827" t="s">
        <v>15395</v>
      </c>
      <c r="AO827" t="s">
        <v>15396</v>
      </c>
      <c r="AP827" t="s">
        <v>74</v>
      </c>
      <c r="AQ827" t="s">
        <v>74</v>
      </c>
      <c r="AR827" t="s">
        <v>15397</v>
      </c>
      <c r="AS827" t="s">
        <v>15398</v>
      </c>
      <c r="AT827" t="s">
        <v>74</v>
      </c>
      <c r="AU827">
        <v>2012</v>
      </c>
      <c r="AV827">
        <v>45</v>
      </c>
      <c r="AW827">
        <v>13</v>
      </c>
      <c r="AX827" t="s">
        <v>74</v>
      </c>
      <c r="AY827" t="s">
        <v>74</v>
      </c>
      <c r="AZ827" t="s">
        <v>74</v>
      </c>
      <c r="BA827" t="s">
        <v>74</v>
      </c>
      <c r="BB827">
        <v>1885</v>
      </c>
      <c r="BC827">
        <v>1893</v>
      </c>
      <c r="BD827" t="s">
        <v>74</v>
      </c>
      <c r="BE827" t="s">
        <v>15399</v>
      </c>
      <c r="BF827" t="str">
        <f>HYPERLINK("http://dx.doi.org/10.1080/00032719.2012.677978","http://dx.doi.org/10.1080/00032719.2012.677978")</f>
        <v>http://dx.doi.org/10.1080/00032719.2012.677978</v>
      </c>
      <c r="BG827" t="s">
        <v>74</v>
      </c>
      <c r="BH827" t="s">
        <v>74</v>
      </c>
      <c r="BI827">
        <v>9</v>
      </c>
      <c r="BJ827" t="s">
        <v>7959</v>
      </c>
      <c r="BK827" t="s">
        <v>99</v>
      </c>
      <c r="BL827" t="s">
        <v>287</v>
      </c>
      <c r="BM827" t="s">
        <v>15400</v>
      </c>
      <c r="BN827" t="s">
        <v>74</v>
      </c>
      <c r="BO827" t="s">
        <v>74</v>
      </c>
      <c r="BP827" t="s">
        <v>74</v>
      </c>
      <c r="BQ827" t="s">
        <v>74</v>
      </c>
      <c r="BR827" t="s">
        <v>101</v>
      </c>
      <c r="BS827" t="s">
        <v>15401</v>
      </c>
      <c r="BT827" t="str">
        <f>HYPERLINK("https%3A%2F%2Fwww.webofscience.com%2Fwos%2Fwoscc%2Ffull-record%2FWOS:000308361800012","View Full Record in Web of Science")</f>
        <v>View Full Record in Web of Science</v>
      </c>
    </row>
    <row r="828" spans="1:72" x14ac:dyDescent="0.15">
      <c r="A828" t="s">
        <v>72</v>
      </c>
      <c r="B828" t="s">
        <v>15402</v>
      </c>
      <c r="C828" t="s">
        <v>74</v>
      </c>
      <c r="D828" t="s">
        <v>74</v>
      </c>
      <c r="E828" t="s">
        <v>74</v>
      </c>
      <c r="F828" t="s">
        <v>15403</v>
      </c>
      <c r="G828" t="s">
        <v>74</v>
      </c>
      <c r="H828" t="s">
        <v>74</v>
      </c>
      <c r="I828" t="s">
        <v>15404</v>
      </c>
      <c r="J828" t="s">
        <v>14941</v>
      </c>
      <c r="K828" t="s">
        <v>74</v>
      </c>
      <c r="L828" t="s">
        <v>74</v>
      </c>
      <c r="M828" t="s">
        <v>78</v>
      </c>
      <c r="N828" t="s">
        <v>79</v>
      </c>
      <c r="O828" t="s">
        <v>74</v>
      </c>
      <c r="P828" t="s">
        <v>74</v>
      </c>
      <c r="Q828" t="s">
        <v>74</v>
      </c>
      <c r="R828" t="s">
        <v>74</v>
      </c>
      <c r="S828" t="s">
        <v>74</v>
      </c>
      <c r="T828" t="s">
        <v>15405</v>
      </c>
      <c r="U828" t="s">
        <v>15406</v>
      </c>
      <c r="V828" t="s">
        <v>15407</v>
      </c>
      <c r="W828" t="s">
        <v>15408</v>
      </c>
      <c r="X828" t="s">
        <v>15409</v>
      </c>
      <c r="Y828" t="s">
        <v>15410</v>
      </c>
      <c r="Z828" t="s">
        <v>15411</v>
      </c>
      <c r="AA828" t="s">
        <v>74</v>
      </c>
      <c r="AB828" t="s">
        <v>74</v>
      </c>
      <c r="AC828" t="s">
        <v>15412</v>
      </c>
      <c r="AD828" t="s">
        <v>15413</v>
      </c>
      <c r="AE828" t="s">
        <v>15414</v>
      </c>
      <c r="AF828" t="s">
        <v>74</v>
      </c>
      <c r="AG828">
        <v>58</v>
      </c>
      <c r="AH828">
        <v>8</v>
      </c>
      <c r="AI828">
        <v>8</v>
      </c>
      <c r="AJ828">
        <v>1</v>
      </c>
      <c r="AK828">
        <v>8</v>
      </c>
      <c r="AL828" t="s">
        <v>13270</v>
      </c>
      <c r="AM828" t="s">
        <v>13271</v>
      </c>
      <c r="AN828" t="s">
        <v>13272</v>
      </c>
      <c r="AO828" t="s">
        <v>14954</v>
      </c>
      <c r="AP828" t="s">
        <v>14955</v>
      </c>
      <c r="AQ828" t="s">
        <v>74</v>
      </c>
      <c r="AR828" t="s">
        <v>14956</v>
      </c>
      <c r="AS828" t="s">
        <v>14957</v>
      </c>
      <c r="AT828" t="s">
        <v>74</v>
      </c>
      <c r="AU828">
        <v>2012</v>
      </c>
      <c r="AV828">
        <v>30</v>
      </c>
      <c r="AW828">
        <v>8</v>
      </c>
      <c r="AX828" t="s">
        <v>74</v>
      </c>
      <c r="AY828" t="s">
        <v>74</v>
      </c>
      <c r="AZ828" t="s">
        <v>74</v>
      </c>
      <c r="BA828" t="s">
        <v>74</v>
      </c>
      <c r="BB828">
        <v>1143</v>
      </c>
      <c r="BC828">
        <v>1157</v>
      </c>
      <c r="BD828" t="s">
        <v>74</v>
      </c>
      <c r="BE828" t="s">
        <v>15415</v>
      </c>
      <c r="BF828" t="str">
        <f>HYPERLINK("http://dx.doi.org/10.5194/angeo-30-1143-2012","http://dx.doi.org/10.5194/angeo-30-1143-2012")</f>
        <v>http://dx.doi.org/10.5194/angeo-30-1143-2012</v>
      </c>
      <c r="BG828" t="s">
        <v>74</v>
      </c>
      <c r="BH828" t="s">
        <v>74</v>
      </c>
      <c r="BI828">
        <v>15</v>
      </c>
      <c r="BJ828" t="s">
        <v>14959</v>
      </c>
      <c r="BK828" t="s">
        <v>99</v>
      </c>
      <c r="BL828" t="s">
        <v>14960</v>
      </c>
      <c r="BM828" t="s">
        <v>15416</v>
      </c>
      <c r="BN828" t="s">
        <v>74</v>
      </c>
      <c r="BO828" t="s">
        <v>3496</v>
      </c>
      <c r="BP828" t="s">
        <v>74</v>
      </c>
      <c r="BQ828" t="s">
        <v>74</v>
      </c>
      <c r="BR828" t="s">
        <v>101</v>
      </c>
      <c r="BS828" t="s">
        <v>15417</v>
      </c>
      <c r="BT828" t="str">
        <f>HYPERLINK("https%3A%2F%2Fwww.webofscience.com%2Fwos%2Fwoscc%2Ffull-record%2FWOS:000308288800004","View Full Record in Web of Science")</f>
        <v>View Full Record in Web of Science</v>
      </c>
    </row>
    <row r="829" spans="1:72" x14ac:dyDescent="0.15">
      <c r="A829" t="s">
        <v>72</v>
      </c>
      <c r="B829" t="s">
        <v>15418</v>
      </c>
      <c r="C829" t="s">
        <v>74</v>
      </c>
      <c r="D829" t="s">
        <v>74</v>
      </c>
      <c r="E829" t="s">
        <v>74</v>
      </c>
      <c r="F829" t="s">
        <v>15419</v>
      </c>
      <c r="G829" t="s">
        <v>74</v>
      </c>
      <c r="H829" t="s">
        <v>74</v>
      </c>
      <c r="I829" t="s">
        <v>15420</v>
      </c>
      <c r="J829" t="s">
        <v>13816</v>
      </c>
      <c r="K829" t="s">
        <v>74</v>
      </c>
      <c r="L829" t="s">
        <v>74</v>
      </c>
      <c r="M829" t="s">
        <v>78</v>
      </c>
      <c r="N829" t="s">
        <v>79</v>
      </c>
      <c r="O829" t="s">
        <v>74</v>
      </c>
      <c r="P829" t="s">
        <v>74</v>
      </c>
      <c r="Q829" t="s">
        <v>74</v>
      </c>
      <c r="R829" t="s">
        <v>74</v>
      </c>
      <c r="S829" t="s">
        <v>74</v>
      </c>
      <c r="T829" t="s">
        <v>74</v>
      </c>
      <c r="U829" t="s">
        <v>15421</v>
      </c>
      <c r="V829" t="s">
        <v>15422</v>
      </c>
      <c r="W829" t="s">
        <v>15423</v>
      </c>
      <c r="X829" t="s">
        <v>15424</v>
      </c>
      <c r="Y829" t="s">
        <v>15425</v>
      </c>
      <c r="Z829" t="s">
        <v>15426</v>
      </c>
      <c r="AA829" t="s">
        <v>15427</v>
      </c>
      <c r="AB829" t="s">
        <v>15428</v>
      </c>
      <c r="AC829" t="s">
        <v>15429</v>
      </c>
      <c r="AD829" t="s">
        <v>15430</v>
      </c>
      <c r="AE829" t="s">
        <v>15431</v>
      </c>
      <c r="AF829" t="s">
        <v>74</v>
      </c>
      <c r="AG829">
        <v>88</v>
      </c>
      <c r="AH829">
        <v>39</v>
      </c>
      <c r="AI829">
        <v>42</v>
      </c>
      <c r="AJ829">
        <v>4</v>
      </c>
      <c r="AK829">
        <v>38</v>
      </c>
      <c r="AL829" t="s">
        <v>13270</v>
      </c>
      <c r="AM829" t="s">
        <v>13271</v>
      </c>
      <c r="AN829" t="s">
        <v>13272</v>
      </c>
      <c r="AO829" t="s">
        <v>13828</v>
      </c>
      <c r="AP829" t="s">
        <v>13829</v>
      </c>
      <c r="AQ829" t="s">
        <v>74</v>
      </c>
      <c r="AR829" t="s">
        <v>13830</v>
      </c>
      <c r="AS829" t="s">
        <v>13831</v>
      </c>
      <c r="AT829" t="s">
        <v>74</v>
      </c>
      <c r="AU829">
        <v>2012</v>
      </c>
      <c r="AV829">
        <v>12</v>
      </c>
      <c r="AW829">
        <v>14</v>
      </c>
      <c r="AX829" t="s">
        <v>74</v>
      </c>
      <c r="AY829" t="s">
        <v>74</v>
      </c>
      <c r="AZ829" t="s">
        <v>74</v>
      </c>
      <c r="BA829" t="s">
        <v>74</v>
      </c>
      <c r="BB829">
        <v>6565</v>
      </c>
      <c r="BC829">
        <v>6580</v>
      </c>
      <c r="BD829" t="s">
        <v>74</v>
      </c>
      <c r="BE829" t="s">
        <v>15432</v>
      </c>
      <c r="BF829" t="str">
        <f>HYPERLINK("http://dx.doi.org/10.5194/acp-12-6565-2012","http://dx.doi.org/10.5194/acp-12-6565-2012")</f>
        <v>http://dx.doi.org/10.5194/acp-12-6565-2012</v>
      </c>
      <c r="BG829" t="s">
        <v>74</v>
      </c>
      <c r="BH829" t="s">
        <v>74</v>
      </c>
      <c r="BI829">
        <v>16</v>
      </c>
      <c r="BJ829" t="s">
        <v>1758</v>
      </c>
      <c r="BK829" t="s">
        <v>99</v>
      </c>
      <c r="BL829" t="s">
        <v>1759</v>
      </c>
      <c r="BM829" t="s">
        <v>15433</v>
      </c>
      <c r="BN829" t="s">
        <v>74</v>
      </c>
      <c r="BO829" t="s">
        <v>7430</v>
      </c>
      <c r="BP829" t="s">
        <v>74</v>
      </c>
      <c r="BQ829" t="s">
        <v>74</v>
      </c>
      <c r="BR829" t="s">
        <v>101</v>
      </c>
      <c r="BS829" t="s">
        <v>15434</v>
      </c>
      <c r="BT829" t="str">
        <f>HYPERLINK("https%3A%2F%2Fwww.webofscience.com%2Fwos%2Fwoscc%2Ffull-record%2FWOS:000306808300032","View Full Record in Web of Science")</f>
        <v>View Full Record in Web of Science</v>
      </c>
    </row>
    <row r="830" spans="1:72" x14ac:dyDescent="0.15">
      <c r="A830" t="s">
        <v>72</v>
      </c>
      <c r="B830" t="s">
        <v>15435</v>
      </c>
      <c r="C830" t="s">
        <v>74</v>
      </c>
      <c r="D830" t="s">
        <v>74</v>
      </c>
      <c r="E830" t="s">
        <v>74</v>
      </c>
      <c r="F830" t="s">
        <v>15436</v>
      </c>
      <c r="G830" t="s">
        <v>74</v>
      </c>
      <c r="H830" t="s">
        <v>74</v>
      </c>
      <c r="I830" t="s">
        <v>15437</v>
      </c>
      <c r="J830" t="s">
        <v>14105</v>
      </c>
      <c r="K830" t="s">
        <v>74</v>
      </c>
      <c r="L830" t="s">
        <v>74</v>
      </c>
      <c r="M830" t="s">
        <v>78</v>
      </c>
      <c r="N830" t="s">
        <v>79</v>
      </c>
      <c r="O830" t="s">
        <v>74</v>
      </c>
      <c r="P830" t="s">
        <v>74</v>
      </c>
      <c r="Q830" t="s">
        <v>74</v>
      </c>
      <c r="R830" t="s">
        <v>74</v>
      </c>
      <c r="S830" t="s">
        <v>74</v>
      </c>
      <c r="T830" t="s">
        <v>15438</v>
      </c>
      <c r="U830" t="s">
        <v>15439</v>
      </c>
      <c r="V830" t="s">
        <v>15440</v>
      </c>
      <c r="W830" t="s">
        <v>15441</v>
      </c>
      <c r="X830" t="s">
        <v>15442</v>
      </c>
      <c r="Y830" t="s">
        <v>15443</v>
      </c>
      <c r="Z830" t="s">
        <v>15444</v>
      </c>
      <c r="AA830" t="s">
        <v>15445</v>
      </c>
      <c r="AB830" t="s">
        <v>15446</v>
      </c>
      <c r="AC830" t="s">
        <v>74</v>
      </c>
      <c r="AD830" t="s">
        <v>74</v>
      </c>
      <c r="AE830" t="s">
        <v>74</v>
      </c>
      <c r="AF830" t="s">
        <v>74</v>
      </c>
      <c r="AG830">
        <v>15</v>
      </c>
      <c r="AH830">
        <v>24</v>
      </c>
      <c r="AI830">
        <v>26</v>
      </c>
      <c r="AJ830">
        <v>0</v>
      </c>
      <c r="AK830">
        <v>7</v>
      </c>
      <c r="AL830" t="s">
        <v>14114</v>
      </c>
      <c r="AM830" t="s">
        <v>604</v>
      </c>
      <c r="AN830" t="s">
        <v>14115</v>
      </c>
      <c r="AO830" t="s">
        <v>14116</v>
      </c>
      <c r="AP830" t="s">
        <v>74</v>
      </c>
      <c r="AQ830" t="s">
        <v>74</v>
      </c>
      <c r="AR830" t="s">
        <v>14117</v>
      </c>
      <c r="AS830" t="s">
        <v>14118</v>
      </c>
      <c r="AT830" t="s">
        <v>74</v>
      </c>
      <c r="AU830">
        <v>2012</v>
      </c>
      <c r="AV830">
        <v>64</v>
      </c>
      <c r="AW830">
        <v>6</v>
      </c>
      <c r="AX830" t="s">
        <v>74</v>
      </c>
      <c r="AY830" t="s">
        <v>74</v>
      </c>
      <c r="AZ830" t="s">
        <v>74</v>
      </c>
      <c r="BA830" t="s">
        <v>74</v>
      </c>
      <c r="BB830">
        <v>521</v>
      </c>
      <c r="BC830">
        <v>529</v>
      </c>
      <c r="BD830" t="s">
        <v>74</v>
      </c>
      <c r="BE830" t="s">
        <v>15447</v>
      </c>
      <c r="BF830" t="str">
        <f>HYPERLINK("http://dx.doi.org/10.5047/eps.2011.10.015","http://dx.doi.org/10.5047/eps.2011.10.015")</f>
        <v>http://dx.doi.org/10.5047/eps.2011.10.015</v>
      </c>
      <c r="BG830" t="s">
        <v>74</v>
      </c>
      <c r="BH830" t="s">
        <v>74</v>
      </c>
      <c r="BI830">
        <v>9</v>
      </c>
      <c r="BJ830" t="s">
        <v>194</v>
      </c>
      <c r="BK830" t="s">
        <v>99</v>
      </c>
      <c r="BL830" t="s">
        <v>195</v>
      </c>
      <c r="BM830" t="s">
        <v>15448</v>
      </c>
      <c r="BN830" t="s">
        <v>74</v>
      </c>
      <c r="BO830" t="s">
        <v>1094</v>
      </c>
      <c r="BP830" t="s">
        <v>74</v>
      </c>
      <c r="BQ830" t="s">
        <v>74</v>
      </c>
      <c r="BR830" t="s">
        <v>101</v>
      </c>
      <c r="BS830" t="s">
        <v>15449</v>
      </c>
      <c r="BT830" t="str">
        <f>HYPERLINK("https%3A%2F%2Fwww.webofscience.com%2Fwos%2Fwoscc%2Ffull-record%2FWOS:000307224500013","View Full Record in Web of Science")</f>
        <v>View Full Record in Web of Science</v>
      </c>
    </row>
    <row r="831" spans="1:72" x14ac:dyDescent="0.15">
      <c r="A831" t="s">
        <v>72</v>
      </c>
      <c r="B831" t="s">
        <v>15450</v>
      </c>
      <c r="C831" t="s">
        <v>74</v>
      </c>
      <c r="D831" t="s">
        <v>74</v>
      </c>
      <c r="E831" t="s">
        <v>74</v>
      </c>
      <c r="F831" t="s">
        <v>15451</v>
      </c>
      <c r="G831" t="s">
        <v>74</v>
      </c>
      <c r="H831" t="s">
        <v>74</v>
      </c>
      <c r="I831" t="s">
        <v>15452</v>
      </c>
      <c r="J831" t="s">
        <v>15453</v>
      </c>
      <c r="K831" t="s">
        <v>74</v>
      </c>
      <c r="L831" t="s">
        <v>74</v>
      </c>
      <c r="M831" t="s">
        <v>78</v>
      </c>
      <c r="N831" t="s">
        <v>79</v>
      </c>
      <c r="O831" t="s">
        <v>74</v>
      </c>
      <c r="P831" t="s">
        <v>74</v>
      </c>
      <c r="Q831" t="s">
        <v>74</v>
      </c>
      <c r="R831" t="s">
        <v>74</v>
      </c>
      <c r="S831" t="s">
        <v>74</v>
      </c>
      <c r="T831" t="s">
        <v>74</v>
      </c>
      <c r="U831" t="s">
        <v>15454</v>
      </c>
      <c r="V831" t="s">
        <v>15455</v>
      </c>
      <c r="W831" t="s">
        <v>15456</v>
      </c>
      <c r="X831" t="s">
        <v>15457</v>
      </c>
      <c r="Y831" t="s">
        <v>15458</v>
      </c>
      <c r="Z831" t="s">
        <v>15459</v>
      </c>
      <c r="AA831" t="s">
        <v>15460</v>
      </c>
      <c r="AB831" t="s">
        <v>15461</v>
      </c>
      <c r="AC831" t="s">
        <v>15462</v>
      </c>
      <c r="AD831" t="s">
        <v>15463</v>
      </c>
      <c r="AE831" t="s">
        <v>15464</v>
      </c>
      <c r="AF831" t="s">
        <v>74</v>
      </c>
      <c r="AG831">
        <v>15</v>
      </c>
      <c r="AH831">
        <v>2</v>
      </c>
      <c r="AI831">
        <v>2</v>
      </c>
      <c r="AJ831">
        <v>0</v>
      </c>
      <c r="AK831">
        <v>5</v>
      </c>
      <c r="AL831" t="s">
        <v>13246</v>
      </c>
      <c r="AM831" t="s">
        <v>147</v>
      </c>
      <c r="AN831" t="s">
        <v>13247</v>
      </c>
      <c r="AO831" t="s">
        <v>15465</v>
      </c>
      <c r="AP831" t="s">
        <v>15466</v>
      </c>
      <c r="AQ831" t="s">
        <v>74</v>
      </c>
      <c r="AR831" t="s">
        <v>15467</v>
      </c>
      <c r="AS831" t="s">
        <v>15468</v>
      </c>
      <c r="AT831" t="s">
        <v>74</v>
      </c>
      <c r="AU831">
        <v>2012</v>
      </c>
      <c r="AV831" t="s">
        <v>74</v>
      </c>
      <c r="AW831" t="s">
        <v>74</v>
      </c>
      <c r="AX831" t="s">
        <v>74</v>
      </c>
      <c r="AY831" t="s">
        <v>74</v>
      </c>
      <c r="AZ831" t="s">
        <v>74</v>
      </c>
      <c r="BA831" t="s">
        <v>74</v>
      </c>
      <c r="BB831" t="s">
        <v>74</v>
      </c>
      <c r="BC831" t="s">
        <v>74</v>
      </c>
      <c r="BD831">
        <v>532870</v>
      </c>
      <c r="BE831" t="s">
        <v>15469</v>
      </c>
      <c r="BF831" t="str">
        <f>HYPERLINK("http://dx.doi.org/10.1155/2012/532870","http://dx.doi.org/10.1155/2012/532870")</f>
        <v>http://dx.doi.org/10.1155/2012/532870</v>
      </c>
      <c r="BG831" t="s">
        <v>74</v>
      </c>
      <c r="BH831" t="s">
        <v>74</v>
      </c>
      <c r="BI831">
        <v>16</v>
      </c>
      <c r="BJ831" t="s">
        <v>15470</v>
      </c>
      <c r="BK831" t="s">
        <v>99</v>
      </c>
      <c r="BL831" t="s">
        <v>15471</v>
      </c>
      <c r="BM831" t="s">
        <v>15472</v>
      </c>
      <c r="BN831" t="s">
        <v>74</v>
      </c>
      <c r="BO831" t="s">
        <v>537</v>
      </c>
      <c r="BP831" t="s">
        <v>74</v>
      </c>
      <c r="BQ831" t="s">
        <v>74</v>
      </c>
      <c r="BR831" t="s">
        <v>101</v>
      </c>
      <c r="BS831" t="s">
        <v>15473</v>
      </c>
      <c r="BT831" t="str">
        <f>HYPERLINK("https%3A%2F%2Fwww.webofscience.com%2Fwos%2Fwoscc%2Ffull-record%2FWOS:000307704800001","View Full Record in Web of Science")</f>
        <v>View Full Record in Web of Science</v>
      </c>
    </row>
    <row r="832" spans="1:72" x14ac:dyDescent="0.15">
      <c r="A832" t="s">
        <v>72</v>
      </c>
      <c r="B832" t="s">
        <v>15474</v>
      </c>
      <c r="C832" t="s">
        <v>74</v>
      </c>
      <c r="D832" t="s">
        <v>74</v>
      </c>
      <c r="E832" t="s">
        <v>74</v>
      </c>
      <c r="F832" t="s">
        <v>15475</v>
      </c>
      <c r="G832" t="s">
        <v>74</v>
      </c>
      <c r="H832" t="s">
        <v>74</v>
      </c>
      <c r="I832" t="s">
        <v>15476</v>
      </c>
      <c r="J832" t="s">
        <v>13628</v>
      </c>
      <c r="K832" t="s">
        <v>74</v>
      </c>
      <c r="L832" t="s">
        <v>74</v>
      </c>
      <c r="M832" t="s">
        <v>78</v>
      </c>
      <c r="N832" t="s">
        <v>79</v>
      </c>
      <c r="O832" t="s">
        <v>74</v>
      </c>
      <c r="P832" t="s">
        <v>74</v>
      </c>
      <c r="Q832" t="s">
        <v>74</v>
      </c>
      <c r="R832" t="s">
        <v>74</v>
      </c>
      <c r="S832" t="s">
        <v>74</v>
      </c>
      <c r="T832" t="s">
        <v>15477</v>
      </c>
      <c r="U832" t="s">
        <v>15478</v>
      </c>
      <c r="V832" t="s">
        <v>15479</v>
      </c>
      <c r="W832" t="s">
        <v>15480</v>
      </c>
      <c r="X832" t="s">
        <v>15481</v>
      </c>
      <c r="Y832" t="s">
        <v>1180</v>
      </c>
      <c r="Z832" t="s">
        <v>1181</v>
      </c>
      <c r="AA832" t="s">
        <v>15482</v>
      </c>
      <c r="AB832" t="s">
        <v>15483</v>
      </c>
      <c r="AC832" t="s">
        <v>15484</v>
      </c>
      <c r="AD832" t="s">
        <v>15485</v>
      </c>
      <c r="AE832" t="s">
        <v>15486</v>
      </c>
      <c r="AF832" t="s">
        <v>74</v>
      </c>
      <c r="AG832">
        <v>69</v>
      </c>
      <c r="AH832">
        <v>25</v>
      </c>
      <c r="AI832">
        <v>26</v>
      </c>
      <c r="AJ832">
        <v>0</v>
      </c>
      <c r="AK832">
        <v>25</v>
      </c>
      <c r="AL832" t="s">
        <v>13640</v>
      </c>
      <c r="AM832" t="s">
        <v>13641</v>
      </c>
      <c r="AN832" t="s">
        <v>13642</v>
      </c>
      <c r="AO832" t="s">
        <v>13643</v>
      </c>
      <c r="AP832" t="s">
        <v>13644</v>
      </c>
      <c r="AQ832" t="s">
        <v>74</v>
      </c>
      <c r="AR832" t="s">
        <v>13645</v>
      </c>
      <c r="AS832" t="s">
        <v>13646</v>
      </c>
      <c r="AT832" t="s">
        <v>74</v>
      </c>
      <c r="AU832">
        <v>2012</v>
      </c>
      <c r="AV832">
        <v>462</v>
      </c>
      <c r="AW832" t="s">
        <v>74</v>
      </c>
      <c r="AX832" t="s">
        <v>74</v>
      </c>
      <c r="AY832" t="s">
        <v>74</v>
      </c>
      <c r="AZ832" t="s">
        <v>74</v>
      </c>
      <c r="BA832" t="s">
        <v>74</v>
      </c>
      <c r="BB832">
        <v>163</v>
      </c>
      <c r="BC832">
        <v>174</v>
      </c>
      <c r="BD832" t="s">
        <v>74</v>
      </c>
      <c r="BE832" t="s">
        <v>15487</v>
      </c>
      <c r="BF832" t="str">
        <f>HYPERLINK("http://dx.doi.org/10.3354/meps09840","http://dx.doi.org/10.3354/meps09840")</f>
        <v>http://dx.doi.org/10.3354/meps09840</v>
      </c>
      <c r="BG832" t="s">
        <v>74</v>
      </c>
      <c r="BH832" t="s">
        <v>74</v>
      </c>
      <c r="BI832">
        <v>12</v>
      </c>
      <c r="BJ832" t="s">
        <v>13648</v>
      </c>
      <c r="BK832" t="s">
        <v>99</v>
      </c>
      <c r="BL832" t="s">
        <v>13649</v>
      </c>
      <c r="BM832" t="s">
        <v>15488</v>
      </c>
      <c r="BN832" t="s">
        <v>74</v>
      </c>
      <c r="BO832" t="s">
        <v>217</v>
      </c>
      <c r="BP832" t="s">
        <v>74</v>
      </c>
      <c r="BQ832" t="s">
        <v>74</v>
      </c>
      <c r="BR832" t="s">
        <v>101</v>
      </c>
      <c r="BS832" t="s">
        <v>15489</v>
      </c>
      <c r="BT832" t="str">
        <f>HYPERLINK("https%3A%2F%2Fwww.webofscience.com%2Fwos%2Fwoscc%2Ffull-record%2FWOS:000307723300013","View Full Record in Web of Science")</f>
        <v>View Full Record in Web of Science</v>
      </c>
    </row>
    <row r="833" spans="1:72" x14ac:dyDescent="0.15">
      <c r="A833" t="s">
        <v>72</v>
      </c>
      <c r="B833" t="s">
        <v>15490</v>
      </c>
      <c r="C833" t="s">
        <v>74</v>
      </c>
      <c r="D833" t="s">
        <v>74</v>
      </c>
      <c r="E833" t="s">
        <v>74</v>
      </c>
      <c r="F833" t="s">
        <v>15491</v>
      </c>
      <c r="G833" t="s">
        <v>74</v>
      </c>
      <c r="H833" t="s">
        <v>74</v>
      </c>
      <c r="I833" t="s">
        <v>15492</v>
      </c>
      <c r="J833" t="s">
        <v>13700</v>
      </c>
      <c r="K833" t="s">
        <v>74</v>
      </c>
      <c r="L833" t="s">
        <v>74</v>
      </c>
      <c r="M833" t="s">
        <v>78</v>
      </c>
      <c r="N833" t="s">
        <v>79</v>
      </c>
      <c r="O833" t="s">
        <v>74</v>
      </c>
      <c r="P833" t="s">
        <v>74</v>
      </c>
      <c r="Q833" t="s">
        <v>74</v>
      </c>
      <c r="R833" t="s">
        <v>74</v>
      </c>
      <c r="S833" t="s">
        <v>74</v>
      </c>
      <c r="T833" t="s">
        <v>15493</v>
      </c>
      <c r="U833" t="s">
        <v>15494</v>
      </c>
      <c r="V833" t="s">
        <v>15495</v>
      </c>
      <c r="W833" t="s">
        <v>15496</v>
      </c>
      <c r="X833" t="s">
        <v>6030</v>
      </c>
      <c r="Y833" t="s">
        <v>15497</v>
      </c>
      <c r="Z833" t="s">
        <v>7029</v>
      </c>
      <c r="AA833" t="s">
        <v>74</v>
      </c>
      <c r="AB833" t="s">
        <v>74</v>
      </c>
      <c r="AC833" t="s">
        <v>15498</v>
      </c>
      <c r="AD833" t="s">
        <v>15499</v>
      </c>
      <c r="AE833" t="s">
        <v>15500</v>
      </c>
      <c r="AF833" t="s">
        <v>74</v>
      </c>
      <c r="AG833">
        <v>30</v>
      </c>
      <c r="AH833">
        <v>10</v>
      </c>
      <c r="AI833">
        <v>14</v>
      </c>
      <c r="AJ833">
        <v>0</v>
      </c>
      <c r="AK833">
        <v>19</v>
      </c>
      <c r="AL833" t="s">
        <v>15501</v>
      </c>
      <c r="AM833" t="s">
        <v>15502</v>
      </c>
      <c r="AN833" t="s">
        <v>15503</v>
      </c>
      <c r="AO833" t="s">
        <v>13710</v>
      </c>
      <c r="AP833" t="s">
        <v>13711</v>
      </c>
      <c r="AQ833" t="s">
        <v>74</v>
      </c>
      <c r="AR833" t="s">
        <v>13712</v>
      </c>
      <c r="AS833" t="s">
        <v>13713</v>
      </c>
      <c r="AT833" t="s">
        <v>74</v>
      </c>
      <c r="AU833">
        <v>2012</v>
      </c>
      <c r="AV833">
        <v>31</v>
      </c>
      <c r="AW833" t="s">
        <v>74</v>
      </c>
      <c r="AX833" t="s">
        <v>74</v>
      </c>
      <c r="AY833" t="s">
        <v>74</v>
      </c>
      <c r="AZ833" t="s">
        <v>74</v>
      </c>
      <c r="BA833" t="s">
        <v>74</v>
      </c>
      <c r="BB833" t="s">
        <v>74</v>
      </c>
      <c r="BC833" t="s">
        <v>74</v>
      </c>
      <c r="BD833">
        <v>11105</v>
      </c>
      <c r="BE833" t="s">
        <v>15504</v>
      </c>
      <c r="BF833" t="str">
        <f>HYPERLINK("http://dx.doi.org/10.3402/polar.v31i0.11105","http://dx.doi.org/10.3402/polar.v31i0.11105")</f>
        <v>http://dx.doi.org/10.3402/polar.v31i0.11105</v>
      </c>
      <c r="BG833" t="s">
        <v>74</v>
      </c>
      <c r="BH833" t="s">
        <v>74</v>
      </c>
      <c r="BI833">
        <v>6</v>
      </c>
      <c r="BJ833" t="s">
        <v>13715</v>
      </c>
      <c r="BK833" t="s">
        <v>99</v>
      </c>
      <c r="BL833" t="s">
        <v>13716</v>
      </c>
      <c r="BM833" t="s">
        <v>15505</v>
      </c>
      <c r="BN833" t="s">
        <v>74</v>
      </c>
      <c r="BO833" t="s">
        <v>9400</v>
      </c>
      <c r="BP833" t="s">
        <v>74</v>
      </c>
      <c r="BQ833" t="s">
        <v>74</v>
      </c>
      <c r="BR833" t="s">
        <v>101</v>
      </c>
      <c r="BS833" t="s">
        <v>15506</v>
      </c>
      <c r="BT833" t="str">
        <f>HYPERLINK("https%3A%2F%2Fwww.webofscience.com%2Fwos%2Fwoscc%2Ffull-record%2FWOS:000307775200001","View Full Record in Web of Science")</f>
        <v>View Full Record in Web of Science</v>
      </c>
    </row>
    <row r="834" spans="1:72" x14ac:dyDescent="0.15">
      <c r="A834" t="s">
        <v>72</v>
      </c>
      <c r="B834" t="s">
        <v>15507</v>
      </c>
      <c r="C834" t="s">
        <v>74</v>
      </c>
      <c r="D834" t="s">
        <v>74</v>
      </c>
      <c r="E834" t="s">
        <v>74</v>
      </c>
      <c r="F834" t="s">
        <v>15508</v>
      </c>
      <c r="G834" t="s">
        <v>74</v>
      </c>
      <c r="H834" t="s">
        <v>74</v>
      </c>
      <c r="I834" t="s">
        <v>15509</v>
      </c>
      <c r="J834" t="s">
        <v>15510</v>
      </c>
      <c r="K834" t="s">
        <v>74</v>
      </c>
      <c r="L834" t="s">
        <v>74</v>
      </c>
      <c r="M834" t="s">
        <v>78</v>
      </c>
      <c r="N834" t="s">
        <v>79</v>
      </c>
      <c r="O834" t="s">
        <v>74</v>
      </c>
      <c r="P834" t="s">
        <v>74</v>
      </c>
      <c r="Q834" t="s">
        <v>74</v>
      </c>
      <c r="R834" t="s">
        <v>74</v>
      </c>
      <c r="S834" t="s">
        <v>74</v>
      </c>
      <c r="T834" t="s">
        <v>74</v>
      </c>
      <c r="U834" t="s">
        <v>15511</v>
      </c>
      <c r="V834" t="s">
        <v>15512</v>
      </c>
      <c r="W834" t="s">
        <v>15513</v>
      </c>
      <c r="X834" t="s">
        <v>15514</v>
      </c>
      <c r="Y834" t="s">
        <v>15515</v>
      </c>
      <c r="Z834" t="s">
        <v>74</v>
      </c>
      <c r="AA834" t="s">
        <v>15516</v>
      </c>
      <c r="AB834" t="s">
        <v>15517</v>
      </c>
      <c r="AC834" t="s">
        <v>74</v>
      </c>
      <c r="AD834" t="s">
        <v>74</v>
      </c>
      <c r="AE834" t="s">
        <v>74</v>
      </c>
      <c r="AF834" t="s">
        <v>74</v>
      </c>
      <c r="AG834">
        <v>60</v>
      </c>
      <c r="AH834">
        <v>0</v>
      </c>
      <c r="AI834">
        <v>0</v>
      </c>
      <c r="AJ834">
        <v>1</v>
      </c>
      <c r="AK834">
        <v>10</v>
      </c>
      <c r="AL834" t="s">
        <v>15518</v>
      </c>
      <c r="AM834" t="s">
        <v>15519</v>
      </c>
      <c r="AN834" t="s">
        <v>15520</v>
      </c>
      <c r="AO834" t="s">
        <v>15521</v>
      </c>
      <c r="AP834" t="s">
        <v>74</v>
      </c>
      <c r="AQ834" t="s">
        <v>74</v>
      </c>
      <c r="AR834" t="s">
        <v>15522</v>
      </c>
      <c r="AS834" t="s">
        <v>15523</v>
      </c>
      <c r="AT834" t="s">
        <v>74</v>
      </c>
      <c r="AU834">
        <v>2012</v>
      </c>
      <c r="AV834">
        <v>6</v>
      </c>
      <c r="AW834">
        <v>2</v>
      </c>
      <c r="AX834" t="s">
        <v>74</v>
      </c>
      <c r="AY834" t="s">
        <v>74</v>
      </c>
      <c r="AZ834" t="s">
        <v>74</v>
      </c>
      <c r="BA834" t="s">
        <v>74</v>
      </c>
      <c r="BB834">
        <v>287</v>
      </c>
      <c r="BC834">
        <v>292</v>
      </c>
      <c r="BD834" t="s">
        <v>74</v>
      </c>
      <c r="BE834" t="s">
        <v>15524</v>
      </c>
      <c r="BF834" t="str">
        <f>HYPERLINK("http://dx.doi.org/10.4056/sigs.2836114","http://dx.doi.org/10.4056/sigs.2836114")</f>
        <v>http://dx.doi.org/10.4056/sigs.2836114</v>
      </c>
      <c r="BG834" t="s">
        <v>74</v>
      </c>
      <c r="BH834" t="s">
        <v>74</v>
      </c>
      <c r="BI834">
        <v>6</v>
      </c>
      <c r="BJ834" t="s">
        <v>15525</v>
      </c>
      <c r="BK834" t="s">
        <v>99</v>
      </c>
      <c r="BL834" t="s">
        <v>15525</v>
      </c>
      <c r="BM834" t="s">
        <v>15526</v>
      </c>
      <c r="BN834" t="s">
        <v>74</v>
      </c>
      <c r="BO834" t="s">
        <v>8543</v>
      </c>
      <c r="BP834" t="s">
        <v>74</v>
      </c>
      <c r="BQ834" t="s">
        <v>74</v>
      </c>
      <c r="BR834" t="s">
        <v>101</v>
      </c>
      <c r="BS834" t="s">
        <v>15527</v>
      </c>
      <c r="BT834" t="str">
        <f>HYPERLINK("https%3A%2F%2Fwww.webofscience.com%2Fwos%2Fwoscc%2Ffull-record%2FWOS:000306759300014","View Full Record in Web of Science")</f>
        <v>View Full Record in Web of Science</v>
      </c>
    </row>
    <row r="835" spans="1:72" x14ac:dyDescent="0.15">
      <c r="A835" t="s">
        <v>72</v>
      </c>
      <c r="B835" t="s">
        <v>15528</v>
      </c>
      <c r="C835" t="s">
        <v>74</v>
      </c>
      <c r="D835" t="s">
        <v>74</v>
      </c>
      <c r="E835" t="s">
        <v>74</v>
      </c>
      <c r="F835" t="s">
        <v>15529</v>
      </c>
      <c r="G835" t="s">
        <v>74</v>
      </c>
      <c r="H835" t="s">
        <v>74</v>
      </c>
      <c r="I835" t="s">
        <v>15530</v>
      </c>
      <c r="J835" t="s">
        <v>15531</v>
      </c>
      <c r="K835" t="s">
        <v>74</v>
      </c>
      <c r="L835" t="s">
        <v>74</v>
      </c>
      <c r="M835" t="s">
        <v>78</v>
      </c>
      <c r="N835" t="s">
        <v>79</v>
      </c>
      <c r="O835" t="s">
        <v>74</v>
      </c>
      <c r="P835" t="s">
        <v>74</v>
      </c>
      <c r="Q835" t="s">
        <v>74</v>
      </c>
      <c r="R835" t="s">
        <v>74</v>
      </c>
      <c r="S835" t="s">
        <v>74</v>
      </c>
      <c r="T835" t="s">
        <v>15532</v>
      </c>
      <c r="U835" t="s">
        <v>15533</v>
      </c>
      <c r="V835" t="s">
        <v>15534</v>
      </c>
      <c r="W835" t="s">
        <v>15535</v>
      </c>
      <c r="X835" t="s">
        <v>15536</v>
      </c>
      <c r="Y835" t="s">
        <v>15537</v>
      </c>
      <c r="Z835" t="s">
        <v>15538</v>
      </c>
      <c r="AA835" t="s">
        <v>74</v>
      </c>
      <c r="AB835" t="s">
        <v>74</v>
      </c>
      <c r="AC835" t="s">
        <v>74</v>
      </c>
      <c r="AD835" t="s">
        <v>74</v>
      </c>
      <c r="AE835" t="s">
        <v>74</v>
      </c>
      <c r="AF835" t="s">
        <v>74</v>
      </c>
      <c r="AG835">
        <v>144</v>
      </c>
      <c r="AH835">
        <v>27</v>
      </c>
      <c r="AI835">
        <v>34</v>
      </c>
      <c r="AJ835">
        <v>2</v>
      </c>
      <c r="AK835">
        <v>38</v>
      </c>
      <c r="AL835" t="s">
        <v>15539</v>
      </c>
      <c r="AM835" t="s">
        <v>582</v>
      </c>
      <c r="AN835" t="s">
        <v>583</v>
      </c>
      <c r="AO835" t="s">
        <v>15540</v>
      </c>
      <c r="AP835" t="s">
        <v>74</v>
      </c>
      <c r="AQ835" t="s">
        <v>74</v>
      </c>
      <c r="AR835" t="s">
        <v>15531</v>
      </c>
      <c r="AS835" t="s">
        <v>15541</v>
      </c>
      <c r="AT835" t="s">
        <v>74</v>
      </c>
      <c r="AU835">
        <v>2012</v>
      </c>
      <c r="AV835">
        <v>14</v>
      </c>
      <c r="AW835" t="s">
        <v>74</v>
      </c>
      <c r="AX835">
        <v>6</v>
      </c>
      <c r="AY835" t="s">
        <v>74</v>
      </c>
      <c r="AZ835" t="s">
        <v>74</v>
      </c>
      <c r="BA835" t="s">
        <v>74</v>
      </c>
      <c r="BB835">
        <v>645</v>
      </c>
      <c r="BC835">
        <v>663</v>
      </c>
      <c r="BD835" t="s">
        <v>74</v>
      </c>
      <c r="BE835" t="s">
        <v>15542</v>
      </c>
      <c r="BF835" t="str">
        <f>HYPERLINK("http://dx.doi.org/10.1163/156854112X651168","http://dx.doi.org/10.1163/156854112X651168")</f>
        <v>http://dx.doi.org/10.1163/156854112X651168</v>
      </c>
      <c r="BG835" t="s">
        <v>74</v>
      </c>
      <c r="BH835" t="s">
        <v>74</v>
      </c>
      <c r="BI835">
        <v>19</v>
      </c>
      <c r="BJ835" t="s">
        <v>98</v>
      </c>
      <c r="BK835" t="s">
        <v>99</v>
      </c>
      <c r="BL835" t="s">
        <v>98</v>
      </c>
      <c r="BM835" t="s">
        <v>15543</v>
      </c>
      <c r="BN835" t="s">
        <v>74</v>
      </c>
      <c r="BO835" t="s">
        <v>74</v>
      </c>
      <c r="BP835" t="s">
        <v>74</v>
      </c>
      <c r="BQ835" t="s">
        <v>74</v>
      </c>
      <c r="BR835" t="s">
        <v>101</v>
      </c>
      <c r="BS835" t="s">
        <v>15544</v>
      </c>
      <c r="BT835" t="str">
        <f>HYPERLINK("https%3A%2F%2Fwww.webofscience.com%2Fwos%2Fwoscc%2Ffull-record%2FWOS:000307043400001","View Full Record in Web of Science")</f>
        <v>View Full Record in Web of Science</v>
      </c>
    </row>
    <row r="836" spans="1:72" x14ac:dyDescent="0.15">
      <c r="A836" t="s">
        <v>12086</v>
      </c>
      <c r="B836" t="s">
        <v>15545</v>
      </c>
      <c r="C836" t="s">
        <v>74</v>
      </c>
      <c r="D836" t="s">
        <v>15546</v>
      </c>
      <c r="E836" t="s">
        <v>74</v>
      </c>
      <c r="F836" t="s">
        <v>15547</v>
      </c>
      <c r="G836" t="s">
        <v>74</v>
      </c>
      <c r="H836" t="s">
        <v>74</v>
      </c>
      <c r="I836" t="s">
        <v>15548</v>
      </c>
      <c r="J836" t="s">
        <v>15549</v>
      </c>
      <c r="K836" t="s">
        <v>15550</v>
      </c>
      <c r="L836" t="s">
        <v>74</v>
      </c>
      <c r="M836" t="s">
        <v>78</v>
      </c>
      <c r="N836" t="s">
        <v>12093</v>
      </c>
      <c r="O836" t="s">
        <v>15551</v>
      </c>
      <c r="P836" t="s">
        <v>15552</v>
      </c>
      <c r="Q836" t="s">
        <v>15553</v>
      </c>
      <c r="R836" t="s">
        <v>74</v>
      </c>
      <c r="S836" t="s">
        <v>74</v>
      </c>
      <c r="T836" t="s">
        <v>15554</v>
      </c>
      <c r="U836" t="s">
        <v>15555</v>
      </c>
      <c r="V836" t="s">
        <v>15556</v>
      </c>
      <c r="W836" t="s">
        <v>15557</v>
      </c>
      <c r="X836" t="s">
        <v>15558</v>
      </c>
      <c r="Y836" t="s">
        <v>15559</v>
      </c>
      <c r="Z836" t="s">
        <v>15560</v>
      </c>
      <c r="AA836" t="s">
        <v>74</v>
      </c>
      <c r="AB836" t="s">
        <v>74</v>
      </c>
      <c r="AC836" t="s">
        <v>15561</v>
      </c>
      <c r="AD836" t="s">
        <v>15562</v>
      </c>
      <c r="AE836" t="s">
        <v>15563</v>
      </c>
      <c r="AF836" t="s">
        <v>74</v>
      </c>
      <c r="AG836">
        <v>60</v>
      </c>
      <c r="AH836">
        <v>7</v>
      </c>
      <c r="AI836">
        <v>8</v>
      </c>
      <c r="AJ836">
        <v>0</v>
      </c>
      <c r="AK836">
        <v>15</v>
      </c>
      <c r="AL836" t="s">
        <v>655</v>
      </c>
      <c r="AM836" t="s">
        <v>1442</v>
      </c>
      <c r="AN836" t="s">
        <v>15564</v>
      </c>
      <c r="AO836" t="s">
        <v>15565</v>
      </c>
      <c r="AP836" t="s">
        <v>74</v>
      </c>
      <c r="AQ836" t="s">
        <v>15566</v>
      </c>
      <c r="AR836" t="s">
        <v>15567</v>
      </c>
      <c r="AS836" t="s">
        <v>15568</v>
      </c>
      <c r="AT836" t="s">
        <v>74</v>
      </c>
      <c r="AU836">
        <v>2012</v>
      </c>
      <c r="AV836" t="s">
        <v>74</v>
      </c>
      <c r="AW836" t="s">
        <v>74</v>
      </c>
      <c r="AX836" t="s">
        <v>74</v>
      </c>
      <c r="AY836" t="s">
        <v>74</v>
      </c>
      <c r="AZ836" t="s">
        <v>74</v>
      </c>
      <c r="BA836" t="s">
        <v>74</v>
      </c>
      <c r="BB836">
        <v>19</v>
      </c>
      <c r="BC836" t="s">
        <v>1734</v>
      </c>
      <c r="BD836" t="s">
        <v>74</v>
      </c>
      <c r="BE836" t="s">
        <v>15569</v>
      </c>
      <c r="BF836" t="str">
        <f>HYPERLINK("http://dx.doi.org/10.1007/978-94-007-1939-2_3","http://dx.doi.org/10.1007/978-94-007-1939-2_3")</f>
        <v>http://dx.doi.org/10.1007/978-94-007-1939-2_3</v>
      </c>
      <c r="BG836" t="s">
        <v>74</v>
      </c>
      <c r="BH836" t="s">
        <v>74</v>
      </c>
      <c r="BI836">
        <v>4</v>
      </c>
      <c r="BJ836" t="s">
        <v>15570</v>
      </c>
      <c r="BK836" t="s">
        <v>12109</v>
      </c>
      <c r="BL836" t="s">
        <v>15570</v>
      </c>
      <c r="BM836" t="s">
        <v>15571</v>
      </c>
      <c r="BN836" t="s">
        <v>74</v>
      </c>
      <c r="BO836" t="s">
        <v>74</v>
      </c>
      <c r="BP836" t="s">
        <v>74</v>
      </c>
      <c r="BQ836" t="s">
        <v>74</v>
      </c>
      <c r="BR836" t="s">
        <v>101</v>
      </c>
      <c r="BS836" t="s">
        <v>15572</v>
      </c>
      <c r="BT836" t="str">
        <f>HYPERLINK("https%3A%2F%2Fwww.webofscience.com%2Fwos%2Fwoscc%2Ffull-record%2FWOS:000307200400003","View Full Record in Web of Science")</f>
        <v>View Full Record in Web of Science</v>
      </c>
    </row>
    <row r="837" spans="1:72" x14ac:dyDescent="0.15">
      <c r="A837" t="s">
        <v>12086</v>
      </c>
      <c r="B837" t="s">
        <v>15573</v>
      </c>
      <c r="C837" t="s">
        <v>74</v>
      </c>
      <c r="D837" t="s">
        <v>15546</v>
      </c>
      <c r="E837" t="s">
        <v>74</v>
      </c>
      <c r="F837" t="s">
        <v>15574</v>
      </c>
      <c r="G837" t="s">
        <v>74</v>
      </c>
      <c r="H837" t="s">
        <v>74</v>
      </c>
      <c r="I837" t="s">
        <v>15575</v>
      </c>
      <c r="J837" t="s">
        <v>15549</v>
      </c>
      <c r="K837" t="s">
        <v>15550</v>
      </c>
      <c r="L837" t="s">
        <v>74</v>
      </c>
      <c r="M837" t="s">
        <v>78</v>
      </c>
      <c r="N837" t="s">
        <v>12093</v>
      </c>
      <c r="O837" t="s">
        <v>15551</v>
      </c>
      <c r="P837" t="s">
        <v>15552</v>
      </c>
      <c r="Q837" t="s">
        <v>15553</v>
      </c>
      <c r="R837" t="s">
        <v>74</v>
      </c>
      <c r="S837" t="s">
        <v>74</v>
      </c>
      <c r="T837" t="s">
        <v>15576</v>
      </c>
      <c r="U837" t="s">
        <v>15577</v>
      </c>
      <c r="V837" t="s">
        <v>15578</v>
      </c>
      <c r="W837" t="s">
        <v>15579</v>
      </c>
      <c r="X837" t="s">
        <v>15580</v>
      </c>
      <c r="Y837" t="s">
        <v>15581</v>
      </c>
      <c r="Z837" t="s">
        <v>15582</v>
      </c>
      <c r="AA837" t="s">
        <v>15583</v>
      </c>
      <c r="AB837" t="s">
        <v>15584</v>
      </c>
      <c r="AC837" t="s">
        <v>15585</v>
      </c>
      <c r="AD837" t="s">
        <v>15586</v>
      </c>
      <c r="AE837" t="s">
        <v>15587</v>
      </c>
      <c r="AF837" t="s">
        <v>74</v>
      </c>
      <c r="AG837">
        <v>56</v>
      </c>
      <c r="AH837">
        <v>1</v>
      </c>
      <c r="AI837">
        <v>1</v>
      </c>
      <c r="AJ837">
        <v>0</v>
      </c>
      <c r="AK837">
        <v>3</v>
      </c>
      <c r="AL837" t="s">
        <v>655</v>
      </c>
      <c r="AM837" t="s">
        <v>1442</v>
      </c>
      <c r="AN837" t="s">
        <v>15564</v>
      </c>
      <c r="AO837" t="s">
        <v>15565</v>
      </c>
      <c r="AP837" t="s">
        <v>74</v>
      </c>
      <c r="AQ837" t="s">
        <v>15566</v>
      </c>
      <c r="AR837" t="s">
        <v>15567</v>
      </c>
      <c r="AS837" t="s">
        <v>15568</v>
      </c>
      <c r="AT837" t="s">
        <v>74</v>
      </c>
      <c r="AU837">
        <v>2012</v>
      </c>
      <c r="AV837" t="s">
        <v>74</v>
      </c>
      <c r="AW837" t="s">
        <v>74</v>
      </c>
      <c r="AX837" t="s">
        <v>74</v>
      </c>
      <c r="AY837" t="s">
        <v>74</v>
      </c>
      <c r="AZ837" t="s">
        <v>74</v>
      </c>
      <c r="BA837" t="s">
        <v>74</v>
      </c>
      <c r="BB837">
        <v>111</v>
      </c>
      <c r="BC837" t="s">
        <v>1734</v>
      </c>
      <c r="BD837" t="s">
        <v>74</v>
      </c>
      <c r="BE837" t="s">
        <v>15588</v>
      </c>
      <c r="BF837" t="str">
        <f>HYPERLINK("http://dx.doi.org/10.1007/978-94-007-1939-2_11","http://dx.doi.org/10.1007/978-94-007-1939-2_11")</f>
        <v>http://dx.doi.org/10.1007/978-94-007-1939-2_11</v>
      </c>
      <c r="BG837" t="s">
        <v>74</v>
      </c>
      <c r="BH837" t="s">
        <v>74</v>
      </c>
      <c r="BI837">
        <v>6</v>
      </c>
      <c r="BJ837" t="s">
        <v>15570</v>
      </c>
      <c r="BK837" t="s">
        <v>12109</v>
      </c>
      <c r="BL837" t="s">
        <v>15570</v>
      </c>
      <c r="BM837" t="s">
        <v>15571</v>
      </c>
      <c r="BN837" t="s">
        <v>74</v>
      </c>
      <c r="BO837" t="s">
        <v>74</v>
      </c>
      <c r="BP837" t="s">
        <v>74</v>
      </c>
      <c r="BQ837" t="s">
        <v>74</v>
      </c>
      <c r="BR837" t="s">
        <v>101</v>
      </c>
      <c r="BS837" t="s">
        <v>15589</v>
      </c>
      <c r="BT837" t="str">
        <f>HYPERLINK("https%3A%2F%2Fwww.webofscience.com%2Fwos%2Fwoscc%2Ffull-record%2FWOS:000307200400011","View Full Record in Web of Science")</f>
        <v>View Full Record in Web of Science</v>
      </c>
    </row>
    <row r="838" spans="1:72" x14ac:dyDescent="0.15">
      <c r="A838" t="s">
        <v>12086</v>
      </c>
      <c r="B838" t="s">
        <v>15590</v>
      </c>
      <c r="C838" t="s">
        <v>74</v>
      </c>
      <c r="D838" t="s">
        <v>15591</v>
      </c>
      <c r="E838" t="s">
        <v>74</v>
      </c>
      <c r="F838" t="s">
        <v>15592</v>
      </c>
      <c r="G838" t="s">
        <v>74</v>
      </c>
      <c r="H838" t="s">
        <v>74</v>
      </c>
      <c r="I838" t="s">
        <v>15593</v>
      </c>
      <c r="J838" t="s">
        <v>15594</v>
      </c>
      <c r="K838" t="s">
        <v>15595</v>
      </c>
      <c r="L838" t="s">
        <v>74</v>
      </c>
      <c r="M838" t="s">
        <v>78</v>
      </c>
      <c r="N838" t="s">
        <v>12093</v>
      </c>
      <c r="O838" t="s">
        <v>15596</v>
      </c>
      <c r="P838" t="s">
        <v>15597</v>
      </c>
      <c r="Q838" t="s">
        <v>15598</v>
      </c>
      <c r="R838" t="s">
        <v>74</v>
      </c>
      <c r="S838" t="s">
        <v>74</v>
      </c>
      <c r="T838" t="s">
        <v>15599</v>
      </c>
      <c r="U838" t="s">
        <v>74</v>
      </c>
      <c r="V838" t="s">
        <v>15600</v>
      </c>
      <c r="W838" t="s">
        <v>15601</v>
      </c>
      <c r="X838" t="s">
        <v>15602</v>
      </c>
      <c r="Y838" t="s">
        <v>15603</v>
      </c>
      <c r="Z838" t="s">
        <v>15604</v>
      </c>
      <c r="AA838" t="s">
        <v>74</v>
      </c>
      <c r="AB838" t="s">
        <v>74</v>
      </c>
      <c r="AC838" t="s">
        <v>74</v>
      </c>
      <c r="AD838" t="s">
        <v>74</v>
      </c>
      <c r="AE838" t="s">
        <v>74</v>
      </c>
      <c r="AF838" t="s">
        <v>74</v>
      </c>
      <c r="AG838">
        <v>7</v>
      </c>
      <c r="AH838">
        <v>3</v>
      </c>
      <c r="AI838">
        <v>3</v>
      </c>
      <c r="AJ838">
        <v>1</v>
      </c>
      <c r="AK838">
        <v>7</v>
      </c>
      <c r="AL838" t="s">
        <v>12455</v>
      </c>
      <c r="AM838" t="s">
        <v>14659</v>
      </c>
      <c r="AN838" t="s">
        <v>14660</v>
      </c>
      <c r="AO838" t="s">
        <v>15605</v>
      </c>
      <c r="AP838" t="s">
        <v>74</v>
      </c>
      <c r="AQ838" t="s">
        <v>74</v>
      </c>
      <c r="AR838" t="s">
        <v>15606</v>
      </c>
      <c r="AS838" t="s">
        <v>74</v>
      </c>
      <c r="AT838" t="s">
        <v>74</v>
      </c>
      <c r="AU838">
        <v>2012</v>
      </c>
      <c r="AV838">
        <v>500</v>
      </c>
      <c r="AW838" t="s">
        <v>74</v>
      </c>
      <c r="AX838" t="s">
        <v>74</v>
      </c>
      <c r="AY838" t="s">
        <v>74</v>
      </c>
      <c r="AZ838" t="s">
        <v>74</v>
      </c>
      <c r="BA838" t="s">
        <v>74</v>
      </c>
      <c r="BB838">
        <v>475</v>
      </c>
      <c r="BC838">
        <v>480</v>
      </c>
      <c r="BD838" t="s">
        <v>74</v>
      </c>
      <c r="BE838" t="s">
        <v>15607</v>
      </c>
      <c r="BF838" t="str">
        <f>HYPERLINK("http://dx.doi.org/10.4028/www.scientific.net/KEM.500.475","http://dx.doi.org/10.4028/www.scientific.net/KEM.500.475")</f>
        <v>http://dx.doi.org/10.4028/www.scientific.net/KEM.500.475</v>
      </c>
      <c r="BG838" t="s">
        <v>74</v>
      </c>
      <c r="BH838" t="s">
        <v>74</v>
      </c>
      <c r="BI838">
        <v>6</v>
      </c>
      <c r="BJ838" t="s">
        <v>15608</v>
      </c>
      <c r="BK838" t="s">
        <v>12109</v>
      </c>
      <c r="BL838" t="s">
        <v>15609</v>
      </c>
      <c r="BM838" t="s">
        <v>15610</v>
      </c>
      <c r="BN838" t="s">
        <v>74</v>
      </c>
      <c r="BO838" t="s">
        <v>74</v>
      </c>
      <c r="BP838" t="s">
        <v>74</v>
      </c>
      <c r="BQ838" t="s">
        <v>74</v>
      </c>
      <c r="BR838" t="s">
        <v>101</v>
      </c>
      <c r="BS838" t="s">
        <v>15611</v>
      </c>
      <c r="BT838" t="str">
        <f>HYPERLINK("https%3A%2F%2Fwww.webofscience.com%2Fwos%2Fwoscc%2Ffull-record%2FWOS:000306578400083","View Full Record in Web of Science")</f>
        <v>View Full Record in Web of Science</v>
      </c>
    </row>
    <row r="839" spans="1:72" x14ac:dyDescent="0.15">
      <c r="A839" t="s">
        <v>72</v>
      </c>
      <c r="B839" t="s">
        <v>15612</v>
      </c>
      <c r="C839" t="s">
        <v>74</v>
      </c>
      <c r="D839" t="s">
        <v>74</v>
      </c>
      <c r="E839" t="s">
        <v>74</v>
      </c>
      <c r="F839" t="s">
        <v>15613</v>
      </c>
      <c r="G839" t="s">
        <v>74</v>
      </c>
      <c r="H839" t="s">
        <v>74</v>
      </c>
      <c r="I839" t="s">
        <v>15614</v>
      </c>
      <c r="J839" t="s">
        <v>13258</v>
      </c>
      <c r="K839" t="s">
        <v>74</v>
      </c>
      <c r="L839" t="s">
        <v>74</v>
      </c>
      <c r="M839" t="s">
        <v>78</v>
      </c>
      <c r="N839" t="s">
        <v>79</v>
      </c>
      <c r="O839" t="s">
        <v>74</v>
      </c>
      <c r="P839" t="s">
        <v>74</v>
      </c>
      <c r="Q839" t="s">
        <v>74</v>
      </c>
      <c r="R839" t="s">
        <v>74</v>
      </c>
      <c r="S839" t="s">
        <v>74</v>
      </c>
      <c r="T839" t="s">
        <v>74</v>
      </c>
      <c r="U839" t="s">
        <v>15615</v>
      </c>
      <c r="V839" t="s">
        <v>15616</v>
      </c>
      <c r="W839" t="s">
        <v>15617</v>
      </c>
      <c r="X839" t="s">
        <v>15618</v>
      </c>
      <c r="Y839" t="s">
        <v>15619</v>
      </c>
      <c r="Z839" t="s">
        <v>13288</v>
      </c>
      <c r="AA839" t="s">
        <v>74</v>
      </c>
      <c r="AB839" t="s">
        <v>15620</v>
      </c>
      <c r="AC839" t="s">
        <v>15621</v>
      </c>
      <c r="AD839" t="s">
        <v>15622</v>
      </c>
      <c r="AE839" t="s">
        <v>15623</v>
      </c>
      <c r="AF839" t="s">
        <v>74</v>
      </c>
      <c r="AG839">
        <v>53</v>
      </c>
      <c r="AH839">
        <v>24</v>
      </c>
      <c r="AI839">
        <v>25</v>
      </c>
      <c r="AJ839">
        <v>0</v>
      </c>
      <c r="AK839">
        <v>35</v>
      </c>
      <c r="AL839" t="s">
        <v>13270</v>
      </c>
      <c r="AM839" t="s">
        <v>13271</v>
      </c>
      <c r="AN839" t="s">
        <v>13272</v>
      </c>
      <c r="AO839" t="s">
        <v>13273</v>
      </c>
      <c r="AP839" t="s">
        <v>13274</v>
      </c>
      <c r="AQ839" t="s">
        <v>74</v>
      </c>
      <c r="AR839" t="s">
        <v>13258</v>
      </c>
      <c r="AS839" t="s">
        <v>13275</v>
      </c>
      <c r="AT839" t="s">
        <v>74</v>
      </c>
      <c r="AU839">
        <v>2012</v>
      </c>
      <c r="AV839">
        <v>9</v>
      </c>
      <c r="AW839">
        <v>7</v>
      </c>
      <c r="AX839" t="s">
        <v>74</v>
      </c>
      <c r="AY839" t="s">
        <v>74</v>
      </c>
      <c r="AZ839" t="s">
        <v>74</v>
      </c>
      <c r="BA839" t="s">
        <v>74</v>
      </c>
      <c r="BB839">
        <v>2719</v>
      </c>
      <c r="BC839">
        <v>2736</v>
      </c>
      <c r="BD839" t="s">
        <v>74</v>
      </c>
      <c r="BE839" t="s">
        <v>15624</v>
      </c>
      <c r="BF839" t="str">
        <f>HYPERLINK("http://dx.doi.org/10.5194/bg-9-2719-2012","http://dx.doi.org/10.5194/bg-9-2719-2012")</f>
        <v>http://dx.doi.org/10.5194/bg-9-2719-2012</v>
      </c>
      <c r="BG839" t="s">
        <v>74</v>
      </c>
      <c r="BH839" t="s">
        <v>74</v>
      </c>
      <c r="BI839">
        <v>18</v>
      </c>
      <c r="BJ839" t="s">
        <v>13277</v>
      </c>
      <c r="BK839" t="s">
        <v>99</v>
      </c>
      <c r="BL839" t="s">
        <v>6665</v>
      </c>
      <c r="BM839" t="s">
        <v>15625</v>
      </c>
      <c r="BN839" t="s">
        <v>74</v>
      </c>
      <c r="BO839" t="s">
        <v>3496</v>
      </c>
      <c r="BP839" t="s">
        <v>74</v>
      </c>
      <c r="BQ839" t="s">
        <v>74</v>
      </c>
      <c r="BR839" t="s">
        <v>101</v>
      </c>
      <c r="BS839" t="s">
        <v>15626</v>
      </c>
      <c r="BT839" t="str">
        <f>HYPERLINK("https%3A%2F%2Fwww.webofscience.com%2Fwos%2Fwoscc%2Ffull-record%2FWOS:000306976100025","View Full Record in Web of Science")</f>
        <v>View Full Record in Web of Science</v>
      </c>
    </row>
    <row r="840" spans="1:72" x14ac:dyDescent="0.15">
      <c r="A840" t="s">
        <v>72</v>
      </c>
      <c r="B840" t="s">
        <v>15627</v>
      </c>
      <c r="C840" t="s">
        <v>74</v>
      </c>
      <c r="D840" t="s">
        <v>74</v>
      </c>
      <c r="E840" t="s">
        <v>74</v>
      </c>
      <c r="F840" t="s">
        <v>15628</v>
      </c>
      <c r="G840" t="s">
        <v>74</v>
      </c>
      <c r="H840" t="s">
        <v>74</v>
      </c>
      <c r="I840" t="s">
        <v>15629</v>
      </c>
      <c r="J840" t="s">
        <v>14941</v>
      </c>
      <c r="K840" t="s">
        <v>74</v>
      </c>
      <c r="L840" t="s">
        <v>74</v>
      </c>
      <c r="M840" t="s">
        <v>78</v>
      </c>
      <c r="N840" t="s">
        <v>79</v>
      </c>
      <c r="O840" t="s">
        <v>74</v>
      </c>
      <c r="P840" t="s">
        <v>74</v>
      </c>
      <c r="Q840" t="s">
        <v>74</v>
      </c>
      <c r="R840" t="s">
        <v>74</v>
      </c>
      <c r="S840" t="s">
        <v>74</v>
      </c>
      <c r="T840" t="s">
        <v>15405</v>
      </c>
      <c r="U840" t="s">
        <v>15630</v>
      </c>
      <c r="V840" t="s">
        <v>15631</v>
      </c>
      <c r="W840" t="s">
        <v>15632</v>
      </c>
      <c r="X840" t="s">
        <v>15633</v>
      </c>
      <c r="Y840" t="s">
        <v>15634</v>
      </c>
      <c r="Z840" t="s">
        <v>15635</v>
      </c>
      <c r="AA840" t="s">
        <v>15636</v>
      </c>
      <c r="AB840" t="s">
        <v>15637</v>
      </c>
      <c r="AC840" t="s">
        <v>15638</v>
      </c>
      <c r="AD840" t="s">
        <v>15639</v>
      </c>
      <c r="AE840" t="s">
        <v>15640</v>
      </c>
      <c r="AF840" t="s">
        <v>74</v>
      </c>
      <c r="AG840">
        <v>138</v>
      </c>
      <c r="AH840">
        <v>60</v>
      </c>
      <c r="AI840">
        <v>66</v>
      </c>
      <c r="AJ840">
        <v>1</v>
      </c>
      <c r="AK840">
        <v>36</v>
      </c>
      <c r="AL840" t="s">
        <v>13270</v>
      </c>
      <c r="AM840" t="s">
        <v>13271</v>
      </c>
      <c r="AN840" t="s">
        <v>13272</v>
      </c>
      <c r="AO840" t="s">
        <v>14954</v>
      </c>
      <c r="AP840" t="s">
        <v>14955</v>
      </c>
      <c r="AQ840" t="s">
        <v>74</v>
      </c>
      <c r="AR840" t="s">
        <v>14956</v>
      </c>
      <c r="AS840" t="s">
        <v>14957</v>
      </c>
      <c r="AT840" t="s">
        <v>74</v>
      </c>
      <c r="AU840">
        <v>2012</v>
      </c>
      <c r="AV840">
        <v>30</v>
      </c>
      <c r="AW840">
        <v>7</v>
      </c>
      <c r="AX840" t="s">
        <v>74</v>
      </c>
      <c r="AY840" t="s">
        <v>74</v>
      </c>
      <c r="AZ840" t="s">
        <v>74</v>
      </c>
      <c r="BA840" t="s">
        <v>74</v>
      </c>
      <c r="BB840">
        <v>1055</v>
      </c>
      <c r="BC840">
        <v>1073</v>
      </c>
      <c r="BD840" t="s">
        <v>74</v>
      </c>
      <c r="BE840" t="s">
        <v>15641</v>
      </c>
      <c r="BF840" t="str">
        <f>HYPERLINK("http://dx.doi.org/10.5194/angeo-30-1055-2012","http://dx.doi.org/10.5194/angeo-30-1055-2012")</f>
        <v>http://dx.doi.org/10.5194/angeo-30-1055-2012</v>
      </c>
      <c r="BG840" t="s">
        <v>74</v>
      </c>
      <c r="BH840" t="s">
        <v>74</v>
      </c>
      <c r="BI840">
        <v>19</v>
      </c>
      <c r="BJ840" t="s">
        <v>14959</v>
      </c>
      <c r="BK840" t="s">
        <v>99</v>
      </c>
      <c r="BL840" t="s">
        <v>14960</v>
      </c>
      <c r="BM840" t="s">
        <v>15642</v>
      </c>
      <c r="BN840" t="s">
        <v>74</v>
      </c>
      <c r="BO840" t="s">
        <v>521</v>
      </c>
      <c r="BP840" t="s">
        <v>74</v>
      </c>
      <c r="BQ840" t="s">
        <v>74</v>
      </c>
      <c r="BR840" t="s">
        <v>101</v>
      </c>
      <c r="BS840" t="s">
        <v>15643</v>
      </c>
      <c r="BT840" t="str">
        <f>HYPERLINK("https%3A%2F%2Fwww.webofscience.com%2Fwos%2Fwoscc%2Ffull-record%2FWOS:000306975300003","View Full Record in Web of Science")</f>
        <v>View Full Record in Web of Science</v>
      </c>
    </row>
    <row r="841" spans="1:72" x14ac:dyDescent="0.15">
      <c r="A841" t="s">
        <v>72</v>
      </c>
      <c r="B841" t="s">
        <v>15644</v>
      </c>
      <c r="C841" t="s">
        <v>74</v>
      </c>
      <c r="D841" t="s">
        <v>74</v>
      </c>
      <c r="E841" t="s">
        <v>74</v>
      </c>
      <c r="F841" t="s">
        <v>15645</v>
      </c>
      <c r="G841" t="s">
        <v>74</v>
      </c>
      <c r="H841" t="s">
        <v>74</v>
      </c>
      <c r="I841" t="s">
        <v>15646</v>
      </c>
      <c r="J841" t="s">
        <v>15647</v>
      </c>
      <c r="K841" t="s">
        <v>74</v>
      </c>
      <c r="L841" t="s">
        <v>74</v>
      </c>
      <c r="M841" t="s">
        <v>78</v>
      </c>
      <c r="N841" t="s">
        <v>79</v>
      </c>
      <c r="O841" t="s">
        <v>74</v>
      </c>
      <c r="P841" t="s">
        <v>74</v>
      </c>
      <c r="Q841" t="s">
        <v>74</v>
      </c>
      <c r="R841" t="s">
        <v>74</v>
      </c>
      <c r="S841" t="s">
        <v>74</v>
      </c>
      <c r="T841" t="s">
        <v>15648</v>
      </c>
      <c r="U841" t="s">
        <v>15649</v>
      </c>
      <c r="V841" t="s">
        <v>15650</v>
      </c>
      <c r="W841" t="s">
        <v>15651</v>
      </c>
      <c r="X841" t="s">
        <v>15652</v>
      </c>
      <c r="Y841" t="s">
        <v>15653</v>
      </c>
      <c r="Z841" t="s">
        <v>15654</v>
      </c>
      <c r="AA841" t="s">
        <v>74</v>
      </c>
      <c r="AB841" t="s">
        <v>15655</v>
      </c>
      <c r="AC841" t="s">
        <v>15656</v>
      </c>
      <c r="AD841" t="s">
        <v>15656</v>
      </c>
      <c r="AE841" t="s">
        <v>15657</v>
      </c>
      <c r="AF841" t="s">
        <v>74</v>
      </c>
      <c r="AG841">
        <v>124</v>
      </c>
      <c r="AH841">
        <v>25</v>
      </c>
      <c r="AI841">
        <v>32</v>
      </c>
      <c r="AJ841">
        <v>0</v>
      </c>
      <c r="AK841">
        <v>9</v>
      </c>
      <c r="AL841" t="s">
        <v>15658</v>
      </c>
      <c r="AM841" t="s">
        <v>15659</v>
      </c>
      <c r="AN841" t="s">
        <v>15660</v>
      </c>
      <c r="AO841" t="s">
        <v>15661</v>
      </c>
      <c r="AP841" t="s">
        <v>74</v>
      </c>
      <c r="AQ841" t="s">
        <v>74</v>
      </c>
      <c r="AR841" t="s">
        <v>15662</v>
      </c>
      <c r="AS841" t="s">
        <v>15663</v>
      </c>
      <c r="AT841" t="s">
        <v>74</v>
      </c>
      <c r="AU841">
        <v>2012</v>
      </c>
      <c r="AV841">
        <v>69</v>
      </c>
      <c r="AW841">
        <v>1</v>
      </c>
      <c r="AX841" t="s">
        <v>74</v>
      </c>
      <c r="AY841" t="s">
        <v>74</v>
      </c>
      <c r="AZ841" t="s">
        <v>74</v>
      </c>
      <c r="BA841" t="s">
        <v>74</v>
      </c>
      <c r="BB841">
        <v>57</v>
      </c>
      <c r="BC841">
        <v>87</v>
      </c>
      <c r="BD841" t="s">
        <v>74</v>
      </c>
      <c r="BE841" t="s">
        <v>15664</v>
      </c>
      <c r="BF841" t="str">
        <f>HYPERLINK("http://dx.doi.org/10.4067/S0717-66432012000100007","http://dx.doi.org/10.4067/S0717-66432012000100007")</f>
        <v>http://dx.doi.org/10.4067/S0717-66432012000100007</v>
      </c>
      <c r="BG841" t="s">
        <v>74</v>
      </c>
      <c r="BH841" t="s">
        <v>74</v>
      </c>
      <c r="BI841">
        <v>31</v>
      </c>
      <c r="BJ841" t="s">
        <v>396</v>
      </c>
      <c r="BK841" t="s">
        <v>99</v>
      </c>
      <c r="BL841" t="s">
        <v>396</v>
      </c>
      <c r="BM841" t="s">
        <v>15665</v>
      </c>
      <c r="BN841" t="s">
        <v>74</v>
      </c>
      <c r="BO841" t="s">
        <v>9400</v>
      </c>
      <c r="BP841" t="s">
        <v>74</v>
      </c>
      <c r="BQ841" t="s">
        <v>74</v>
      </c>
      <c r="BR841" t="s">
        <v>101</v>
      </c>
      <c r="BS841" t="s">
        <v>15666</v>
      </c>
      <c r="BT841" t="str">
        <f>HYPERLINK("https%3A%2F%2Fwww.webofscience.com%2Fwos%2Fwoscc%2Ffull-record%2FWOS:000306532900007","View Full Record in Web of Science")</f>
        <v>View Full Record in Web of Science</v>
      </c>
    </row>
    <row r="842" spans="1:72" x14ac:dyDescent="0.15">
      <c r="A842" t="s">
        <v>72</v>
      </c>
      <c r="B842" t="s">
        <v>15667</v>
      </c>
      <c r="C842" t="s">
        <v>74</v>
      </c>
      <c r="D842" t="s">
        <v>74</v>
      </c>
      <c r="E842" t="s">
        <v>74</v>
      </c>
      <c r="F842" t="s">
        <v>15668</v>
      </c>
      <c r="G842" t="s">
        <v>74</v>
      </c>
      <c r="H842" t="s">
        <v>74</v>
      </c>
      <c r="I842" t="s">
        <v>15669</v>
      </c>
      <c r="J842" t="s">
        <v>15670</v>
      </c>
      <c r="K842" t="s">
        <v>74</v>
      </c>
      <c r="L842" t="s">
        <v>74</v>
      </c>
      <c r="M842" t="s">
        <v>78</v>
      </c>
      <c r="N842" t="s">
        <v>79</v>
      </c>
      <c r="O842" t="s">
        <v>74</v>
      </c>
      <c r="P842" t="s">
        <v>74</v>
      </c>
      <c r="Q842" t="s">
        <v>74</v>
      </c>
      <c r="R842" t="s">
        <v>74</v>
      </c>
      <c r="S842" t="s">
        <v>74</v>
      </c>
      <c r="T842" t="s">
        <v>15671</v>
      </c>
      <c r="U842" t="s">
        <v>15672</v>
      </c>
      <c r="V842" t="s">
        <v>15673</v>
      </c>
      <c r="W842" t="s">
        <v>15674</v>
      </c>
      <c r="X842" t="s">
        <v>15675</v>
      </c>
      <c r="Y842" t="s">
        <v>15676</v>
      </c>
      <c r="Z842" t="s">
        <v>15677</v>
      </c>
      <c r="AA842" t="s">
        <v>15678</v>
      </c>
      <c r="AB842" t="s">
        <v>15679</v>
      </c>
      <c r="AC842" t="s">
        <v>74</v>
      </c>
      <c r="AD842" t="s">
        <v>74</v>
      </c>
      <c r="AE842" t="s">
        <v>74</v>
      </c>
      <c r="AF842" t="s">
        <v>74</v>
      </c>
      <c r="AG842">
        <v>64</v>
      </c>
      <c r="AH842">
        <v>8</v>
      </c>
      <c r="AI842">
        <v>9</v>
      </c>
      <c r="AJ842">
        <v>0</v>
      </c>
      <c r="AK842">
        <v>40</v>
      </c>
      <c r="AL842" t="s">
        <v>627</v>
      </c>
      <c r="AM842" t="s">
        <v>628</v>
      </c>
      <c r="AN842" t="s">
        <v>629</v>
      </c>
      <c r="AO842" t="s">
        <v>15680</v>
      </c>
      <c r="AP842" t="s">
        <v>15681</v>
      </c>
      <c r="AQ842" t="s">
        <v>74</v>
      </c>
      <c r="AR842" t="s">
        <v>15682</v>
      </c>
      <c r="AS842" t="s">
        <v>15683</v>
      </c>
      <c r="AT842" t="s">
        <v>74</v>
      </c>
      <c r="AU842">
        <v>2012</v>
      </c>
      <c r="AV842">
        <v>21</v>
      </c>
      <c r="AW842">
        <v>5</v>
      </c>
      <c r="AX842" t="s">
        <v>74</v>
      </c>
      <c r="AY842" t="s">
        <v>74</v>
      </c>
      <c r="AZ842" t="s">
        <v>74</v>
      </c>
      <c r="BA842" t="s">
        <v>74</v>
      </c>
      <c r="BB842">
        <v>336</v>
      </c>
      <c r="BC842">
        <v>347</v>
      </c>
      <c r="BD842" t="s">
        <v>74</v>
      </c>
      <c r="BE842" t="s">
        <v>15684</v>
      </c>
      <c r="BF842" t="str">
        <f>HYPERLINK("http://dx.doi.org/10.1111/j.1365-2419.2012.00628.x","http://dx.doi.org/10.1111/j.1365-2419.2012.00628.x")</f>
        <v>http://dx.doi.org/10.1111/j.1365-2419.2012.00628.x</v>
      </c>
      <c r="BG842" t="s">
        <v>74</v>
      </c>
      <c r="BH842" t="s">
        <v>74</v>
      </c>
      <c r="BI842">
        <v>12</v>
      </c>
      <c r="BJ842" t="s">
        <v>15685</v>
      </c>
      <c r="BK842" t="s">
        <v>99</v>
      </c>
      <c r="BL842" t="s">
        <v>15685</v>
      </c>
      <c r="BM842" t="s">
        <v>15686</v>
      </c>
      <c r="BN842" t="s">
        <v>74</v>
      </c>
      <c r="BO842" t="s">
        <v>74</v>
      </c>
      <c r="BP842" t="s">
        <v>74</v>
      </c>
      <c r="BQ842" t="s">
        <v>74</v>
      </c>
      <c r="BR842" t="s">
        <v>101</v>
      </c>
      <c r="BS842" t="s">
        <v>15687</v>
      </c>
      <c r="BT842" t="str">
        <f>HYPERLINK("https%3A%2F%2Fwww.webofscience.com%2Fwos%2Fwoscc%2Ffull-record%2FWOS:000306736000002","View Full Record in Web of Science")</f>
        <v>View Full Record in Web of Science</v>
      </c>
    </row>
    <row r="843" spans="1:72" x14ac:dyDescent="0.15">
      <c r="A843" t="s">
        <v>72</v>
      </c>
      <c r="B843" t="s">
        <v>15688</v>
      </c>
      <c r="C843" t="s">
        <v>74</v>
      </c>
      <c r="D843" t="s">
        <v>74</v>
      </c>
      <c r="E843" t="s">
        <v>74</v>
      </c>
      <c r="F843" t="s">
        <v>15689</v>
      </c>
      <c r="G843" t="s">
        <v>74</v>
      </c>
      <c r="H843" t="s">
        <v>74</v>
      </c>
      <c r="I843" t="s">
        <v>15690</v>
      </c>
      <c r="J843" t="s">
        <v>13628</v>
      </c>
      <c r="K843" t="s">
        <v>74</v>
      </c>
      <c r="L843" t="s">
        <v>74</v>
      </c>
      <c r="M843" t="s">
        <v>78</v>
      </c>
      <c r="N843" t="s">
        <v>79</v>
      </c>
      <c r="O843" t="s">
        <v>74</v>
      </c>
      <c r="P843" t="s">
        <v>74</v>
      </c>
      <c r="Q843" t="s">
        <v>74</v>
      </c>
      <c r="R843" t="s">
        <v>74</v>
      </c>
      <c r="S843" t="s">
        <v>74</v>
      </c>
      <c r="T843" t="s">
        <v>15691</v>
      </c>
      <c r="U843" t="s">
        <v>15692</v>
      </c>
      <c r="V843" t="s">
        <v>15693</v>
      </c>
      <c r="W843" t="s">
        <v>15694</v>
      </c>
      <c r="X843" t="s">
        <v>15695</v>
      </c>
      <c r="Y843" t="s">
        <v>15696</v>
      </c>
      <c r="Z843" t="s">
        <v>15697</v>
      </c>
      <c r="AA843" t="s">
        <v>74</v>
      </c>
      <c r="AB843" t="s">
        <v>15698</v>
      </c>
      <c r="AC843" t="s">
        <v>15699</v>
      </c>
      <c r="AD843" t="s">
        <v>15700</v>
      </c>
      <c r="AE843" t="s">
        <v>15701</v>
      </c>
      <c r="AF843" t="s">
        <v>74</v>
      </c>
      <c r="AG843">
        <v>61</v>
      </c>
      <c r="AH843">
        <v>32</v>
      </c>
      <c r="AI843">
        <v>37</v>
      </c>
      <c r="AJ843">
        <v>3</v>
      </c>
      <c r="AK843">
        <v>53</v>
      </c>
      <c r="AL843" t="s">
        <v>13640</v>
      </c>
      <c r="AM843" t="s">
        <v>13641</v>
      </c>
      <c r="AN843" t="s">
        <v>13642</v>
      </c>
      <c r="AO843" t="s">
        <v>13643</v>
      </c>
      <c r="AP843" t="s">
        <v>13644</v>
      </c>
      <c r="AQ843" t="s">
        <v>74</v>
      </c>
      <c r="AR843" t="s">
        <v>13645</v>
      </c>
      <c r="AS843" t="s">
        <v>13646</v>
      </c>
      <c r="AT843" t="s">
        <v>74</v>
      </c>
      <c r="AU843">
        <v>2012</v>
      </c>
      <c r="AV843">
        <v>457</v>
      </c>
      <c r="AW843" t="s">
        <v>74</v>
      </c>
      <c r="AX843" t="s">
        <v>74</v>
      </c>
      <c r="AY843" t="s">
        <v>74</v>
      </c>
      <c r="AZ843" t="s">
        <v>74</v>
      </c>
      <c r="BA843" t="s">
        <v>74</v>
      </c>
      <c r="BB843">
        <v>209</v>
      </c>
      <c r="BC843">
        <v>220</v>
      </c>
      <c r="BD843" t="s">
        <v>74</v>
      </c>
      <c r="BE843" t="s">
        <v>15702</v>
      </c>
      <c r="BF843" t="str">
        <f>HYPERLINK("http://dx.doi.org/10.3354/meps09708","http://dx.doi.org/10.3354/meps09708")</f>
        <v>http://dx.doi.org/10.3354/meps09708</v>
      </c>
      <c r="BG843" t="s">
        <v>74</v>
      </c>
      <c r="BH843" t="s">
        <v>74</v>
      </c>
      <c r="BI843">
        <v>12</v>
      </c>
      <c r="BJ843" t="s">
        <v>13648</v>
      </c>
      <c r="BK843" t="s">
        <v>99</v>
      </c>
      <c r="BL843" t="s">
        <v>13649</v>
      </c>
      <c r="BM843" t="s">
        <v>15703</v>
      </c>
      <c r="BN843" t="s">
        <v>74</v>
      </c>
      <c r="BO843" t="s">
        <v>217</v>
      </c>
      <c r="BP843" t="s">
        <v>74</v>
      </c>
      <c r="BQ843" t="s">
        <v>74</v>
      </c>
      <c r="BR843" t="s">
        <v>101</v>
      </c>
      <c r="BS843" t="s">
        <v>15704</v>
      </c>
      <c r="BT843" t="str">
        <f>HYPERLINK("https%3A%2F%2Fwww.webofscience.com%2Fwos%2Fwoscc%2Ffull-record%2FWOS:000306755000017","View Full Record in Web of Science")</f>
        <v>View Full Record in Web of Science</v>
      </c>
    </row>
    <row r="844" spans="1:72" x14ac:dyDescent="0.15">
      <c r="A844" t="s">
        <v>72</v>
      </c>
      <c r="B844" t="s">
        <v>15705</v>
      </c>
      <c r="C844" t="s">
        <v>74</v>
      </c>
      <c r="D844" t="s">
        <v>74</v>
      </c>
      <c r="E844" t="s">
        <v>74</v>
      </c>
      <c r="F844" t="s">
        <v>15706</v>
      </c>
      <c r="G844" t="s">
        <v>74</v>
      </c>
      <c r="H844" t="s">
        <v>74</v>
      </c>
      <c r="I844" t="s">
        <v>15707</v>
      </c>
      <c r="J844" t="s">
        <v>13031</v>
      </c>
      <c r="K844" t="s">
        <v>74</v>
      </c>
      <c r="L844" t="s">
        <v>74</v>
      </c>
      <c r="M844" t="s">
        <v>15708</v>
      </c>
      <c r="N844" t="s">
        <v>79</v>
      </c>
      <c r="O844" t="s">
        <v>74</v>
      </c>
      <c r="P844" t="s">
        <v>74</v>
      </c>
      <c r="Q844" t="s">
        <v>74</v>
      </c>
      <c r="R844" t="s">
        <v>74</v>
      </c>
      <c r="S844" t="s">
        <v>74</v>
      </c>
      <c r="T844" t="s">
        <v>15709</v>
      </c>
      <c r="U844" t="s">
        <v>15710</v>
      </c>
      <c r="V844" t="s">
        <v>15711</v>
      </c>
      <c r="W844" t="s">
        <v>15712</v>
      </c>
      <c r="X844" t="s">
        <v>15713</v>
      </c>
      <c r="Y844" t="s">
        <v>15714</v>
      </c>
      <c r="Z844" t="s">
        <v>15715</v>
      </c>
      <c r="AA844" t="s">
        <v>15716</v>
      </c>
      <c r="AB844" t="s">
        <v>15717</v>
      </c>
      <c r="AC844" t="s">
        <v>74</v>
      </c>
      <c r="AD844" t="s">
        <v>74</v>
      </c>
      <c r="AE844" t="s">
        <v>74</v>
      </c>
      <c r="AF844" t="s">
        <v>74</v>
      </c>
      <c r="AG844">
        <v>51</v>
      </c>
      <c r="AH844">
        <v>5</v>
      </c>
      <c r="AI844">
        <v>6</v>
      </c>
      <c r="AJ844">
        <v>3</v>
      </c>
      <c r="AK844">
        <v>47</v>
      </c>
      <c r="AL844" t="s">
        <v>13043</v>
      </c>
      <c r="AM844" t="s">
        <v>13044</v>
      </c>
      <c r="AN844" t="s">
        <v>13045</v>
      </c>
      <c r="AO844" t="s">
        <v>13046</v>
      </c>
      <c r="AP844" t="s">
        <v>13047</v>
      </c>
      <c r="AQ844" t="s">
        <v>74</v>
      </c>
      <c r="AR844" t="s">
        <v>13048</v>
      </c>
      <c r="AS844" t="s">
        <v>13049</v>
      </c>
      <c r="AT844" t="s">
        <v>74</v>
      </c>
      <c r="AU844">
        <v>2012</v>
      </c>
      <c r="AV844">
        <v>40</v>
      </c>
      <c r="AW844">
        <v>1</v>
      </c>
      <c r="AX844" t="s">
        <v>74</v>
      </c>
      <c r="AY844" t="s">
        <v>74</v>
      </c>
      <c r="AZ844" t="s">
        <v>74</v>
      </c>
      <c r="BA844" t="s">
        <v>74</v>
      </c>
      <c r="BB844">
        <v>113</v>
      </c>
      <c r="BC844">
        <v>123</v>
      </c>
      <c r="BD844" t="s">
        <v>74</v>
      </c>
      <c r="BE844" t="s">
        <v>15718</v>
      </c>
      <c r="BF844" t="str">
        <f>HYPERLINK("http://dx.doi.org/10.3856/vol40-issue1-fulltext-11","http://dx.doi.org/10.3856/vol40-issue1-fulltext-11")</f>
        <v>http://dx.doi.org/10.3856/vol40-issue1-fulltext-11</v>
      </c>
      <c r="BG844" t="s">
        <v>74</v>
      </c>
      <c r="BH844" t="s">
        <v>74</v>
      </c>
      <c r="BI844">
        <v>11</v>
      </c>
      <c r="BJ844" t="s">
        <v>3942</v>
      </c>
      <c r="BK844" t="s">
        <v>99</v>
      </c>
      <c r="BL844" t="s">
        <v>3942</v>
      </c>
      <c r="BM844" t="s">
        <v>15719</v>
      </c>
      <c r="BN844" t="s">
        <v>74</v>
      </c>
      <c r="BO844" t="s">
        <v>13052</v>
      </c>
      <c r="BP844" t="s">
        <v>74</v>
      </c>
      <c r="BQ844" t="s">
        <v>74</v>
      </c>
      <c r="BR844" t="s">
        <v>101</v>
      </c>
      <c r="BS844" t="s">
        <v>15720</v>
      </c>
      <c r="BT844" t="str">
        <f>HYPERLINK("https%3A%2F%2Fwww.webofscience.com%2Fwos%2Fwoscc%2Ffull-record%2FWOS:000306645800011","View Full Record in Web of Science")</f>
        <v>View Full Record in Web of Science</v>
      </c>
    </row>
    <row r="845" spans="1:72" x14ac:dyDescent="0.15">
      <c r="A845" t="s">
        <v>72</v>
      </c>
      <c r="B845" t="s">
        <v>15721</v>
      </c>
      <c r="C845" t="s">
        <v>74</v>
      </c>
      <c r="D845" t="s">
        <v>74</v>
      </c>
      <c r="E845" t="s">
        <v>74</v>
      </c>
      <c r="F845" t="s">
        <v>15722</v>
      </c>
      <c r="G845" t="s">
        <v>74</v>
      </c>
      <c r="H845" t="s">
        <v>74</v>
      </c>
      <c r="I845" t="s">
        <v>15723</v>
      </c>
      <c r="J845" t="s">
        <v>15724</v>
      </c>
      <c r="K845" t="s">
        <v>74</v>
      </c>
      <c r="L845" t="s">
        <v>74</v>
      </c>
      <c r="M845" t="s">
        <v>78</v>
      </c>
      <c r="N845" t="s">
        <v>79</v>
      </c>
      <c r="O845" t="s">
        <v>74</v>
      </c>
      <c r="P845" t="s">
        <v>74</v>
      </c>
      <c r="Q845" t="s">
        <v>74</v>
      </c>
      <c r="R845" t="s">
        <v>74</v>
      </c>
      <c r="S845" t="s">
        <v>74</v>
      </c>
      <c r="T845" t="s">
        <v>74</v>
      </c>
      <c r="U845" t="s">
        <v>15725</v>
      </c>
      <c r="V845" t="s">
        <v>15726</v>
      </c>
      <c r="W845" t="s">
        <v>15727</v>
      </c>
      <c r="X845" t="s">
        <v>15387</v>
      </c>
      <c r="Y845" t="s">
        <v>15728</v>
      </c>
      <c r="Z845" t="s">
        <v>15729</v>
      </c>
      <c r="AA845" t="s">
        <v>15730</v>
      </c>
      <c r="AB845" t="s">
        <v>74</v>
      </c>
      <c r="AC845" t="s">
        <v>15731</v>
      </c>
      <c r="AD845" t="s">
        <v>15731</v>
      </c>
      <c r="AE845" t="s">
        <v>15732</v>
      </c>
      <c r="AF845" t="s">
        <v>74</v>
      </c>
      <c r="AG845">
        <v>20</v>
      </c>
      <c r="AH845">
        <v>13</v>
      </c>
      <c r="AI845">
        <v>15</v>
      </c>
      <c r="AJ845">
        <v>0</v>
      </c>
      <c r="AK845">
        <v>20</v>
      </c>
      <c r="AL845" t="s">
        <v>761</v>
      </c>
      <c r="AM845" t="s">
        <v>762</v>
      </c>
      <c r="AN845" t="s">
        <v>763</v>
      </c>
      <c r="AO845" t="s">
        <v>15733</v>
      </c>
      <c r="AP845" t="s">
        <v>15734</v>
      </c>
      <c r="AQ845" t="s">
        <v>74</v>
      </c>
      <c r="AR845" t="s">
        <v>15735</v>
      </c>
      <c r="AS845" t="s">
        <v>15736</v>
      </c>
      <c r="AT845" t="s">
        <v>74</v>
      </c>
      <c r="AU845">
        <v>2012</v>
      </c>
      <c r="AV845">
        <v>33</v>
      </c>
      <c r="AW845">
        <v>22</v>
      </c>
      <c r="AX845" t="s">
        <v>74</v>
      </c>
      <c r="AY845" t="s">
        <v>74</v>
      </c>
      <c r="AZ845" t="s">
        <v>74</v>
      </c>
      <c r="BA845" t="s">
        <v>74</v>
      </c>
      <c r="BB845">
        <v>7151</v>
      </c>
      <c r="BC845">
        <v>7164</v>
      </c>
      <c r="BD845" t="s">
        <v>74</v>
      </c>
      <c r="BE845" t="s">
        <v>15737</v>
      </c>
      <c r="BF845" t="str">
        <f>HYPERLINK("http://dx.doi.org/10.1080/01431161.2012.700136","http://dx.doi.org/10.1080/01431161.2012.700136")</f>
        <v>http://dx.doi.org/10.1080/01431161.2012.700136</v>
      </c>
      <c r="BG845" t="s">
        <v>74</v>
      </c>
      <c r="BH845" t="s">
        <v>74</v>
      </c>
      <c r="BI845">
        <v>14</v>
      </c>
      <c r="BJ845" t="s">
        <v>15738</v>
      </c>
      <c r="BK845" t="s">
        <v>99</v>
      </c>
      <c r="BL845" t="s">
        <v>15738</v>
      </c>
      <c r="BM845" t="s">
        <v>15739</v>
      </c>
      <c r="BN845" t="s">
        <v>74</v>
      </c>
      <c r="BO845" t="s">
        <v>74</v>
      </c>
      <c r="BP845" t="s">
        <v>74</v>
      </c>
      <c r="BQ845" t="s">
        <v>74</v>
      </c>
      <c r="BR845" t="s">
        <v>101</v>
      </c>
      <c r="BS845" t="s">
        <v>15740</v>
      </c>
      <c r="BT845" t="str">
        <f>HYPERLINK("https%3A%2F%2Fwww.webofscience.com%2Fwos%2Fwoscc%2Ffull-record%2FWOS:000306116200012","View Full Record in Web of Science")</f>
        <v>View Full Record in Web of Science</v>
      </c>
    </row>
    <row r="846" spans="1:72" x14ac:dyDescent="0.15">
      <c r="A846" t="s">
        <v>72</v>
      </c>
      <c r="B846" t="s">
        <v>15741</v>
      </c>
      <c r="C846" t="s">
        <v>74</v>
      </c>
      <c r="D846" t="s">
        <v>74</v>
      </c>
      <c r="E846" t="s">
        <v>74</v>
      </c>
      <c r="F846" t="s">
        <v>15742</v>
      </c>
      <c r="G846" t="s">
        <v>74</v>
      </c>
      <c r="H846" t="s">
        <v>74</v>
      </c>
      <c r="I846" t="s">
        <v>15743</v>
      </c>
      <c r="J846" t="s">
        <v>15744</v>
      </c>
      <c r="K846" t="s">
        <v>74</v>
      </c>
      <c r="L846" t="s">
        <v>74</v>
      </c>
      <c r="M846" t="s">
        <v>78</v>
      </c>
      <c r="N846" t="s">
        <v>79</v>
      </c>
      <c r="O846" t="s">
        <v>74</v>
      </c>
      <c r="P846" t="s">
        <v>74</v>
      </c>
      <c r="Q846" t="s">
        <v>74</v>
      </c>
      <c r="R846" t="s">
        <v>74</v>
      </c>
      <c r="S846" t="s">
        <v>74</v>
      </c>
      <c r="T846" t="s">
        <v>15745</v>
      </c>
      <c r="U846" t="s">
        <v>15746</v>
      </c>
      <c r="V846" t="s">
        <v>15747</v>
      </c>
      <c r="W846" t="s">
        <v>15748</v>
      </c>
      <c r="X846" t="s">
        <v>15749</v>
      </c>
      <c r="Y846" t="s">
        <v>15750</v>
      </c>
      <c r="Z846" t="s">
        <v>15751</v>
      </c>
      <c r="AA846" t="s">
        <v>15752</v>
      </c>
      <c r="AB846" t="s">
        <v>15753</v>
      </c>
      <c r="AC846" t="s">
        <v>15754</v>
      </c>
      <c r="AD846" t="s">
        <v>15755</v>
      </c>
      <c r="AE846" t="s">
        <v>15756</v>
      </c>
      <c r="AF846" t="s">
        <v>74</v>
      </c>
      <c r="AG846">
        <v>17</v>
      </c>
      <c r="AH846">
        <v>9</v>
      </c>
      <c r="AI846">
        <v>9</v>
      </c>
      <c r="AJ846">
        <v>0</v>
      </c>
      <c r="AK846">
        <v>12</v>
      </c>
      <c r="AL846" t="s">
        <v>761</v>
      </c>
      <c r="AM846" t="s">
        <v>762</v>
      </c>
      <c r="AN846" t="s">
        <v>10609</v>
      </c>
      <c r="AO846" t="s">
        <v>15757</v>
      </c>
      <c r="AP846" t="s">
        <v>15758</v>
      </c>
      <c r="AQ846" t="s">
        <v>74</v>
      </c>
      <c r="AR846" t="s">
        <v>15759</v>
      </c>
      <c r="AS846" t="s">
        <v>15760</v>
      </c>
      <c r="AT846" t="s">
        <v>74</v>
      </c>
      <c r="AU846">
        <v>2012</v>
      </c>
      <c r="AV846">
        <v>26</v>
      </c>
      <c r="AW846">
        <v>13</v>
      </c>
      <c r="AX846" t="s">
        <v>74</v>
      </c>
      <c r="AY846" t="s">
        <v>74</v>
      </c>
      <c r="AZ846" t="s">
        <v>74</v>
      </c>
      <c r="BA846" t="s">
        <v>74</v>
      </c>
      <c r="BB846">
        <v>1240</v>
      </c>
      <c r="BC846">
        <v>1248</v>
      </c>
      <c r="BD846" t="s">
        <v>74</v>
      </c>
      <c r="BE846" t="s">
        <v>15761</v>
      </c>
      <c r="BF846" t="str">
        <f>HYPERLINK("http://dx.doi.org/10.1080/14786419.2011.561493","http://dx.doi.org/10.1080/14786419.2011.561493")</f>
        <v>http://dx.doi.org/10.1080/14786419.2011.561493</v>
      </c>
      <c r="BG846" t="s">
        <v>74</v>
      </c>
      <c r="BH846" t="s">
        <v>74</v>
      </c>
      <c r="BI846">
        <v>9</v>
      </c>
      <c r="BJ846" t="s">
        <v>15762</v>
      </c>
      <c r="BK846" t="s">
        <v>99</v>
      </c>
      <c r="BL846" t="s">
        <v>15763</v>
      </c>
      <c r="BM846" t="s">
        <v>15764</v>
      </c>
      <c r="BN846">
        <v>21978171</v>
      </c>
      <c r="BO846" t="s">
        <v>74</v>
      </c>
      <c r="BP846" t="s">
        <v>74</v>
      </c>
      <c r="BQ846" t="s">
        <v>74</v>
      </c>
      <c r="BR846" t="s">
        <v>101</v>
      </c>
      <c r="BS846" t="s">
        <v>15765</v>
      </c>
      <c r="BT846" t="str">
        <f>HYPERLINK("https%3A%2F%2Fwww.webofscience.com%2Fwos%2Fwoscc%2Ffull-record%2FWOS:000306278100012","View Full Record in Web of Science")</f>
        <v>View Full Record in Web of Science</v>
      </c>
    </row>
    <row r="847" spans="1:72" x14ac:dyDescent="0.15">
      <c r="A847" t="s">
        <v>72</v>
      </c>
      <c r="B847" t="s">
        <v>15766</v>
      </c>
      <c r="C847" t="s">
        <v>74</v>
      </c>
      <c r="D847" t="s">
        <v>74</v>
      </c>
      <c r="E847" t="s">
        <v>74</v>
      </c>
      <c r="F847" t="s">
        <v>15767</v>
      </c>
      <c r="G847" t="s">
        <v>74</v>
      </c>
      <c r="H847" t="s">
        <v>74</v>
      </c>
      <c r="I847" t="s">
        <v>15768</v>
      </c>
      <c r="J847" t="s">
        <v>14591</v>
      </c>
      <c r="K847" t="s">
        <v>74</v>
      </c>
      <c r="L847" t="s">
        <v>74</v>
      </c>
      <c r="M847" t="s">
        <v>78</v>
      </c>
      <c r="N847" t="s">
        <v>79</v>
      </c>
      <c r="O847" t="s">
        <v>74</v>
      </c>
      <c r="P847" t="s">
        <v>74</v>
      </c>
      <c r="Q847" t="s">
        <v>74</v>
      </c>
      <c r="R847" t="s">
        <v>74</v>
      </c>
      <c r="S847" t="s">
        <v>74</v>
      </c>
      <c r="T847" t="s">
        <v>15769</v>
      </c>
      <c r="U847" t="s">
        <v>15770</v>
      </c>
      <c r="V847" t="s">
        <v>15771</v>
      </c>
      <c r="W847" t="s">
        <v>15772</v>
      </c>
      <c r="X847" t="s">
        <v>15773</v>
      </c>
      <c r="Y847" t="s">
        <v>15774</v>
      </c>
      <c r="Z847" t="s">
        <v>15775</v>
      </c>
      <c r="AA847" t="s">
        <v>15776</v>
      </c>
      <c r="AB847" t="s">
        <v>15777</v>
      </c>
      <c r="AC847" t="s">
        <v>15778</v>
      </c>
      <c r="AD847" t="s">
        <v>15779</v>
      </c>
      <c r="AE847" t="s">
        <v>15780</v>
      </c>
      <c r="AF847" t="s">
        <v>74</v>
      </c>
      <c r="AG847">
        <v>98</v>
      </c>
      <c r="AH847">
        <v>48</v>
      </c>
      <c r="AI847">
        <v>49</v>
      </c>
      <c r="AJ847">
        <v>0</v>
      </c>
      <c r="AK847">
        <v>22</v>
      </c>
      <c r="AL847" t="s">
        <v>14600</v>
      </c>
      <c r="AM847" t="s">
        <v>14601</v>
      </c>
      <c r="AN847" t="s">
        <v>14602</v>
      </c>
      <c r="AO847" t="s">
        <v>14603</v>
      </c>
      <c r="AP847" t="s">
        <v>14604</v>
      </c>
      <c r="AQ847" t="s">
        <v>74</v>
      </c>
      <c r="AR847" t="s">
        <v>14605</v>
      </c>
      <c r="AS847" t="s">
        <v>14606</v>
      </c>
      <c r="AT847" t="s">
        <v>74</v>
      </c>
      <c r="AU847">
        <v>2012</v>
      </c>
      <c r="AV847">
        <v>33</v>
      </c>
      <c r="AW847">
        <v>2</v>
      </c>
      <c r="AX847" t="s">
        <v>74</v>
      </c>
      <c r="AY847" t="s">
        <v>74</v>
      </c>
      <c r="AZ847" t="s">
        <v>74</v>
      </c>
      <c r="BA847" t="s">
        <v>74</v>
      </c>
      <c r="BB847">
        <v>139</v>
      </c>
      <c r="BC847">
        <v>162</v>
      </c>
      <c r="BD847" t="s">
        <v>74</v>
      </c>
      <c r="BE847" t="s">
        <v>15781</v>
      </c>
      <c r="BF847" t="str">
        <f>HYPERLINK("http://dx.doi.org/10.2478/v10183-012-0012-5","http://dx.doi.org/10.2478/v10183-012-0012-5")</f>
        <v>http://dx.doi.org/10.2478/v10183-012-0012-5</v>
      </c>
      <c r="BG847" t="s">
        <v>74</v>
      </c>
      <c r="BH847" t="s">
        <v>74</v>
      </c>
      <c r="BI847">
        <v>24</v>
      </c>
      <c r="BJ847" t="s">
        <v>13277</v>
      </c>
      <c r="BK847" t="s">
        <v>99</v>
      </c>
      <c r="BL847" t="s">
        <v>6665</v>
      </c>
      <c r="BM847" t="s">
        <v>15782</v>
      </c>
      <c r="BN847" t="s">
        <v>74</v>
      </c>
      <c r="BO847" t="s">
        <v>6147</v>
      </c>
      <c r="BP847" t="s">
        <v>74</v>
      </c>
      <c r="BQ847" t="s">
        <v>74</v>
      </c>
      <c r="BR847" t="s">
        <v>101</v>
      </c>
      <c r="BS847" t="s">
        <v>15783</v>
      </c>
      <c r="BT847" t="str">
        <f>HYPERLINK("https%3A%2F%2Fwww.webofscience.com%2Fwos%2Fwoscc%2Ffull-record%2FWOS:000306169300002","View Full Record in Web of Science")</f>
        <v>View Full Record in Web of Science</v>
      </c>
    </row>
    <row r="848" spans="1:72" x14ac:dyDescent="0.15">
      <c r="A848" t="s">
        <v>72</v>
      </c>
      <c r="B848" t="s">
        <v>15784</v>
      </c>
      <c r="C848" t="s">
        <v>74</v>
      </c>
      <c r="D848" t="s">
        <v>74</v>
      </c>
      <c r="E848" t="s">
        <v>74</v>
      </c>
      <c r="F848" t="s">
        <v>15785</v>
      </c>
      <c r="G848" t="s">
        <v>74</v>
      </c>
      <c r="H848" t="s">
        <v>74</v>
      </c>
      <c r="I848" t="s">
        <v>15786</v>
      </c>
      <c r="J848" t="s">
        <v>14591</v>
      </c>
      <c r="K848" t="s">
        <v>74</v>
      </c>
      <c r="L848" t="s">
        <v>74</v>
      </c>
      <c r="M848" t="s">
        <v>78</v>
      </c>
      <c r="N848" t="s">
        <v>79</v>
      </c>
      <c r="O848" t="s">
        <v>74</v>
      </c>
      <c r="P848" t="s">
        <v>74</v>
      </c>
      <c r="Q848" t="s">
        <v>74</v>
      </c>
      <c r="R848" t="s">
        <v>74</v>
      </c>
      <c r="S848" t="s">
        <v>74</v>
      </c>
      <c r="T848" t="s">
        <v>15787</v>
      </c>
      <c r="U848" t="s">
        <v>15788</v>
      </c>
      <c r="V848" t="s">
        <v>15789</v>
      </c>
      <c r="W848" t="s">
        <v>15790</v>
      </c>
      <c r="X848" t="s">
        <v>15791</v>
      </c>
      <c r="Y848" t="s">
        <v>15792</v>
      </c>
      <c r="Z848" t="s">
        <v>15793</v>
      </c>
      <c r="AA848" t="s">
        <v>74</v>
      </c>
      <c r="AB848" t="s">
        <v>15794</v>
      </c>
      <c r="AC848" t="s">
        <v>15795</v>
      </c>
      <c r="AD848" t="s">
        <v>15795</v>
      </c>
      <c r="AE848" t="s">
        <v>15796</v>
      </c>
      <c r="AF848" t="s">
        <v>74</v>
      </c>
      <c r="AG848">
        <v>20</v>
      </c>
      <c r="AH848">
        <v>4</v>
      </c>
      <c r="AI848">
        <v>4</v>
      </c>
      <c r="AJ848">
        <v>0</v>
      </c>
      <c r="AK848">
        <v>1</v>
      </c>
      <c r="AL848" t="s">
        <v>14600</v>
      </c>
      <c r="AM848" t="s">
        <v>14601</v>
      </c>
      <c r="AN848" t="s">
        <v>14602</v>
      </c>
      <c r="AO848" t="s">
        <v>14603</v>
      </c>
      <c r="AP848" t="s">
        <v>14604</v>
      </c>
      <c r="AQ848" t="s">
        <v>74</v>
      </c>
      <c r="AR848" t="s">
        <v>14605</v>
      </c>
      <c r="AS848" t="s">
        <v>14606</v>
      </c>
      <c r="AT848" t="s">
        <v>74</v>
      </c>
      <c r="AU848">
        <v>2012</v>
      </c>
      <c r="AV848">
        <v>33</v>
      </c>
      <c r="AW848">
        <v>2</v>
      </c>
      <c r="AX848" t="s">
        <v>74</v>
      </c>
      <c r="AY848" t="s">
        <v>74</v>
      </c>
      <c r="AZ848" t="s">
        <v>74</v>
      </c>
      <c r="BA848" t="s">
        <v>74</v>
      </c>
      <c r="BB848">
        <v>163</v>
      </c>
      <c r="BC848">
        <v>179</v>
      </c>
      <c r="BD848" t="s">
        <v>74</v>
      </c>
      <c r="BE848" t="s">
        <v>15797</v>
      </c>
      <c r="BF848" t="str">
        <f>HYPERLINK("http://dx.doi.org/10.2478/v10183-012-0008-1","http://dx.doi.org/10.2478/v10183-012-0008-1")</f>
        <v>http://dx.doi.org/10.2478/v10183-012-0008-1</v>
      </c>
      <c r="BG848" t="s">
        <v>74</v>
      </c>
      <c r="BH848" t="s">
        <v>74</v>
      </c>
      <c r="BI848">
        <v>17</v>
      </c>
      <c r="BJ848" t="s">
        <v>13277</v>
      </c>
      <c r="BK848" t="s">
        <v>99</v>
      </c>
      <c r="BL848" t="s">
        <v>6665</v>
      </c>
      <c r="BM848" t="s">
        <v>15782</v>
      </c>
      <c r="BN848" t="s">
        <v>74</v>
      </c>
      <c r="BO848" t="s">
        <v>74</v>
      </c>
      <c r="BP848" t="s">
        <v>74</v>
      </c>
      <c r="BQ848" t="s">
        <v>74</v>
      </c>
      <c r="BR848" t="s">
        <v>101</v>
      </c>
      <c r="BS848" t="s">
        <v>15798</v>
      </c>
      <c r="BT848" t="str">
        <f>HYPERLINK("https%3A%2F%2Fwww.webofscience.com%2Fwos%2Fwoscc%2Ffull-record%2FWOS:000306169300003","View Full Record in Web of Science")</f>
        <v>View Full Record in Web of Science</v>
      </c>
    </row>
    <row r="849" spans="1:72" x14ac:dyDescent="0.15">
      <c r="A849" t="s">
        <v>72</v>
      </c>
      <c r="B849" t="s">
        <v>15799</v>
      </c>
      <c r="C849" t="s">
        <v>74</v>
      </c>
      <c r="D849" t="s">
        <v>74</v>
      </c>
      <c r="E849" t="s">
        <v>74</v>
      </c>
      <c r="F849" t="s">
        <v>15800</v>
      </c>
      <c r="G849" t="s">
        <v>74</v>
      </c>
      <c r="H849" t="s">
        <v>74</v>
      </c>
      <c r="I849" t="s">
        <v>15801</v>
      </c>
      <c r="J849" t="s">
        <v>14591</v>
      </c>
      <c r="K849" t="s">
        <v>74</v>
      </c>
      <c r="L849" t="s">
        <v>74</v>
      </c>
      <c r="M849" t="s">
        <v>78</v>
      </c>
      <c r="N849" t="s">
        <v>79</v>
      </c>
      <c r="O849" t="s">
        <v>74</v>
      </c>
      <c r="P849" t="s">
        <v>74</v>
      </c>
      <c r="Q849" t="s">
        <v>74</v>
      </c>
      <c r="R849" t="s">
        <v>74</v>
      </c>
      <c r="S849" t="s">
        <v>74</v>
      </c>
      <c r="T849" t="s">
        <v>15802</v>
      </c>
      <c r="U849" t="s">
        <v>15803</v>
      </c>
      <c r="V849" t="s">
        <v>15804</v>
      </c>
      <c r="W849" t="s">
        <v>15805</v>
      </c>
      <c r="X849" t="s">
        <v>15806</v>
      </c>
      <c r="Y849" t="s">
        <v>15807</v>
      </c>
      <c r="Z849" t="s">
        <v>15808</v>
      </c>
      <c r="AA849" t="s">
        <v>15809</v>
      </c>
      <c r="AB849" t="s">
        <v>15810</v>
      </c>
      <c r="AC849" t="s">
        <v>15811</v>
      </c>
      <c r="AD849" t="s">
        <v>15812</v>
      </c>
      <c r="AE849" t="s">
        <v>15813</v>
      </c>
      <c r="AF849" t="s">
        <v>74</v>
      </c>
      <c r="AG849">
        <v>56</v>
      </c>
      <c r="AH849">
        <v>7</v>
      </c>
      <c r="AI849">
        <v>7</v>
      </c>
      <c r="AJ849">
        <v>0</v>
      </c>
      <c r="AK849">
        <v>14</v>
      </c>
      <c r="AL849" t="s">
        <v>14600</v>
      </c>
      <c r="AM849" t="s">
        <v>14601</v>
      </c>
      <c r="AN849" t="s">
        <v>14602</v>
      </c>
      <c r="AO849" t="s">
        <v>14603</v>
      </c>
      <c r="AP849" t="s">
        <v>14604</v>
      </c>
      <c r="AQ849" t="s">
        <v>74</v>
      </c>
      <c r="AR849" t="s">
        <v>14605</v>
      </c>
      <c r="AS849" t="s">
        <v>14606</v>
      </c>
      <c r="AT849" t="s">
        <v>74</v>
      </c>
      <c r="AU849">
        <v>2012</v>
      </c>
      <c r="AV849">
        <v>33</v>
      </c>
      <c r="AW849">
        <v>2</v>
      </c>
      <c r="AX849" t="s">
        <v>74</v>
      </c>
      <c r="AY849" t="s">
        <v>74</v>
      </c>
      <c r="AZ849" t="s">
        <v>74</v>
      </c>
      <c r="BA849" t="s">
        <v>74</v>
      </c>
      <c r="BB849">
        <v>181</v>
      </c>
      <c r="BC849">
        <v>197</v>
      </c>
      <c r="BD849" t="s">
        <v>74</v>
      </c>
      <c r="BE849" t="s">
        <v>15814</v>
      </c>
      <c r="BF849" t="str">
        <f>HYPERLINK("http://dx.doi.org/10.2478/v10183-012-0009-0","http://dx.doi.org/10.2478/v10183-012-0009-0")</f>
        <v>http://dx.doi.org/10.2478/v10183-012-0009-0</v>
      </c>
      <c r="BG849" t="s">
        <v>74</v>
      </c>
      <c r="BH849" t="s">
        <v>74</v>
      </c>
      <c r="BI849">
        <v>17</v>
      </c>
      <c r="BJ849" t="s">
        <v>13277</v>
      </c>
      <c r="BK849" t="s">
        <v>99</v>
      </c>
      <c r="BL849" t="s">
        <v>6665</v>
      </c>
      <c r="BM849" t="s">
        <v>15782</v>
      </c>
      <c r="BN849" t="s">
        <v>74</v>
      </c>
      <c r="BO849" t="s">
        <v>74</v>
      </c>
      <c r="BP849" t="s">
        <v>74</v>
      </c>
      <c r="BQ849" t="s">
        <v>74</v>
      </c>
      <c r="BR849" t="s">
        <v>101</v>
      </c>
      <c r="BS849" t="s">
        <v>15815</v>
      </c>
      <c r="BT849" t="str">
        <f>HYPERLINK("https%3A%2F%2Fwww.webofscience.com%2Fwos%2Fwoscc%2Ffull-record%2FWOS:000306169300004","View Full Record in Web of Science")</f>
        <v>View Full Record in Web of Science</v>
      </c>
    </row>
    <row r="850" spans="1:72" x14ac:dyDescent="0.15">
      <c r="A850" t="s">
        <v>72</v>
      </c>
      <c r="B850" t="s">
        <v>15816</v>
      </c>
      <c r="C850" t="s">
        <v>74</v>
      </c>
      <c r="D850" t="s">
        <v>74</v>
      </c>
      <c r="E850" t="s">
        <v>74</v>
      </c>
      <c r="F850" t="s">
        <v>15817</v>
      </c>
      <c r="G850" t="s">
        <v>74</v>
      </c>
      <c r="H850" t="s">
        <v>74</v>
      </c>
      <c r="I850" t="s">
        <v>15818</v>
      </c>
      <c r="J850" t="s">
        <v>13777</v>
      </c>
      <c r="K850" t="s">
        <v>74</v>
      </c>
      <c r="L850" t="s">
        <v>74</v>
      </c>
      <c r="M850" t="s">
        <v>78</v>
      </c>
      <c r="N850" t="s">
        <v>79</v>
      </c>
      <c r="O850" t="s">
        <v>74</v>
      </c>
      <c r="P850" t="s">
        <v>74</v>
      </c>
      <c r="Q850" t="s">
        <v>74</v>
      </c>
      <c r="R850" t="s">
        <v>74</v>
      </c>
      <c r="S850" t="s">
        <v>74</v>
      </c>
      <c r="T850" t="s">
        <v>15819</v>
      </c>
      <c r="U850" t="s">
        <v>15820</v>
      </c>
      <c r="V850" t="s">
        <v>15821</v>
      </c>
      <c r="W850" t="s">
        <v>15822</v>
      </c>
      <c r="X850" t="s">
        <v>12632</v>
      </c>
      <c r="Y850" t="s">
        <v>15823</v>
      </c>
      <c r="Z850" t="s">
        <v>15824</v>
      </c>
      <c r="AA850" t="s">
        <v>15825</v>
      </c>
      <c r="AB850" t="s">
        <v>15826</v>
      </c>
      <c r="AC850" t="s">
        <v>74</v>
      </c>
      <c r="AD850" t="s">
        <v>74</v>
      </c>
      <c r="AE850" t="s">
        <v>74</v>
      </c>
      <c r="AF850" t="s">
        <v>74</v>
      </c>
      <c r="AG850">
        <v>9</v>
      </c>
      <c r="AH850">
        <v>4</v>
      </c>
      <c r="AI850">
        <v>4</v>
      </c>
      <c r="AJ850">
        <v>0</v>
      </c>
      <c r="AK850">
        <v>19</v>
      </c>
      <c r="AL850" t="s">
        <v>13785</v>
      </c>
      <c r="AM850" t="s">
        <v>13786</v>
      </c>
      <c r="AN850" t="s">
        <v>14177</v>
      </c>
      <c r="AO850" t="s">
        <v>13788</v>
      </c>
      <c r="AP850" t="s">
        <v>74</v>
      </c>
      <c r="AQ850" t="s">
        <v>74</v>
      </c>
      <c r="AR850" t="s">
        <v>13777</v>
      </c>
      <c r="AS850" t="s">
        <v>13790</v>
      </c>
      <c r="AT850" t="s">
        <v>74</v>
      </c>
      <c r="AU850">
        <v>2012</v>
      </c>
      <c r="AV850" t="s">
        <v>74</v>
      </c>
      <c r="AW850">
        <v>185</v>
      </c>
      <c r="AX850" t="s">
        <v>74</v>
      </c>
      <c r="AY850" t="s">
        <v>74</v>
      </c>
      <c r="AZ850" t="s">
        <v>74</v>
      </c>
      <c r="BA850" t="s">
        <v>74</v>
      </c>
      <c r="BB850">
        <v>73</v>
      </c>
      <c r="BC850">
        <v>78</v>
      </c>
      <c r="BD850" t="s">
        <v>74</v>
      </c>
      <c r="BE850" t="s">
        <v>15827</v>
      </c>
      <c r="BF850" t="str">
        <f>HYPERLINK("http://dx.doi.org/10.3897/zookeys.185.3078","http://dx.doi.org/10.3897/zookeys.185.3078")</f>
        <v>http://dx.doi.org/10.3897/zookeys.185.3078</v>
      </c>
      <c r="BG850" t="s">
        <v>74</v>
      </c>
      <c r="BH850" t="s">
        <v>74</v>
      </c>
      <c r="BI850">
        <v>6</v>
      </c>
      <c r="BJ850" t="s">
        <v>98</v>
      </c>
      <c r="BK850" t="s">
        <v>99</v>
      </c>
      <c r="BL850" t="s">
        <v>98</v>
      </c>
      <c r="BM850" t="s">
        <v>15828</v>
      </c>
      <c r="BN850">
        <v>22577314</v>
      </c>
      <c r="BO850" t="s">
        <v>521</v>
      </c>
      <c r="BP850" t="s">
        <v>74</v>
      </c>
      <c r="BQ850" t="s">
        <v>74</v>
      </c>
      <c r="BR850" t="s">
        <v>101</v>
      </c>
      <c r="BS850" t="s">
        <v>15829</v>
      </c>
      <c r="BT850" t="str">
        <f>HYPERLINK("https%3A%2F%2Fwww.webofscience.com%2Fwos%2Fwoscc%2Ffull-record%2FWOS:000306251200005","View Full Record in Web of Science")</f>
        <v>View Full Record in Web of Science</v>
      </c>
    </row>
    <row r="851" spans="1:72" x14ac:dyDescent="0.15">
      <c r="A851" t="s">
        <v>72</v>
      </c>
      <c r="B851" t="s">
        <v>15830</v>
      </c>
      <c r="C851" t="s">
        <v>74</v>
      </c>
      <c r="D851" t="s">
        <v>74</v>
      </c>
      <c r="E851" t="s">
        <v>74</v>
      </c>
      <c r="F851" t="s">
        <v>15831</v>
      </c>
      <c r="G851" t="s">
        <v>74</v>
      </c>
      <c r="H851" t="s">
        <v>74</v>
      </c>
      <c r="I851" t="s">
        <v>15832</v>
      </c>
      <c r="J851" t="s">
        <v>13300</v>
      </c>
      <c r="K851" t="s">
        <v>74</v>
      </c>
      <c r="L851" t="s">
        <v>74</v>
      </c>
      <c r="M851" t="s">
        <v>78</v>
      </c>
      <c r="N851" t="s">
        <v>79</v>
      </c>
      <c r="O851" t="s">
        <v>74</v>
      </c>
      <c r="P851" t="s">
        <v>74</v>
      </c>
      <c r="Q851" t="s">
        <v>74</v>
      </c>
      <c r="R851" t="s">
        <v>74</v>
      </c>
      <c r="S851" t="s">
        <v>74</v>
      </c>
      <c r="T851" t="s">
        <v>74</v>
      </c>
      <c r="U851" t="s">
        <v>15833</v>
      </c>
      <c r="V851" t="s">
        <v>15834</v>
      </c>
      <c r="W851" t="s">
        <v>15835</v>
      </c>
      <c r="X851" t="s">
        <v>15836</v>
      </c>
      <c r="Y851" t="s">
        <v>15837</v>
      </c>
      <c r="Z851" t="s">
        <v>15838</v>
      </c>
      <c r="AA851" t="s">
        <v>15839</v>
      </c>
      <c r="AB851" t="s">
        <v>15840</v>
      </c>
      <c r="AC851" t="s">
        <v>15841</v>
      </c>
      <c r="AD851" t="s">
        <v>15842</v>
      </c>
      <c r="AE851" t="s">
        <v>15843</v>
      </c>
      <c r="AF851" t="s">
        <v>74</v>
      </c>
      <c r="AG851">
        <v>79</v>
      </c>
      <c r="AH851">
        <v>86</v>
      </c>
      <c r="AI851">
        <v>96</v>
      </c>
      <c r="AJ851">
        <v>2</v>
      </c>
      <c r="AK851">
        <v>47</v>
      </c>
      <c r="AL851" t="s">
        <v>13270</v>
      </c>
      <c r="AM851" t="s">
        <v>13271</v>
      </c>
      <c r="AN851" t="s">
        <v>13272</v>
      </c>
      <c r="AO851" t="s">
        <v>13312</v>
      </c>
      <c r="AP851" t="s">
        <v>13335</v>
      </c>
      <c r="AQ851" t="s">
        <v>74</v>
      </c>
      <c r="AR851" t="s">
        <v>13313</v>
      </c>
      <c r="AS851" t="s">
        <v>13314</v>
      </c>
      <c r="AT851" t="s">
        <v>74</v>
      </c>
      <c r="AU851">
        <v>2012</v>
      </c>
      <c r="AV851">
        <v>8</v>
      </c>
      <c r="AW851">
        <v>3</v>
      </c>
      <c r="AX851" t="s">
        <v>74</v>
      </c>
      <c r="AY851" t="s">
        <v>74</v>
      </c>
      <c r="AZ851" t="s">
        <v>74</v>
      </c>
      <c r="BA851" t="s">
        <v>74</v>
      </c>
      <c r="BB851">
        <v>1109</v>
      </c>
      <c r="BC851">
        <v>1125</v>
      </c>
      <c r="BD851" t="s">
        <v>74</v>
      </c>
      <c r="BE851" t="s">
        <v>15844</v>
      </c>
      <c r="BF851" t="str">
        <f>HYPERLINK("http://dx.doi.org/10.5194/cp-8-1109-2012","http://dx.doi.org/10.5194/cp-8-1109-2012")</f>
        <v>http://dx.doi.org/10.5194/cp-8-1109-2012</v>
      </c>
      <c r="BG851" t="s">
        <v>74</v>
      </c>
      <c r="BH851" t="s">
        <v>74</v>
      </c>
      <c r="BI851">
        <v>17</v>
      </c>
      <c r="BJ851" t="s">
        <v>13316</v>
      </c>
      <c r="BK851" t="s">
        <v>99</v>
      </c>
      <c r="BL851" t="s">
        <v>13317</v>
      </c>
      <c r="BM851" t="s">
        <v>15845</v>
      </c>
      <c r="BN851" t="s">
        <v>74</v>
      </c>
      <c r="BO851" t="s">
        <v>3496</v>
      </c>
      <c r="BP851" t="s">
        <v>74</v>
      </c>
      <c r="BQ851" t="s">
        <v>74</v>
      </c>
      <c r="BR851" t="s">
        <v>101</v>
      </c>
      <c r="BS851" t="s">
        <v>15846</v>
      </c>
      <c r="BT851" t="str">
        <f>HYPERLINK("https%3A%2F%2Fwww.webofscience.com%2Fwos%2Fwoscc%2Ffull-record%2FWOS:000305830200019","View Full Record in Web of Science")</f>
        <v>View Full Record in Web of Science</v>
      </c>
    </row>
    <row r="852" spans="1:72" x14ac:dyDescent="0.15">
      <c r="A852" t="s">
        <v>72</v>
      </c>
      <c r="B852" t="s">
        <v>15847</v>
      </c>
      <c r="C852" t="s">
        <v>74</v>
      </c>
      <c r="D852" t="s">
        <v>74</v>
      </c>
      <c r="E852" t="s">
        <v>74</v>
      </c>
      <c r="F852" t="s">
        <v>15848</v>
      </c>
      <c r="G852" t="s">
        <v>74</v>
      </c>
      <c r="H852" t="s">
        <v>74</v>
      </c>
      <c r="I852" t="s">
        <v>15849</v>
      </c>
      <c r="J852" t="s">
        <v>13370</v>
      </c>
      <c r="K852" t="s">
        <v>74</v>
      </c>
      <c r="L852" t="s">
        <v>74</v>
      </c>
      <c r="M852" t="s">
        <v>78</v>
      </c>
      <c r="N852" t="s">
        <v>79</v>
      </c>
      <c r="O852" t="s">
        <v>74</v>
      </c>
      <c r="P852" t="s">
        <v>74</v>
      </c>
      <c r="Q852" t="s">
        <v>74</v>
      </c>
      <c r="R852" t="s">
        <v>74</v>
      </c>
      <c r="S852" t="s">
        <v>74</v>
      </c>
      <c r="T852" t="s">
        <v>74</v>
      </c>
      <c r="U852" t="s">
        <v>15850</v>
      </c>
      <c r="V852" t="s">
        <v>15851</v>
      </c>
      <c r="W852" t="s">
        <v>15852</v>
      </c>
      <c r="X852" t="s">
        <v>15853</v>
      </c>
      <c r="Y852" t="s">
        <v>15854</v>
      </c>
      <c r="Z852" t="s">
        <v>15855</v>
      </c>
      <c r="AA852" t="s">
        <v>15856</v>
      </c>
      <c r="AB852" t="s">
        <v>15857</v>
      </c>
      <c r="AC852" t="s">
        <v>15858</v>
      </c>
      <c r="AD852" t="s">
        <v>15859</v>
      </c>
      <c r="AE852" t="s">
        <v>15860</v>
      </c>
      <c r="AF852" t="s">
        <v>74</v>
      </c>
      <c r="AG852">
        <v>65</v>
      </c>
      <c r="AH852">
        <v>38</v>
      </c>
      <c r="AI852">
        <v>43</v>
      </c>
      <c r="AJ852">
        <v>0</v>
      </c>
      <c r="AK852">
        <v>17</v>
      </c>
      <c r="AL852" t="s">
        <v>13270</v>
      </c>
      <c r="AM852" t="s">
        <v>13271</v>
      </c>
      <c r="AN852" t="s">
        <v>13272</v>
      </c>
      <c r="AO852" t="s">
        <v>13381</v>
      </c>
      <c r="AP852" t="s">
        <v>13382</v>
      </c>
      <c r="AQ852" t="s">
        <v>74</v>
      </c>
      <c r="AR852" t="s">
        <v>13370</v>
      </c>
      <c r="AS852" t="s">
        <v>13383</v>
      </c>
      <c r="AT852" t="s">
        <v>74</v>
      </c>
      <c r="AU852">
        <v>2012</v>
      </c>
      <c r="AV852">
        <v>6</v>
      </c>
      <c r="AW852">
        <v>3</v>
      </c>
      <c r="AX852" t="s">
        <v>74</v>
      </c>
      <c r="AY852" t="s">
        <v>74</v>
      </c>
      <c r="AZ852" t="s">
        <v>74</v>
      </c>
      <c r="BA852" t="s">
        <v>74</v>
      </c>
      <c r="BB852">
        <v>675</v>
      </c>
      <c r="BC852">
        <v>686</v>
      </c>
      <c r="BD852" t="s">
        <v>74</v>
      </c>
      <c r="BE852" t="s">
        <v>15861</v>
      </c>
      <c r="BF852" t="str">
        <f>HYPERLINK("http://dx.doi.org/10.5194/tc-6-675-2012","http://dx.doi.org/10.5194/tc-6-675-2012")</f>
        <v>http://dx.doi.org/10.5194/tc-6-675-2012</v>
      </c>
      <c r="BG852" t="s">
        <v>74</v>
      </c>
      <c r="BH852" t="s">
        <v>74</v>
      </c>
      <c r="BI852">
        <v>12</v>
      </c>
      <c r="BJ852" t="s">
        <v>943</v>
      </c>
      <c r="BK852" t="s">
        <v>99</v>
      </c>
      <c r="BL852" t="s">
        <v>944</v>
      </c>
      <c r="BM852" t="s">
        <v>15862</v>
      </c>
      <c r="BN852" t="s">
        <v>74</v>
      </c>
      <c r="BO852" t="s">
        <v>3496</v>
      </c>
      <c r="BP852" t="s">
        <v>74</v>
      </c>
      <c r="BQ852" t="s">
        <v>74</v>
      </c>
      <c r="BR852" t="s">
        <v>101</v>
      </c>
      <c r="BS852" t="s">
        <v>15863</v>
      </c>
      <c r="BT852" t="str">
        <f>HYPERLINK("https%3A%2F%2Fwww.webofscience.com%2Fwos%2Fwoscc%2Ffull-record%2FWOS:000305831000005","View Full Record in Web of Science")</f>
        <v>View Full Record in Web of Science</v>
      </c>
    </row>
    <row r="853" spans="1:72" x14ac:dyDescent="0.15">
      <c r="A853" t="s">
        <v>72</v>
      </c>
      <c r="B853" t="s">
        <v>15864</v>
      </c>
      <c r="C853" t="s">
        <v>74</v>
      </c>
      <c r="D853" t="s">
        <v>74</v>
      </c>
      <c r="E853" t="s">
        <v>74</v>
      </c>
      <c r="F853" t="s">
        <v>15865</v>
      </c>
      <c r="G853" t="s">
        <v>74</v>
      </c>
      <c r="H853" t="s">
        <v>74</v>
      </c>
      <c r="I853" t="s">
        <v>15866</v>
      </c>
      <c r="J853" t="s">
        <v>13370</v>
      </c>
      <c r="K853" t="s">
        <v>74</v>
      </c>
      <c r="L853" t="s">
        <v>74</v>
      </c>
      <c r="M853" t="s">
        <v>78</v>
      </c>
      <c r="N853" t="s">
        <v>79</v>
      </c>
      <c r="O853" t="s">
        <v>74</v>
      </c>
      <c r="P853" t="s">
        <v>74</v>
      </c>
      <c r="Q853" t="s">
        <v>74</v>
      </c>
      <c r="R853" t="s">
        <v>74</v>
      </c>
      <c r="S853" t="s">
        <v>74</v>
      </c>
      <c r="T853" t="s">
        <v>74</v>
      </c>
      <c r="U853" t="s">
        <v>15867</v>
      </c>
      <c r="V853" t="s">
        <v>15868</v>
      </c>
      <c r="W853" t="s">
        <v>15869</v>
      </c>
      <c r="X853" t="s">
        <v>15870</v>
      </c>
      <c r="Y853" t="s">
        <v>15871</v>
      </c>
      <c r="Z853" t="s">
        <v>15872</v>
      </c>
      <c r="AA853" t="s">
        <v>15873</v>
      </c>
      <c r="AB853" t="s">
        <v>15874</v>
      </c>
      <c r="AC853" t="s">
        <v>15875</v>
      </c>
      <c r="AD853" t="s">
        <v>15875</v>
      </c>
      <c r="AE853" t="s">
        <v>15876</v>
      </c>
      <c r="AF853" t="s">
        <v>74</v>
      </c>
      <c r="AG853">
        <v>57</v>
      </c>
      <c r="AH853">
        <v>1</v>
      </c>
      <c r="AI853">
        <v>1</v>
      </c>
      <c r="AJ853">
        <v>0</v>
      </c>
      <c r="AK853">
        <v>12</v>
      </c>
      <c r="AL853" t="s">
        <v>13270</v>
      </c>
      <c r="AM853" t="s">
        <v>13271</v>
      </c>
      <c r="AN853" t="s">
        <v>13272</v>
      </c>
      <c r="AO853" t="s">
        <v>13381</v>
      </c>
      <c r="AP853" t="s">
        <v>13382</v>
      </c>
      <c r="AQ853" t="s">
        <v>74</v>
      </c>
      <c r="AR853" t="s">
        <v>13370</v>
      </c>
      <c r="AS853" t="s">
        <v>13383</v>
      </c>
      <c r="AT853" t="s">
        <v>74</v>
      </c>
      <c r="AU853">
        <v>2012</v>
      </c>
      <c r="AV853">
        <v>6</v>
      </c>
      <c r="AW853">
        <v>3</v>
      </c>
      <c r="AX853" t="s">
        <v>74</v>
      </c>
      <c r="AY853" t="s">
        <v>74</v>
      </c>
      <c r="AZ853" t="s">
        <v>74</v>
      </c>
      <c r="BA853" t="s">
        <v>74</v>
      </c>
      <c r="BB853">
        <v>687</v>
      </c>
      <c r="BC853">
        <v>693</v>
      </c>
      <c r="BD853" t="s">
        <v>74</v>
      </c>
      <c r="BE853" t="s">
        <v>15877</v>
      </c>
      <c r="BF853" t="str">
        <f>HYPERLINK("http://dx.doi.org/10.5194/tc-6-687-2012","http://dx.doi.org/10.5194/tc-6-687-2012")</f>
        <v>http://dx.doi.org/10.5194/tc-6-687-2012</v>
      </c>
      <c r="BG853" t="s">
        <v>74</v>
      </c>
      <c r="BH853" t="s">
        <v>74</v>
      </c>
      <c r="BI853">
        <v>7</v>
      </c>
      <c r="BJ853" t="s">
        <v>943</v>
      </c>
      <c r="BK853" t="s">
        <v>99</v>
      </c>
      <c r="BL853" t="s">
        <v>944</v>
      </c>
      <c r="BM853" t="s">
        <v>15862</v>
      </c>
      <c r="BN853" t="s">
        <v>74</v>
      </c>
      <c r="BO853" t="s">
        <v>564</v>
      </c>
      <c r="BP853" t="s">
        <v>74</v>
      </c>
      <c r="BQ853" t="s">
        <v>74</v>
      </c>
      <c r="BR853" t="s">
        <v>101</v>
      </c>
      <c r="BS853" t="s">
        <v>15878</v>
      </c>
      <c r="BT853" t="str">
        <f>HYPERLINK("https%3A%2F%2Fwww.webofscience.com%2Fwos%2Fwoscc%2Ffull-record%2FWOS:000305831000006","View Full Record in Web of Science")</f>
        <v>View Full Record in Web of Science</v>
      </c>
    </row>
    <row r="854" spans="1:72" x14ac:dyDescent="0.15">
      <c r="A854" t="s">
        <v>72</v>
      </c>
      <c r="B854" t="s">
        <v>15879</v>
      </c>
      <c r="C854" t="s">
        <v>74</v>
      </c>
      <c r="D854" t="s">
        <v>74</v>
      </c>
      <c r="E854" t="s">
        <v>74</v>
      </c>
      <c r="F854" t="s">
        <v>15880</v>
      </c>
      <c r="G854" t="s">
        <v>74</v>
      </c>
      <c r="H854" t="s">
        <v>74</v>
      </c>
      <c r="I854" t="s">
        <v>15881</v>
      </c>
      <c r="J854" t="s">
        <v>15882</v>
      </c>
      <c r="K854" t="s">
        <v>74</v>
      </c>
      <c r="L854" t="s">
        <v>74</v>
      </c>
      <c r="M854" t="s">
        <v>78</v>
      </c>
      <c r="N854" t="s">
        <v>79</v>
      </c>
      <c r="O854" t="s">
        <v>74</v>
      </c>
      <c r="P854" t="s">
        <v>74</v>
      </c>
      <c r="Q854" t="s">
        <v>74</v>
      </c>
      <c r="R854" t="s">
        <v>74</v>
      </c>
      <c r="S854" t="s">
        <v>74</v>
      </c>
      <c r="T854" t="s">
        <v>74</v>
      </c>
      <c r="U854" t="s">
        <v>15883</v>
      </c>
      <c r="V854" t="s">
        <v>15884</v>
      </c>
      <c r="W854" t="s">
        <v>15885</v>
      </c>
      <c r="X854" t="s">
        <v>15886</v>
      </c>
      <c r="Y854" t="s">
        <v>15887</v>
      </c>
      <c r="Z854" t="s">
        <v>15888</v>
      </c>
      <c r="AA854" t="s">
        <v>15889</v>
      </c>
      <c r="AB854" t="s">
        <v>74</v>
      </c>
      <c r="AC854" t="s">
        <v>74</v>
      </c>
      <c r="AD854" t="s">
        <v>74</v>
      </c>
      <c r="AE854" t="s">
        <v>74</v>
      </c>
      <c r="AF854" t="s">
        <v>74</v>
      </c>
      <c r="AG854">
        <v>27</v>
      </c>
      <c r="AH854">
        <v>14</v>
      </c>
      <c r="AI854">
        <v>15</v>
      </c>
      <c r="AJ854">
        <v>0</v>
      </c>
      <c r="AK854">
        <v>12</v>
      </c>
      <c r="AL854" t="s">
        <v>15890</v>
      </c>
      <c r="AM854" t="s">
        <v>1112</v>
      </c>
      <c r="AN854" t="s">
        <v>15891</v>
      </c>
      <c r="AO854" t="s">
        <v>15892</v>
      </c>
      <c r="AP854" t="s">
        <v>74</v>
      </c>
      <c r="AQ854" t="s">
        <v>74</v>
      </c>
      <c r="AR854" t="s">
        <v>15893</v>
      </c>
      <c r="AS854" t="s">
        <v>15894</v>
      </c>
      <c r="AT854" t="s">
        <v>74</v>
      </c>
      <c r="AU854">
        <v>2012</v>
      </c>
      <c r="AV854">
        <v>128</v>
      </c>
      <c r="AW854" t="s">
        <v>74</v>
      </c>
      <c r="AX854" t="s">
        <v>74</v>
      </c>
      <c r="AY854" t="s">
        <v>74</v>
      </c>
      <c r="AZ854" t="s">
        <v>74</v>
      </c>
      <c r="BA854" t="s">
        <v>74</v>
      </c>
      <c r="BB854">
        <v>267</v>
      </c>
      <c r="BC854">
        <v>290</v>
      </c>
      <c r="BD854" t="s">
        <v>74</v>
      </c>
      <c r="BE854" t="s">
        <v>15895</v>
      </c>
      <c r="BF854" t="str">
        <f>HYPERLINK("http://dx.doi.org/10.2528/PIER12020205","http://dx.doi.org/10.2528/PIER12020205")</f>
        <v>http://dx.doi.org/10.2528/PIER12020205</v>
      </c>
      <c r="BG854" t="s">
        <v>74</v>
      </c>
      <c r="BH854" t="s">
        <v>74</v>
      </c>
      <c r="BI854">
        <v>24</v>
      </c>
      <c r="BJ854" t="s">
        <v>15896</v>
      </c>
      <c r="BK854" t="s">
        <v>99</v>
      </c>
      <c r="BL854" t="s">
        <v>15897</v>
      </c>
      <c r="BM854" t="s">
        <v>15898</v>
      </c>
      <c r="BN854" t="s">
        <v>74</v>
      </c>
      <c r="BO854" t="s">
        <v>9400</v>
      </c>
      <c r="BP854" t="s">
        <v>74</v>
      </c>
      <c r="BQ854" t="s">
        <v>74</v>
      </c>
      <c r="BR854" t="s">
        <v>101</v>
      </c>
      <c r="BS854" t="s">
        <v>15899</v>
      </c>
      <c r="BT854" t="str">
        <f>HYPERLINK("https%3A%2F%2Fwww.webofscience.com%2Fwos%2Fwoscc%2Ffull-record%2FWOS:000305328500016","View Full Record in Web of Science")</f>
        <v>View Full Record in Web of Science</v>
      </c>
    </row>
    <row r="855" spans="1:72" x14ac:dyDescent="0.15">
      <c r="A855" t="s">
        <v>72</v>
      </c>
      <c r="B855" t="s">
        <v>15900</v>
      </c>
      <c r="C855" t="s">
        <v>74</v>
      </c>
      <c r="D855" t="s">
        <v>74</v>
      </c>
      <c r="E855" t="s">
        <v>74</v>
      </c>
      <c r="F855" t="s">
        <v>15901</v>
      </c>
      <c r="G855" t="s">
        <v>74</v>
      </c>
      <c r="H855" t="s">
        <v>74</v>
      </c>
      <c r="I855" t="s">
        <v>15902</v>
      </c>
      <c r="J855" t="s">
        <v>15903</v>
      </c>
      <c r="K855" t="s">
        <v>74</v>
      </c>
      <c r="L855" t="s">
        <v>74</v>
      </c>
      <c r="M855" t="s">
        <v>78</v>
      </c>
      <c r="N855" t="s">
        <v>79</v>
      </c>
      <c r="O855" t="s">
        <v>74</v>
      </c>
      <c r="P855" t="s">
        <v>74</v>
      </c>
      <c r="Q855" t="s">
        <v>74</v>
      </c>
      <c r="R855" t="s">
        <v>74</v>
      </c>
      <c r="S855" t="s">
        <v>74</v>
      </c>
      <c r="T855" t="s">
        <v>74</v>
      </c>
      <c r="U855" t="s">
        <v>15904</v>
      </c>
      <c r="V855" t="s">
        <v>15905</v>
      </c>
      <c r="W855" t="s">
        <v>15906</v>
      </c>
      <c r="X855" t="s">
        <v>15907</v>
      </c>
      <c r="Y855" t="s">
        <v>15908</v>
      </c>
      <c r="Z855" t="s">
        <v>15909</v>
      </c>
      <c r="AA855" t="s">
        <v>15910</v>
      </c>
      <c r="AB855" t="s">
        <v>15911</v>
      </c>
      <c r="AC855" t="s">
        <v>74</v>
      </c>
      <c r="AD855" t="s">
        <v>74</v>
      </c>
      <c r="AE855" t="s">
        <v>74</v>
      </c>
      <c r="AF855" t="s">
        <v>74</v>
      </c>
      <c r="AG855">
        <v>18</v>
      </c>
      <c r="AH855">
        <v>31</v>
      </c>
      <c r="AI855">
        <v>34</v>
      </c>
      <c r="AJ855">
        <v>0</v>
      </c>
      <c r="AK855">
        <v>34</v>
      </c>
      <c r="AL855" t="s">
        <v>12312</v>
      </c>
      <c r="AM855" t="s">
        <v>12313</v>
      </c>
      <c r="AN855" t="s">
        <v>15912</v>
      </c>
      <c r="AO855" t="s">
        <v>15913</v>
      </c>
      <c r="AP855" t="s">
        <v>74</v>
      </c>
      <c r="AQ855" t="s">
        <v>74</v>
      </c>
      <c r="AR855" t="s">
        <v>15914</v>
      </c>
      <c r="AS855" t="s">
        <v>15915</v>
      </c>
      <c r="AT855" t="s">
        <v>74</v>
      </c>
      <c r="AU855">
        <v>2012</v>
      </c>
      <c r="AV855">
        <v>39</v>
      </c>
      <c r="AW855">
        <v>5</v>
      </c>
      <c r="AX855" t="s">
        <v>74</v>
      </c>
      <c r="AY855" t="s">
        <v>74</v>
      </c>
      <c r="AZ855" t="s">
        <v>74</v>
      </c>
      <c r="BA855" t="s">
        <v>74</v>
      </c>
      <c r="BB855">
        <v>375</v>
      </c>
      <c r="BC855">
        <v>377</v>
      </c>
      <c r="BD855" t="s">
        <v>74</v>
      </c>
      <c r="BE855" t="s">
        <v>15916</v>
      </c>
      <c r="BF855" t="str">
        <f>HYPERLINK("http://dx.doi.org/10.1071/WR12014","http://dx.doi.org/10.1071/WR12014")</f>
        <v>http://dx.doi.org/10.1071/WR12014</v>
      </c>
      <c r="BG855" t="s">
        <v>74</v>
      </c>
      <c r="BH855" t="s">
        <v>74</v>
      </c>
      <c r="BI855">
        <v>3</v>
      </c>
      <c r="BJ855" t="s">
        <v>2943</v>
      </c>
      <c r="BK855" t="s">
        <v>99</v>
      </c>
      <c r="BL855" t="s">
        <v>2944</v>
      </c>
      <c r="BM855" t="s">
        <v>15917</v>
      </c>
      <c r="BN855" t="s">
        <v>74</v>
      </c>
      <c r="BO855" t="s">
        <v>74</v>
      </c>
      <c r="BP855" t="s">
        <v>74</v>
      </c>
      <c r="BQ855" t="s">
        <v>74</v>
      </c>
      <c r="BR855" t="s">
        <v>101</v>
      </c>
      <c r="BS855" t="s">
        <v>15918</v>
      </c>
      <c r="BT855" t="str">
        <f>HYPERLINK("https%3A%2F%2Fwww.webofscience.com%2Fwos%2Fwoscc%2Ffull-record%2FWOS:000305947900001","View Full Record in Web of Science")</f>
        <v>View Full Record in Web of Science</v>
      </c>
    </row>
    <row r="856" spans="1:72" x14ac:dyDescent="0.15">
      <c r="A856" t="s">
        <v>72</v>
      </c>
      <c r="B856" t="s">
        <v>15919</v>
      </c>
      <c r="C856" t="s">
        <v>74</v>
      </c>
      <c r="D856" t="s">
        <v>74</v>
      </c>
      <c r="E856" t="s">
        <v>74</v>
      </c>
      <c r="F856" t="s">
        <v>15920</v>
      </c>
      <c r="G856" t="s">
        <v>74</v>
      </c>
      <c r="H856" t="s">
        <v>74</v>
      </c>
      <c r="I856" t="s">
        <v>15921</v>
      </c>
      <c r="J856" t="s">
        <v>13191</v>
      </c>
      <c r="K856" t="s">
        <v>74</v>
      </c>
      <c r="L856" t="s">
        <v>74</v>
      </c>
      <c r="M856" t="s">
        <v>78</v>
      </c>
      <c r="N856" t="s">
        <v>79</v>
      </c>
      <c r="O856" t="s">
        <v>74</v>
      </c>
      <c r="P856" t="s">
        <v>74</v>
      </c>
      <c r="Q856" t="s">
        <v>74</v>
      </c>
      <c r="R856" t="s">
        <v>74</v>
      </c>
      <c r="S856" t="s">
        <v>74</v>
      </c>
      <c r="T856" t="s">
        <v>15922</v>
      </c>
      <c r="U856" t="s">
        <v>15923</v>
      </c>
      <c r="V856" t="s">
        <v>15924</v>
      </c>
      <c r="W856" t="s">
        <v>15925</v>
      </c>
      <c r="X856" t="s">
        <v>15926</v>
      </c>
      <c r="Y856" t="s">
        <v>15927</v>
      </c>
      <c r="Z856" t="s">
        <v>15928</v>
      </c>
      <c r="AA856" t="s">
        <v>15929</v>
      </c>
      <c r="AB856" t="s">
        <v>6309</v>
      </c>
      <c r="AC856" t="s">
        <v>15930</v>
      </c>
      <c r="AD856" t="s">
        <v>15931</v>
      </c>
      <c r="AE856" t="s">
        <v>15932</v>
      </c>
      <c r="AF856" t="s">
        <v>74</v>
      </c>
      <c r="AG856">
        <v>89</v>
      </c>
      <c r="AH856">
        <v>25</v>
      </c>
      <c r="AI856">
        <v>27</v>
      </c>
      <c r="AJ856">
        <v>0</v>
      </c>
      <c r="AK856">
        <v>23</v>
      </c>
      <c r="AL856" t="s">
        <v>13203</v>
      </c>
      <c r="AM856" t="s">
        <v>13204</v>
      </c>
      <c r="AN856" t="s">
        <v>13205</v>
      </c>
      <c r="AO856" t="s">
        <v>13206</v>
      </c>
      <c r="AP856" t="s">
        <v>74</v>
      </c>
      <c r="AQ856" t="s">
        <v>74</v>
      </c>
      <c r="AR856" t="s">
        <v>13207</v>
      </c>
      <c r="AS856" t="s">
        <v>13208</v>
      </c>
      <c r="AT856" t="s">
        <v>74</v>
      </c>
      <c r="AU856">
        <v>2012</v>
      </c>
      <c r="AV856">
        <v>39</v>
      </c>
      <c r="AW856">
        <v>1</v>
      </c>
      <c r="AX856" t="s">
        <v>74</v>
      </c>
      <c r="AY856" t="s">
        <v>74</v>
      </c>
      <c r="AZ856" t="s">
        <v>74</v>
      </c>
      <c r="BA856" t="s">
        <v>74</v>
      </c>
      <c r="BB856">
        <v>1</v>
      </c>
      <c r="BC856">
        <v>21</v>
      </c>
      <c r="BD856" t="s">
        <v>74</v>
      </c>
      <c r="BE856" t="s">
        <v>15933</v>
      </c>
      <c r="BF856" t="str">
        <f>HYPERLINK("http://dx.doi.org/10.5027/andgeoV39N1-a01","http://dx.doi.org/10.5027/andgeoV39N1-a01")</f>
        <v>http://dx.doi.org/10.5027/andgeoV39N1-a01</v>
      </c>
      <c r="BG856" t="s">
        <v>74</v>
      </c>
      <c r="BH856" t="s">
        <v>74</v>
      </c>
      <c r="BI856">
        <v>21</v>
      </c>
      <c r="BJ856" t="s">
        <v>195</v>
      </c>
      <c r="BK856" t="s">
        <v>99</v>
      </c>
      <c r="BL856" t="s">
        <v>195</v>
      </c>
      <c r="BM856" t="s">
        <v>15934</v>
      </c>
      <c r="BN856" t="s">
        <v>74</v>
      </c>
      <c r="BO856" t="s">
        <v>2083</v>
      </c>
      <c r="BP856" t="s">
        <v>74</v>
      </c>
      <c r="BQ856" t="s">
        <v>74</v>
      </c>
      <c r="BR856" t="s">
        <v>101</v>
      </c>
      <c r="BS856" t="s">
        <v>15935</v>
      </c>
      <c r="BT856" t="str">
        <f>HYPERLINK("https%3A%2F%2Fwww.webofscience.com%2Fwos%2Fwoscc%2Ffull-record%2FWOS:000305567600001","View Full Record in Web of Science")</f>
        <v>View Full Record in Web of Science</v>
      </c>
    </row>
    <row r="857" spans="1:72" x14ac:dyDescent="0.15">
      <c r="A857" t="s">
        <v>72</v>
      </c>
      <c r="B857" t="s">
        <v>15936</v>
      </c>
      <c r="C857" t="s">
        <v>74</v>
      </c>
      <c r="D857" t="s">
        <v>74</v>
      </c>
      <c r="E857" t="s">
        <v>74</v>
      </c>
      <c r="F857" t="s">
        <v>15937</v>
      </c>
      <c r="G857" t="s">
        <v>74</v>
      </c>
      <c r="H857" t="s">
        <v>74</v>
      </c>
      <c r="I857" t="s">
        <v>15938</v>
      </c>
      <c r="J857" t="s">
        <v>13191</v>
      </c>
      <c r="K857" t="s">
        <v>74</v>
      </c>
      <c r="L857" t="s">
        <v>74</v>
      </c>
      <c r="M857" t="s">
        <v>15708</v>
      </c>
      <c r="N857" t="s">
        <v>79</v>
      </c>
      <c r="O857" t="s">
        <v>74</v>
      </c>
      <c r="P857" t="s">
        <v>74</v>
      </c>
      <c r="Q857" t="s">
        <v>74</v>
      </c>
      <c r="R857" t="s">
        <v>74</v>
      </c>
      <c r="S857" t="s">
        <v>74</v>
      </c>
      <c r="T857" t="s">
        <v>15939</v>
      </c>
      <c r="U857" t="s">
        <v>15940</v>
      </c>
      <c r="V857" t="s">
        <v>15941</v>
      </c>
      <c r="W857" t="s">
        <v>15942</v>
      </c>
      <c r="X857" t="s">
        <v>15943</v>
      </c>
      <c r="Y857" t="s">
        <v>15944</v>
      </c>
      <c r="Z857" t="s">
        <v>15945</v>
      </c>
      <c r="AA857" t="s">
        <v>74</v>
      </c>
      <c r="AB857" t="s">
        <v>74</v>
      </c>
      <c r="AC857" t="s">
        <v>74</v>
      </c>
      <c r="AD857" t="s">
        <v>74</v>
      </c>
      <c r="AE857" t="s">
        <v>74</v>
      </c>
      <c r="AF857" t="s">
        <v>74</v>
      </c>
      <c r="AG857">
        <v>58</v>
      </c>
      <c r="AH857">
        <v>21</v>
      </c>
      <c r="AI857">
        <v>27</v>
      </c>
      <c r="AJ857">
        <v>0</v>
      </c>
      <c r="AK857">
        <v>13</v>
      </c>
      <c r="AL857" t="s">
        <v>13203</v>
      </c>
      <c r="AM857" t="s">
        <v>13204</v>
      </c>
      <c r="AN857" t="s">
        <v>13205</v>
      </c>
      <c r="AO857" t="s">
        <v>13206</v>
      </c>
      <c r="AP857" t="s">
        <v>74</v>
      </c>
      <c r="AQ857" t="s">
        <v>74</v>
      </c>
      <c r="AR857" t="s">
        <v>13207</v>
      </c>
      <c r="AS857" t="s">
        <v>13208</v>
      </c>
      <c r="AT857" t="s">
        <v>74</v>
      </c>
      <c r="AU857">
        <v>2012</v>
      </c>
      <c r="AV857">
        <v>39</v>
      </c>
      <c r="AW857">
        <v>1</v>
      </c>
      <c r="AX857" t="s">
        <v>74</v>
      </c>
      <c r="AY857" t="s">
        <v>74</v>
      </c>
      <c r="AZ857" t="s">
        <v>74</v>
      </c>
      <c r="BA857" t="s">
        <v>74</v>
      </c>
      <c r="BB857">
        <v>67</v>
      </c>
      <c r="BC857">
        <v>91</v>
      </c>
      <c r="BD857" t="s">
        <v>74</v>
      </c>
      <c r="BE857" t="s">
        <v>15946</v>
      </c>
      <c r="BF857" t="str">
        <f>HYPERLINK("http://dx.doi.org/10.5027/andgeoV39N1-a04","http://dx.doi.org/10.5027/andgeoV39N1-a04")</f>
        <v>http://dx.doi.org/10.5027/andgeoV39N1-a04</v>
      </c>
      <c r="BG857" t="s">
        <v>74</v>
      </c>
      <c r="BH857" t="s">
        <v>74</v>
      </c>
      <c r="BI857">
        <v>25</v>
      </c>
      <c r="BJ857" t="s">
        <v>195</v>
      </c>
      <c r="BK857" t="s">
        <v>99</v>
      </c>
      <c r="BL857" t="s">
        <v>195</v>
      </c>
      <c r="BM857" t="s">
        <v>15934</v>
      </c>
      <c r="BN857" t="s">
        <v>74</v>
      </c>
      <c r="BO857" t="s">
        <v>9400</v>
      </c>
      <c r="BP857" t="s">
        <v>74</v>
      </c>
      <c r="BQ857" t="s">
        <v>74</v>
      </c>
      <c r="BR857" t="s">
        <v>101</v>
      </c>
      <c r="BS857" t="s">
        <v>15947</v>
      </c>
      <c r="BT857" t="str">
        <f>HYPERLINK("https%3A%2F%2Fwww.webofscience.com%2Fwos%2Fwoscc%2Ffull-record%2FWOS:000305567600004","View Full Record in Web of Science")</f>
        <v>View Full Record in Web of Science</v>
      </c>
    </row>
    <row r="858" spans="1:72" x14ac:dyDescent="0.15">
      <c r="A858" t="s">
        <v>72</v>
      </c>
      <c r="B858" t="s">
        <v>15948</v>
      </c>
      <c r="C858" t="s">
        <v>74</v>
      </c>
      <c r="D858" t="s">
        <v>74</v>
      </c>
      <c r="E858" t="s">
        <v>74</v>
      </c>
      <c r="F858" t="s">
        <v>15949</v>
      </c>
      <c r="G858" t="s">
        <v>74</v>
      </c>
      <c r="H858" t="s">
        <v>74</v>
      </c>
      <c r="I858" t="s">
        <v>15950</v>
      </c>
      <c r="J858" t="s">
        <v>13191</v>
      </c>
      <c r="K858" t="s">
        <v>74</v>
      </c>
      <c r="L858" t="s">
        <v>74</v>
      </c>
      <c r="M858" t="s">
        <v>78</v>
      </c>
      <c r="N858" t="s">
        <v>79</v>
      </c>
      <c r="O858" t="s">
        <v>74</v>
      </c>
      <c r="P858" t="s">
        <v>74</v>
      </c>
      <c r="Q858" t="s">
        <v>74</v>
      </c>
      <c r="R858" t="s">
        <v>74</v>
      </c>
      <c r="S858" t="s">
        <v>74</v>
      </c>
      <c r="T858" t="s">
        <v>15951</v>
      </c>
      <c r="U858" t="s">
        <v>15952</v>
      </c>
      <c r="V858" t="s">
        <v>15953</v>
      </c>
      <c r="W858" t="s">
        <v>15954</v>
      </c>
      <c r="X858" t="s">
        <v>15955</v>
      </c>
      <c r="Y858" t="s">
        <v>15956</v>
      </c>
      <c r="Z858" t="s">
        <v>15957</v>
      </c>
      <c r="AA858" t="s">
        <v>15958</v>
      </c>
      <c r="AB858" t="s">
        <v>15959</v>
      </c>
      <c r="AC858" t="s">
        <v>15960</v>
      </c>
      <c r="AD858" t="s">
        <v>15961</v>
      </c>
      <c r="AE858" t="s">
        <v>15962</v>
      </c>
      <c r="AF858" t="s">
        <v>74</v>
      </c>
      <c r="AG858">
        <v>106</v>
      </c>
      <c r="AH858">
        <v>36</v>
      </c>
      <c r="AI858">
        <v>41</v>
      </c>
      <c r="AJ858">
        <v>1</v>
      </c>
      <c r="AK858">
        <v>16</v>
      </c>
      <c r="AL858" t="s">
        <v>13203</v>
      </c>
      <c r="AM858" t="s">
        <v>13204</v>
      </c>
      <c r="AN858" t="s">
        <v>13205</v>
      </c>
      <c r="AO858" t="s">
        <v>13206</v>
      </c>
      <c r="AP858" t="s">
        <v>74</v>
      </c>
      <c r="AQ858" t="s">
        <v>74</v>
      </c>
      <c r="AR858" t="s">
        <v>13207</v>
      </c>
      <c r="AS858" t="s">
        <v>13208</v>
      </c>
      <c r="AT858" t="s">
        <v>74</v>
      </c>
      <c r="AU858">
        <v>2012</v>
      </c>
      <c r="AV858">
        <v>39</v>
      </c>
      <c r="AW858">
        <v>1</v>
      </c>
      <c r="AX858" t="s">
        <v>74</v>
      </c>
      <c r="AY858" t="s">
        <v>74</v>
      </c>
      <c r="AZ858" t="s">
        <v>74</v>
      </c>
      <c r="BA858" t="s">
        <v>74</v>
      </c>
      <c r="BB858">
        <v>180</v>
      </c>
      <c r="BC858">
        <v>200</v>
      </c>
      <c r="BD858" t="s">
        <v>74</v>
      </c>
      <c r="BE858" t="s">
        <v>15963</v>
      </c>
      <c r="BF858" t="str">
        <f>HYPERLINK("http://dx.doi.org/10.5027/andgeoV39N1-a09","http://dx.doi.org/10.5027/andgeoV39N1-a09")</f>
        <v>http://dx.doi.org/10.5027/andgeoV39N1-a09</v>
      </c>
      <c r="BG858" t="s">
        <v>74</v>
      </c>
      <c r="BH858" t="s">
        <v>74</v>
      </c>
      <c r="BI858">
        <v>21</v>
      </c>
      <c r="BJ858" t="s">
        <v>195</v>
      </c>
      <c r="BK858" t="s">
        <v>99</v>
      </c>
      <c r="BL858" t="s">
        <v>195</v>
      </c>
      <c r="BM858" t="s">
        <v>15934</v>
      </c>
      <c r="BN858" t="s">
        <v>74</v>
      </c>
      <c r="BO858" t="s">
        <v>3496</v>
      </c>
      <c r="BP858" t="s">
        <v>74</v>
      </c>
      <c r="BQ858" t="s">
        <v>74</v>
      </c>
      <c r="BR858" t="s">
        <v>101</v>
      </c>
      <c r="BS858" t="s">
        <v>15964</v>
      </c>
      <c r="BT858" t="str">
        <f>HYPERLINK("https%3A%2F%2Fwww.webofscience.com%2Fwos%2Fwoscc%2Ffull-record%2FWOS:000305567600009","View Full Record in Web of Science")</f>
        <v>View Full Record in Web of Science</v>
      </c>
    </row>
    <row r="859" spans="1:72" x14ac:dyDescent="0.15">
      <c r="A859" t="s">
        <v>72</v>
      </c>
      <c r="B859" t="s">
        <v>15965</v>
      </c>
      <c r="C859" t="s">
        <v>74</v>
      </c>
      <c r="D859" t="s">
        <v>74</v>
      </c>
      <c r="E859" t="s">
        <v>74</v>
      </c>
      <c r="F859" t="s">
        <v>15966</v>
      </c>
      <c r="G859" t="s">
        <v>74</v>
      </c>
      <c r="H859" t="s">
        <v>74</v>
      </c>
      <c r="I859" t="s">
        <v>15967</v>
      </c>
      <c r="J859" t="s">
        <v>15968</v>
      </c>
      <c r="K859" t="s">
        <v>74</v>
      </c>
      <c r="L859" t="s">
        <v>74</v>
      </c>
      <c r="M859" t="s">
        <v>78</v>
      </c>
      <c r="N859" t="s">
        <v>79</v>
      </c>
      <c r="O859" t="s">
        <v>74</v>
      </c>
      <c r="P859" t="s">
        <v>74</v>
      </c>
      <c r="Q859" t="s">
        <v>74</v>
      </c>
      <c r="R859" t="s">
        <v>74</v>
      </c>
      <c r="S859" t="s">
        <v>74</v>
      </c>
      <c r="T859" t="s">
        <v>15969</v>
      </c>
      <c r="U859" t="s">
        <v>15970</v>
      </c>
      <c r="V859" t="s">
        <v>15971</v>
      </c>
      <c r="W859" t="s">
        <v>15972</v>
      </c>
      <c r="X859" t="s">
        <v>15973</v>
      </c>
      <c r="Y859" t="s">
        <v>15974</v>
      </c>
      <c r="Z859" t="s">
        <v>15975</v>
      </c>
      <c r="AA859" t="s">
        <v>15976</v>
      </c>
      <c r="AB859" t="s">
        <v>15977</v>
      </c>
      <c r="AC859" t="s">
        <v>74</v>
      </c>
      <c r="AD859" t="s">
        <v>74</v>
      </c>
      <c r="AE859" t="s">
        <v>74</v>
      </c>
      <c r="AF859" t="s">
        <v>74</v>
      </c>
      <c r="AG859">
        <v>65</v>
      </c>
      <c r="AH859">
        <v>42</v>
      </c>
      <c r="AI859">
        <v>55</v>
      </c>
      <c r="AJ859">
        <v>1</v>
      </c>
      <c r="AK859">
        <v>58</v>
      </c>
      <c r="AL859" t="s">
        <v>15978</v>
      </c>
      <c r="AM859" t="s">
        <v>15979</v>
      </c>
      <c r="AN859" t="s">
        <v>15980</v>
      </c>
      <c r="AO859" t="s">
        <v>15981</v>
      </c>
      <c r="AP859" t="s">
        <v>74</v>
      </c>
      <c r="AQ859" t="s">
        <v>74</v>
      </c>
      <c r="AR859" t="s">
        <v>15982</v>
      </c>
      <c r="AS859" t="s">
        <v>15983</v>
      </c>
      <c r="AT859" t="s">
        <v>74</v>
      </c>
      <c r="AU859">
        <v>2012</v>
      </c>
      <c r="AV859">
        <v>167</v>
      </c>
      <c r="AW859">
        <v>6</v>
      </c>
      <c r="AX859" t="s">
        <v>74</v>
      </c>
      <c r="AY859" t="s">
        <v>74</v>
      </c>
      <c r="AZ859" t="s">
        <v>74</v>
      </c>
      <c r="BA859" t="s">
        <v>74</v>
      </c>
      <c r="BB859">
        <v>372</v>
      </c>
      <c r="BC859">
        <v>380</v>
      </c>
      <c r="BD859" t="s">
        <v>74</v>
      </c>
      <c r="BE859" t="s">
        <v>15984</v>
      </c>
      <c r="BF859" t="str">
        <f>HYPERLINK("http://dx.doi.org/10.1016/j.micres.2012.03.003","http://dx.doi.org/10.1016/j.micres.2012.03.003")</f>
        <v>http://dx.doi.org/10.1016/j.micres.2012.03.003</v>
      </c>
      <c r="BG859" t="s">
        <v>74</v>
      </c>
      <c r="BH859" t="s">
        <v>74</v>
      </c>
      <c r="BI859">
        <v>9</v>
      </c>
      <c r="BJ859" t="s">
        <v>686</v>
      </c>
      <c r="BK859" t="s">
        <v>99</v>
      </c>
      <c r="BL859" t="s">
        <v>686</v>
      </c>
      <c r="BM859" t="s">
        <v>15985</v>
      </c>
      <c r="BN859">
        <v>22537873</v>
      </c>
      <c r="BO859" t="s">
        <v>74</v>
      </c>
      <c r="BP859" t="s">
        <v>74</v>
      </c>
      <c r="BQ859" t="s">
        <v>74</v>
      </c>
      <c r="BR859" t="s">
        <v>101</v>
      </c>
      <c r="BS859" t="s">
        <v>15986</v>
      </c>
      <c r="BT859" t="str">
        <f>HYPERLINK("https%3A%2F%2Fwww.webofscience.com%2Fwos%2Fwoscc%2Ffull-record%2FWOS:000305658300009","View Full Record in Web of Science")</f>
        <v>View Full Record in Web of Science</v>
      </c>
    </row>
    <row r="860" spans="1:72" x14ac:dyDescent="0.15">
      <c r="A860" t="s">
        <v>72</v>
      </c>
      <c r="B860" t="s">
        <v>15987</v>
      </c>
      <c r="C860" t="s">
        <v>74</v>
      </c>
      <c r="D860" t="s">
        <v>74</v>
      </c>
      <c r="E860" t="s">
        <v>74</v>
      </c>
      <c r="F860" t="s">
        <v>15988</v>
      </c>
      <c r="G860" t="s">
        <v>74</v>
      </c>
      <c r="H860" t="s">
        <v>74</v>
      </c>
      <c r="I860" t="s">
        <v>15989</v>
      </c>
      <c r="J860" t="s">
        <v>13901</v>
      </c>
      <c r="K860" t="s">
        <v>74</v>
      </c>
      <c r="L860" t="s">
        <v>74</v>
      </c>
      <c r="M860" t="s">
        <v>78</v>
      </c>
      <c r="N860" t="s">
        <v>79</v>
      </c>
      <c r="O860" t="s">
        <v>74</v>
      </c>
      <c r="P860" t="s">
        <v>74</v>
      </c>
      <c r="Q860" t="s">
        <v>74</v>
      </c>
      <c r="R860" t="s">
        <v>74</v>
      </c>
      <c r="S860" t="s">
        <v>74</v>
      </c>
      <c r="T860" t="s">
        <v>15990</v>
      </c>
      <c r="U860" t="s">
        <v>74</v>
      </c>
      <c r="V860" t="s">
        <v>15991</v>
      </c>
      <c r="W860" t="s">
        <v>74</v>
      </c>
      <c r="X860" t="s">
        <v>74</v>
      </c>
      <c r="Y860" t="s">
        <v>15992</v>
      </c>
      <c r="Z860" t="s">
        <v>15993</v>
      </c>
      <c r="AA860" t="s">
        <v>74</v>
      </c>
      <c r="AB860" t="s">
        <v>74</v>
      </c>
      <c r="AC860" t="s">
        <v>74</v>
      </c>
      <c r="AD860" t="s">
        <v>74</v>
      </c>
      <c r="AE860" t="s">
        <v>74</v>
      </c>
      <c r="AF860" t="s">
        <v>74</v>
      </c>
      <c r="AG860">
        <v>13</v>
      </c>
      <c r="AH860">
        <v>7</v>
      </c>
      <c r="AI860">
        <v>7</v>
      </c>
      <c r="AJ860">
        <v>0</v>
      </c>
      <c r="AK860">
        <v>14</v>
      </c>
      <c r="AL860" t="s">
        <v>761</v>
      </c>
      <c r="AM860" t="s">
        <v>762</v>
      </c>
      <c r="AN860" t="s">
        <v>763</v>
      </c>
      <c r="AO860" t="s">
        <v>13913</v>
      </c>
      <c r="AP860" t="s">
        <v>15994</v>
      </c>
      <c r="AQ860" t="s">
        <v>74</v>
      </c>
      <c r="AR860" t="s">
        <v>13914</v>
      </c>
      <c r="AS860" t="s">
        <v>13915</v>
      </c>
      <c r="AT860" t="s">
        <v>74</v>
      </c>
      <c r="AU860">
        <v>2012</v>
      </c>
      <c r="AV860">
        <v>50</v>
      </c>
      <c r="AW860">
        <v>1</v>
      </c>
      <c r="AX860" t="s">
        <v>74</v>
      </c>
      <c r="AY860" t="s">
        <v>74</v>
      </c>
      <c r="AZ860" t="s">
        <v>74</v>
      </c>
      <c r="BA860" t="s">
        <v>74</v>
      </c>
      <c r="BB860">
        <v>83</v>
      </c>
      <c r="BC860">
        <v>85</v>
      </c>
      <c r="BD860" t="s">
        <v>74</v>
      </c>
      <c r="BE860" t="s">
        <v>15995</v>
      </c>
      <c r="BF860" t="str">
        <f>HYPERLINK("http://dx.doi.org/10.1080/0028825X.2011.621715","http://dx.doi.org/10.1080/0028825X.2011.621715")</f>
        <v>http://dx.doi.org/10.1080/0028825X.2011.621715</v>
      </c>
      <c r="BG860" t="s">
        <v>74</v>
      </c>
      <c r="BH860" t="s">
        <v>74</v>
      </c>
      <c r="BI860">
        <v>3</v>
      </c>
      <c r="BJ860" t="s">
        <v>396</v>
      </c>
      <c r="BK860" t="s">
        <v>99</v>
      </c>
      <c r="BL860" t="s">
        <v>396</v>
      </c>
      <c r="BM860" t="s">
        <v>15996</v>
      </c>
      <c r="BN860" t="s">
        <v>74</v>
      </c>
      <c r="BO860" t="s">
        <v>217</v>
      </c>
      <c r="BP860" t="s">
        <v>74</v>
      </c>
      <c r="BQ860" t="s">
        <v>74</v>
      </c>
      <c r="BR860" t="s">
        <v>101</v>
      </c>
      <c r="BS860" t="s">
        <v>15997</v>
      </c>
      <c r="BT860" t="str">
        <f>HYPERLINK("https%3A%2F%2Fwww.webofscience.com%2Fwos%2Fwoscc%2Ffull-record%2FWOS:000305291100010","View Full Record in Web of Science")</f>
        <v>View Full Record in Web of Science</v>
      </c>
    </row>
    <row r="861" spans="1:72" x14ac:dyDescent="0.15">
      <c r="A861" t="s">
        <v>12134</v>
      </c>
      <c r="B861" t="s">
        <v>15998</v>
      </c>
      <c r="C861" t="s">
        <v>74</v>
      </c>
      <c r="D861" t="s">
        <v>15999</v>
      </c>
      <c r="E861" t="s">
        <v>74</v>
      </c>
      <c r="F861" t="s">
        <v>16000</v>
      </c>
      <c r="G861" t="s">
        <v>74</v>
      </c>
      <c r="H861" t="s">
        <v>74</v>
      </c>
      <c r="I861" t="s">
        <v>16001</v>
      </c>
      <c r="J861" t="s">
        <v>16002</v>
      </c>
      <c r="K861" t="s">
        <v>16003</v>
      </c>
      <c r="L861" t="s">
        <v>74</v>
      </c>
      <c r="M861" t="s">
        <v>78</v>
      </c>
      <c r="N861" t="s">
        <v>12141</v>
      </c>
      <c r="O861" t="s">
        <v>74</v>
      </c>
      <c r="P861" t="s">
        <v>74</v>
      </c>
      <c r="Q861" t="s">
        <v>74</v>
      </c>
      <c r="R861" t="s">
        <v>74</v>
      </c>
      <c r="S861" t="s">
        <v>74</v>
      </c>
      <c r="T861" t="s">
        <v>16004</v>
      </c>
      <c r="U861" t="s">
        <v>16005</v>
      </c>
      <c r="V861" t="s">
        <v>16006</v>
      </c>
      <c r="W861" t="s">
        <v>16007</v>
      </c>
      <c r="X861" t="s">
        <v>16008</v>
      </c>
      <c r="Y861" t="s">
        <v>16009</v>
      </c>
      <c r="Z861" t="s">
        <v>16010</v>
      </c>
      <c r="AA861" t="s">
        <v>74</v>
      </c>
      <c r="AB861" t="s">
        <v>74</v>
      </c>
      <c r="AC861" t="s">
        <v>74</v>
      </c>
      <c r="AD861" t="s">
        <v>74</v>
      </c>
      <c r="AE861" t="s">
        <v>74</v>
      </c>
      <c r="AF861" t="s">
        <v>74</v>
      </c>
      <c r="AG861">
        <v>409</v>
      </c>
      <c r="AH861">
        <v>7</v>
      </c>
      <c r="AI861">
        <v>7</v>
      </c>
      <c r="AJ861">
        <v>2</v>
      </c>
      <c r="AK861">
        <v>12</v>
      </c>
      <c r="AL861" t="s">
        <v>655</v>
      </c>
      <c r="AM861" t="s">
        <v>1442</v>
      </c>
      <c r="AN861" t="s">
        <v>15564</v>
      </c>
      <c r="AO861" t="s">
        <v>16011</v>
      </c>
      <c r="AP861" t="s">
        <v>74</v>
      </c>
      <c r="AQ861" t="s">
        <v>16012</v>
      </c>
      <c r="AR861" t="s">
        <v>16013</v>
      </c>
      <c r="AS861" t="s">
        <v>74</v>
      </c>
      <c r="AT861" t="s">
        <v>74</v>
      </c>
      <c r="AU861">
        <v>2012</v>
      </c>
      <c r="AV861">
        <v>43</v>
      </c>
      <c r="AW861" t="s">
        <v>74</v>
      </c>
      <c r="AX861" t="s">
        <v>74</v>
      </c>
      <c r="AY861" t="s">
        <v>74</v>
      </c>
      <c r="AZ861" t="s">
        <v>74</v>
      </c>
      <c r="BA861" t="s">
        <v>74</v>
      </c>
      <c r="BB861">
        <v>27</v>
      </c>
      <c r="BC861">
        <v>115</v>
      </c>
      <c r="BD861" t="s">
        <v>74</v>
      </c>
      <c r="BE861" t="s">
        <v>16014</v>
      </c>
      <c r="BF861" t="str">
        <f>HYPERLINK("http://dx.doi.org/10.1007/978-94-007-2027-5_3","http://dx.doi.org/10.1007/978-94-007-2027-5_3")</f>
        <v>http://dx.doi.org/10.1007/978-94-007-2027-5_3</v>
      </c>
      <c r="BG861" t="s">
        <v>16015</v>
      </c>
      <c r="BH861" t="s">
        <v>74</v>
      </c>
      <c r="BI861">
        <v>89</v>
      </c>
      <c r="BJ861" t="s">
        <v>16016</v>
      </c>
      <c r="BK861" t="s">
        <v>12155</v>
      </c>
      <c r="BL861" t="s">
        <v>16017</v>
      </c>
      <c r="BM861" t="s">
        <v>16018</v>
      </c>
      <c r="BN861" t="s">
        <v>74</v>
      </c>
      <c r="BO861" t="s">
        <v>74</v>
      </c>
      <c r="BP861" t="s">
        <v>74</v>
      </c>
      <c r="BQ861" t="s">
        <v>74</v>
      </c>
      <c r="BR861" t="s">
        <v>101</v>
      </c>
      <c r="BS861" t="s">
        <v>16019</v>
      </c>
      <c r="BT861" t="str">
        <f>HYPERLINK("https%3A%2F%2Fwww.webofscience.com%2Fwos%2Fwoscc%2Ffull-record%2FWOS:000303779100003","View Full Record in Web of Science")</f>
        <v>View Full Record in Web of Science</v>
      </c>
    </row>
    <row r="862" spans="1:72" x14ac:dyDescent="0.15">
      <c r="A862" t="s">
        <v>72</v>
      </c>
      <c r="B862" t="s">
        <v>16020</v>
      </c>
      <c r="C862" t="s">
        <v>74</v>
      </c>
      <c r="D862" t="s">
        <v>74</v>
      </c>
      <c r="E862" t="s">
        <v>74</v>
      </c>
      <c r="F862" t="s">
        <v>16021</v>
      </c>
      <c r="G862" t="s">
        <v>74</v>
      </c>
      <c r="H862" t="s">
        <v>74</v>
      </c>
      <c r="I862" t="s">
        <v>16022</v>
      </c>
      <c r="J862" t="s">
        <v>16023</v>
      </c>
      <c r="K862" t="s">
        <v>74</v>
      </c>
      <c r="L862" t="s">
        <v>74</v>
      </c>
      <c r="M862" t="s">
        <v>78</v>
      </c>
      <c r="N862" t="s">
        <v>79</v>
      </c>
      <c r="O862" t="s">
        <v>74</v>
      </c>
      <c r="P862" t="s">
        <v>74</v>
      </c>
      <c r="Q862" t="s">
        <v>74</v>
      </c>
      <c r="R862" t="s">
        <v>74</v>
      </c>
      <c r="S862" t="s">
        <v>74</v>
      </c>
      <c r="T862" t="s">
        <v>16024</v>
      </c>
      <c r="U862" t="s">
        <v>16025</v>
      </c>
      <c r="V862" t="s">
        <v>16026</v>
      </c>
      <c r="W862" t="s">
        <v>16027</v>
      </c>
      <c r="X862" t="s">
        <v>1434</v>
      </c>
      <c r="Y862" t="s">
        <v>16028</v>
      </c>
      <c r="Z862" t="s">
        <v>1436</v>
      </c>
      <c r="AA862" t="s">
        <v>16029</v>
      </c>
      <c r="AB862" t="s">
        <v>16030</v>
      </c>
      <c r="AC862" t="s">
        <v>16031</v>
      </c>
      <c r="AD862" t="s">
        <v>16032</v>
      </c>
      <c r="AE862" t="s">
        <v>16033</v>
      </c>
      <c r="AF862" t="s">
        <v>74</v>
      </c>
      <c r="AG862">
        <v>42</v>
      </c>
      <c r="AH862">
        <v>14</v>
      </c>
      <c r="AI862">
        <v>14</v>
      </c>
      <c r="AJ862">
        <v>2</v>
      </c>
      <c r="AK862">
        <v>21</v>
      </c>
      <c r="AL862" t="s">
        <v>16034</v>
      </c>
      <c r="AM862" t="s">
        <v>16035</v>
      </c>
      <c r="AN862" t="s">
        <v>16036</v>
      </c>
      <c r="AO862" t="s">
        <v>74</v>
      </c>
      <c r="AP862" t="s">
        <v>16037</v>
      </c>
      <c r="AQ862" t="s">
        <v>74</v>
      </c>
      <c r="AR862" t="s">
        <v>16038</v>
      </c>
      <c r="AS862" t="s">
        <v>16039</v>
      </c>
      <c r="AT862" t="s">
        <v>74</v>
      </c>
      <c r="AU862">
        <v>2012</v>
      </c>
      <c r="AV862">
        <v>11</v>
      </c>
      <c r="AW862">
        <v>2</v>
      </c>
      <c r="AX862" t="s">
        <v>74</v>
      </c>
      <c r="AY862" t="s">
        <v>74</v>
      </c>
      <c r="AZ862" t="s">
        <v>74</v>
      </c>
      <c r="BA862" t="s">
        <v>74</v>
      </c>
      <c r="BB862">
        <v>1627</v>
      </c>
      <c r="BC862">
        <v>1641</v>
      </c>
      <c r="BD862" t="s">
        <v>74</v>
      </c>
      <c r="BE862" t="s">
        <v>16040</v>
      </c>
      <c r="BF862" t="str">
        <f>HYPERLINK("http://dx.doi.org/10.4238/2012.June.15.12","http://dx.doi.org/10.4238/2012.June.15.12")</f>
        <v>http://dx.doi.org/10.4238/2012.June.15.12</v>
      </c>
      <c r="BG862" t="s">
        <v>74</v>
      </c>
      <c r="BH862" t="s">
        <v>74</v>
      </c>
      <c r="BI862">
        <v>15</v>
      </c>
      <c r="BJ862" t="s">
        <v>16041</v>
      </c>
      <c r="BK862" t="s">
        <v>99</v>
      </c>
      <c r="BL862" t="s">
        <v>16041</v>
      </c>
      <c r="BM862" t="s">
        <v>16042</v>
      </c>
      <c r="BN862">
        <v>22782582</v>
      </c>
      <c r="BO862" t="s">
        <v>197</v>
      </c>
      <c r="BP862" t="s">
        <v>74</v>
      </c>
      <c r="BQ862" t="s">
        <v>74</v>
      </c>
      <c r="BR862" t="s">
        <v>101</v>
      </c>
      <c r="BS862" t="s">
        <v>16043</v>
      </c>
      <c r="BT862" t="str">
        <f>HYPERLINK("https%3A%2F%2Fwww.webofscience.com%2Fwos%2Fwoscc%2Ffull-record%2FWOS:000305519600090","View Full Record in Web of Science")</f>
        <v>View Full Record in Web of Science</v>
      </c>
    </row>
    <row r="863" spans="1:72" x14ac:dyDescent="0.15">
      <c r="A863" t="s">
        <v>72</v>
      </c>
      <c r="B863" t="s">
        <v>16044</v>
      </c>
      <c r="C863" t="s">
        <v>74</v>
      </c>
      <c r="D863" t="s">
        <v>74</v>
      </c>
      <c r="E863" t="s">
        <v>74</v>
      </c>
      <c r="F863" t="s">
        <v>16045</v>
      </c>
      <c r="G863" t="s">
        <v>74</v>
      </c>
      <c r="H863" t="s">
        <v>74</v>
      </c>
      <c r="I863" t="s">
        <v>16046</v>
      </c>
      <c r="J863" t="s">
        <v>16047</v>
      </c>
      <c r="K863" t="s">
        <v>74</v>
      </c>
      <c r="L863" t="s">
        <v>74</v>
      </c>
      <c r="M863" t="s">
        <v>78</v>
      </c>
      <c r="N863" t="s">
        <v>16048</v>
      </c>
      <c r="O863" t="s">
        <v>74</v>
      </c>
      <c r="P863" t="s">
        <v>74</v>
      </c>
      <c r="Q863" t="s">
        <v>74</v>
      </c>
      <c r="R863" t="s">
        <v>74</v>
      </c>
      <c r="S863" t="s">
        <v>74</v>
      </c>
      <c r="T863" t="s">
        <v>16049</v>
      </c>
      <c r="U863" t="s">
        <v>16050</v>
      </c>
      <c r="V863" t="s">
        <v>16051</v>
      </c>
      <c r="W863" t="s">
        <v>16052</v>
      </c>
      <c r="X863" t="s">
        <v>74</v>
      </c>
      <c r="Y863" t="s">
        <v>16053</v>
      </c>
      <c r="Z863" t="s">
        <v>16054</v>
      </c>
      <c r="AA863" t="s">
        <v>74</v>
      </c>
      <c r="AB863" t="s">
        <v>16055</v>
      </c>
      <c r="AC863" t="s">
        <v>74</v>
      </c>
      <c r="AD863" t="s">
        <v>74</v>
      </c>
      <c r="AE863" t="s">
        <v>74</v>
      </c>
      <c r="AF863" t="s">
        <v>74</v>
      </c>
      <c r="AG863">
        <v>65</v>
      </c>
      <c r="AH863">
        <v>9</v>
      </c>
      <c r="AI863">
        <v>10</v>
      </c>
      <c r="AJ863">
        <v>0</v>
      </c>
      <c r="AK863">
        <v>8</v>
      </c>
      <c r="AL863" t="s">
        <v>761</v>
      </c>
      <c r="AM863" t="s">
        <v>762</v>
      </c>
      <c r="AN863" t="s">
        <v>763</v>
      </c>
      <c r="AO863" t="s">
        <v>16056</v>
      </c>
      <c r="AP863" t="s">
        <v>16057</v>
      </c>
      <c r="AQ863" t="s">
        <v>74</v>
      </c>
      <c r="AR863" t="s">
        <v>16058</v>
      </c>
      <c r="AS863" t="s">
        <v>16059</v>
      </c>
      <c r="AT863" t="s">
        <v>74</v>
      </c>
      <c r="AU863">
        <v>2012</v>
      </c>
      <c r="AV863">
        <v>48</v>
      </c>
      <c r="AW863">
        <v>2</v>
      </c>
      <c r="AX863" t="s">
        <v>74</v>
      </c>
      <c r="AY863" t="s">
        <v>74</v>
      </c>
      <c r="AZ863" t="s">
        <v>74</v>
      </c>
      <c r="BA863" t="s">
        <v>74</v>
      </c>
      <c r="BB863">
        <v>208</v>
      </c>
      <c r="BC863">
        <v>225</v>
      </c>
      <c r="BD863" t="s">
        <v>74</v>
      </c>
      <c r="BE863" t="s">
        <v>16060</v>
      </c>
      <c r="BF863" t="str">
        <f>HYPERLINK("http://dx.doi.org/10.1080/10256016.2012.677042","http://dx.doi.org/10.1080/10256016.2012.677042")</f>
        <v>http://dx.doi.org/10.1080/10256016.2012.677042</v>
      </c>
      <c r="BG863" t="s">
        <v>74</v>
      </c>
      <c r="BH863" t="s">
        <v>74</v>
      </c>
      <c r="BI863">
        <v>18</v>
      </c>
      <c r="BJ863" t="s">
        <v>16061</v>
      </c>
      <c r="BK863" t="s">
        <v>99</v>
      </c>
      <c r="BL863" t="s">
        <v>7774</v>
      </c>
      <c r="BM863" t="s">
        <v>16062</v>
      </c>
      <c r="BN863">
        <v>22502627</v>
      </c>
      <c r="BO863" t="s">
        <v>74</v>
      </c>
      <c r="BP863" t="s">
        <v>74</v>
      </c>
      <c r="BQ863" t="s">
        <v>74</v>
      </c>
      <c r="BR863" t="s">
        <v>101</v>
      </c>
      <c r="BS863" t="s">
        <v>16063</v>
      </c>
      <c r="BT863" t="str">
        <f>HYPERLINK("https%3A%2F%2Fwww.webofscience.com%2Fwos%2Fwoscc%2Ffull-record%2FWOS:000305410700002","View Full Record in Web of Science")</f>
        <v>View Full Record in Web of Science</v>
      </c>
    </row>
    <row r="864" spans="1:72" x14ac:dyDescent="0.15">
      <c r="A864" t="s">
        <v>72</v>
      </c>
      <c r="B864" t="s">
        <v>16064</v>
      </c>
      <c r="C864" t="s">
        <v>74</v>
      </c>
      <c r="D864" t="s">
        <v>74</v>
      </c>
      <c r="E864" t="s">
        <v>74</v>
      </c>
      <c r="F864" t="s">
        <v>16065</v>
      </c>
      <c r="G864" t="s">
        <v>74</v>
      </c>
      <c r="H864" t="s">
        <v>74</v>
      </c>
      <c r="I864" t="s">
        <v>16066</v>
      </c>
      <c r="J864" t="s">
        <v>13838</v>
      </c>
      <c r="K864" t="s">
        <v>74</v>
      </c>
      <c r="L864" t="s">
        <v>74</v>
      </c>
      <c r="M864" t="s">
        <v>78</v>
      </c>
      <c r="N864" t="s">
        <v>79</v>
      </c>
      <c r="O864" t="s">
        <v>74</v>
      </c>
      <c r="P864" t="s">
        <v>74</v>
      </c>
      <c r="Q864" t="s">
        <v>74</v>
      </c>
      <c r="R864" t="s">
        <v>74</v>
      </c>
      <c r="S864" t="s">
        <v>74</v>
      </c>
      <c r="T864" t="s">
        <v>74</v>
      </c>
      <c r="U864" t="s">
        <v>16067</v>
      </c>
      <c r="V864" t="s">
        <v>16068</v>
      </c>
      <c r="W864" t="s">
        <v>16069</v>
      </c>
      <c r="X864" t="s">
        <v>16070</v>
      </c>
      <c r="Y864" t="s">
        <v>16071</v>
      </c>
      <c r="Z864" t="s">
        <v>16072</v>
      </c>
      <c r="AA864" t="s">
        <v>16073</v>
      </c>
      <c r="AB864" t="s">
        <v>16074</v>
      </c>
      <c r="AC864" t="s">
        <v>16075</v>
      </c>
      <c r="AD864" t="s">
        <v>16076</v>
      </c>
      <c r="AE864" t="s">
        <v>16077</v>
      </c>
      <c r="AF864" t="s">
        <v>74</v>
      </c>
      <c r="AG864">
        <v>54</v>
      </c>
      <c r="AH864">
        <v>17</v>
      </c>
      <c r="AI864">
        <v>20</v>
      </c>
      <c r="AJ864">
        <v>1</v>
      </c>
      <c r="AK864">
        <v>18</v>
      </c>
      <c r="AL864" t="s">
        <v>1111</v>
      </c>
      <c r="AM864" t="s">
        <v>1112</v>
      </c>
      <c r="AN864" t="s">
        <v>1113</v>
      </c>
      <c r="AO864" t="s">
        <v>13846</v>
      </c>
      <c r="AP864" t="s">
        <v>13847</v>
      </c>
      <c r="AQ864" t="s">
        <v>74</v>
      </c>
      <c r="AR864" t="s">
        <v>13848</v>
      </c>
      <c r="AS864" t="s">
        <v>13849</v>
      </c>
      <c r="AT864" t="s">
        <v>74</v>
      </c>
      <c r="AU864">
        <v>2012</v>
      </c>
      <c r="AV864">
        <v>58</v>
      </c>
      <c r="AW864">
        <v>209</v>
      </c>
      <c r="AX864" t="s">
        <v>74</v>
      </c>
      <c r="AY864" t="s">
        <v>74</v>
      </c>
      <c r="AZ864" t="s">
        <v>74</v>
      </c>
      <c r="BA864" t="s">
        <v>74</v>
      </c>
      <c r="BB864">
        <v>529</v>
      </c>
      <c r="BC864">
        <v>539</v>
      </c>
      <c r="BD864" t="s">
        <v>74</v>
      </c>
      <c r="BE864" t="s">
        <v>16078</v>
      </c>
      <c r="BF864" t="str">
        <f>HYPERLINK("http://dx.doi.org/10.3189/2012JoG11J201","http://dx.doi.org/10.3189/2012JoG11J201")</f>
        <v>http://dx.doi.org/10.3189/2012JoG11J201</v>
      </c>
      <c r="BG864" t="s">
        <v>74</v>
      </c>
      <c r="BH864" t="s">
        <v>74</v>
      </c>
      <c r="BI864">
        <v>11</v>
      </c>
      <c r="BJ864" t="s">
        <v>943</v>
      </c>
      <c r="BK864" t="s">
        <v>99</v>
      </c>
      <c r="BL864" t="s">
        <v>944</v>
      </c>
      <c r="BM864" t="s">
        <v>16079</v>
      </c>
      <c r="BN864" t="s">
        <v>74</v>
      </c>
      <c r="BO864" t="s">
        <v>822</v>
      </c>
      <c r="BP864" t="s">
        <v>74</v>
      </c>
      <c r="BQ864" t="s">
        <v>74</v>
      </c>
      <c r="BR864" t="s">
        <v>101</v>
      </c>
      <c r="BS864" t="s">
        <v>16080</v>
      </c>
      <c r="BT864" t="str">
        <f>HYPERLINK("https%3A%2F%2Fwww.webofscience.com%2Fwos%2Fwoscc%2Ffull-record%2FWOS:000305310200008","View Full Record in Web of Science")</f>
        <v>View Full Record in Web of Science</v>
      </c>
    </row>
    <row r="865" spans="1:72" x14ac:dyDescent="0.15">
      <c r="A865" t="s">
        <v>72</v>
      </c>
      <c r="B865" t="s">
        <v>16081</v>
      </c>
      <c r="C865" t="s">
        <v>74</v>
      </c>
      <c r="D865" t="s">
        <v>74</v>
      </c>
      <c r="E865" t="s">
        <v>74</v>
      </c>
      <c r="F865" t="s">
        <v>16082</v>
      </c>
      <c r="G865" t="s">
        <v>74</v>
      </c>
      <c r="H865" t="s">
        <v>74</v>
      </c>
      <c r="I865" t="s">
        <v>16083</v>
      </c>
      <c r="J865" t="s">
        <v>13838</v>
      </c>
      <c r="K865" t="s">
        <v>74</v>
      </c>
      <c r="L865" t="s">
        <v>74</v>
      </c>
      <c r="M865" t="s">
        <v>78</v>
      </c>
      <c r="N865" t="s">
        <v>79</v>
      </c>
      <c r="O865" t="s">
        <v>74</v>
      </c>
      <c r="P865" t="s">
        <v>74</v>
      </c>
      <c r="Q865" t="s">
        <v>74</v>
      </c>
      <c r="R865" t="s">
        <v>74</v>
      </c>
      <c r="S865" t="s">
        <v>74</v>
      </c>
      <c r="T865" t="s">
        <v>74</v>
      </c>
      <c r="U865" t="s">
        <v>16084</v>
      </c>
      <c r="V865" t="s">
        <v>16085</v>
      </c>
      <c r="W865" t="s">
        <v>16086</v>
      </c>
      <c r="X865" t="s">
        <v>16087</v>
      </c>
      <c r="Y865" t="s">
        <v>16088</v>
      </c>
      <c r="Z865" t="s">
        <v>16089</v>
      </c>
      <c r="AA865" t="s">
        <v>74</v>
      </c>
      <c r="AB865" t="s">
        <v>74</v>
      </c>
      <c r="AC865" t="s">
        <v>16090</v>
      </c>
      <c r="AD865" t="s">
        <v>8851</v>
      </c>
      <c r="AE865" t="s">
        <v>16091</v>
      </c>
      <c r="AF865" t="s">
        <v>74</v>
      </c>
      <c r="AG865">
        <v>81</v>
      </c>
      <c r="AH865">
        <v>25</v>
      </c>
      <c r="AI865">
        <v>30</v>
      </c>
      <c r="AJ865">
        <v>0</v>
      </c>
      <c r="AK865">
        <v>21</v>
      </c>
      <c r="AL865" t="s">
        <v>1111</v>
      </c>
      <c r="AM865" t="s">
        <v>1112</v>
      </c>
      <c r="AN865" t="s">
        <v>1113</v>
      </c>
      <c r="AO865" t="s">
        <v>13846</v>
      </c>
      <c r="AP865" t="s">
        <v>13847</v>
      </c>
      <c r="AQ865" t="s">
        <v>74</v>
      </c>
      <c r="AR865" t="s">
        <v>13848</v>
      </c>
      <c r="AS865" t="s">
        <v>13849</v>
      </c>
      <c r="AT865" t="s">
        <v>74</v>
      </c>
      <c r="AU865">
        <v>2012</v>
      </c>
      <c r="AV865">
        <v>58</v>
      </c>
      <c r="AW865">
        <v>209</v>
      </c>
      <c r="AX865" t="s">
        <v>74</v>
      </c>
      <c r="AY865" t="s">
        <v>74</v>
      </c>
      <c r="AZ865" t="s">
        <v>74</v>
      </c>
      <c r="BA865" t="s">
        <v>74</v>
      </c>
      <c r="BB865">
        <v>540</v>
      </c>
      <c r="BC865">
        <v>552</v>
      </c>
      <c r="BD865" t="s">
        <v>74</v>
      </c>
      <c r="BE865" t="s">
        <v>16092</v>
      </c>
      <c r="BF865" t="str">
        <f>HYPERLINK("http://dx.doi.org/10.3189/2012JoG11J033","http://dx.doi.org/10.3189/2012JoG11J033")</f>
        <v>http://dx.doi.org/10.3189/2012JoG11J033</v>
      </c>
      <c r="BG865" t="s">
        <v>74</v>
      </c>
      <c r="BH865" t="s">
        <v>74</v>
      </c>
      <c r="BI865">
        <v>13</v>
      </c>
      <c r="BJ865" t="s">
        <v>943</v>
      </c>
      <c r="BK865" t="s">
        <v>99</v>
      </c>
      <c r="BL865" t="s">
        <v>944</v>
      </c>
      <c r="BM865" t="s">
        <v>16079</v>
      </c>
      <c r="BN865" t="s">
        <v>74</v>
      </c>
      <c r="BO865" t="s">
        <v>777</v>
      </c>
      <c r="BP865" t="s">
        <v>74</v>
      </c>
      <c r="BQ865" t="s">
        <v>74</v>
      </c>
      <c r="BR865" t="s">
        <v>101</v>
      </c>
      <c r="BS865" t="s">
        <v>16093</v>
      </c>
      <c r="BT865" t="str">
        <f>HYPERLINK("https%3A%2F%2Fwww.webofscience.com%2Fwos%2Fwoscc%2Ffull-record%2FWOS:000305310200009","View Full Record in Web of Science")</f>
        <v>View Full Record in Web of Science</v>
      </c>
    </row>
    <row r="866" spans="1:72" x14ac:dyDescent="0.15">
      <c r="A866" t="s">
        <v>72</v>
      </c>
      <c r="B866" t="s">
        <v>16094</v>
      </c>
      <c r="C866" t="s">
        <v>74</v>
      </c>
      <c r="D866" t="s">
        <v>74</v>
      </c>
      <c r="E866" t="s">
        <v>74</v>
      </c>
      <c r="F866" t="s">
        <v>16095</v>
      </c>
      <c r="G866" t="s">
        <v>74</v>
      </c>
      <c r="H866" t="s">
        <v>74</v>
      </c>
      <c r="I866" t="s">
        <v>16096</v>
      </c>
      <c r="J866" t="s">
        <v>14792</v>
      </c>
      <c r="K866" t="s">
        <v>74</v>
      </c>
      <c r="L866" t="s">
        <v>74</v>
      </c>
      <c r="M866" t="s">
        <v>78</v>
      </c>
      <c r="N866" t="s">
        <v>79</v>
      </c>
      <c r="O866" t="s">
        <v>74</v>
      </c>
      <c r="P866" t="s">
        <v>74</v>
      </c>
      <c r="Q866" t="s">
        <v>74</v>
      </c>
      <c r="R866" t="s">
        <v>74</v>
      </c>
      <c r="S866" t="s">
        <v>74</v>
      </c>
      <c r="T866" t="s">
        <v>16097</v>
      </c>
      <c r="U866" t="s">
        <v>16098</v>
      </c>
      <c r="V866" t="s">
        <v>16099</v>
      </c>
      <c r="W866" t="s">
        <v>16100</v>
      </c>
      <c r="X866" t="s">
        <v>16101</v>
      </c>
      <c r="Y866" t="s">
        <v>16102</v>
      </c>
      <c r="Z866" t="s">
        <v>16103</v>
      </c>
      <c r="AA866" t="s">
        <v>16104</v>
      </c>
      <c r="AB866" t="s">
        <v>16105</v>
      </c>
      <c r="AC866" t="s">
        <v>16106</v>
      </c>
      <c r="AD866" t="s">
        <v>16106</v>
      </c>
      <c r="AE866" t="s">
        <v>16107</v>
      </c>
      <c r="AF866" t="s">
        <v>74</v>
      </c>
      <c r="AG866">
        <v>91</v>
      </c>
      <c r="AH866">
        <v>25</v>
      </c>
      <c r="AI866">
        <v>26</v>
      </c>
      <c r="AJ866">
        <v>0</v>
      </c>
      <c r="AK866">
        <v>7</v>
      </c>
      <c r="AL866" t="s">
        <v>761</v>
      </c>
      <c r="AM866" t="s">
        <v>762</v>
      </c>
      <c r="AN866" t="s">
        <v>763</v>
      </c>
      <c r="AO866" t="s">
        <v>14803</v>
      </c>
      <c r="AP866" t="s">
        <v>14804</v>
      </c>
      <c r="AQ866" t="s">
        <v>74</v>
      </c>
      <c r="AR866" t="s">
        <v>14805</v>
      </c>
      <c r="AS866" t="s">
        <v>14806</v>
      </c>
      <c r="AT866" t="s">
        <v>74</v>
      </c>
      <c r="AU866">
        <v>2012</v>
      </c>
      <c r="AV866">
        <v>46</v>
      </c>
      <c r="AW866" t="s">
        <v>16108</v>
      </c>
      <c r="AX866" t="s">
        <v>74</v>
      </c>
      <c r="AY866" t="s">
        <v>74</v>
      </c>
      <c r="AZ866" t="s">
        <v>74</v>
      </c>
      <c r="BA866" t="s">
        <v>74</v>
      </c>
      <c r="BB866">
        <v>1573</v>
      </c>
      <c r="BC866">
        <v>1613</v>
      </c>
      <c r="BD866" t="s">
        <v>74</v>
      </c>
      <c r="BE866" t="s">
        <v>16109</v>
      </c>
      <c r="BF866" t="str">
        <f>HYPERLINK("http://dx.doi.org/10.1080/00222933.2012.681316","http://dx.doi.org/10.1080/00222933.2012.681316")</f>
        <v>http://dx.doi.org/10.1080/00222933.2012.681316</v>
      </c>
      <c r="BG866" t="s">
        <v>74</v>
      </c>
      <c r="BH866" t="s">
        <v>74</v>
      </c>
      <c r="BI866">
        <v>41</v>
      </c>
      <c r="BJ866" t="s">
        <v>14809</v>
      </c>
      <c r="BK866" t="s">
        <v>99</v>
      </c>
      <c r="BL866" t="s">
        <v>14810</v>
      </c>
      <c r="BM866" t="s">
        <v>16110</v>
      </c>
      <c r="BN866" t="s">
        <v>74</v>
      </c>
      <c r="BO866" t="s">
        <v>74</v>
      </c>
      <c r="BP866" t="s">
        <v>74</v>
      </c>
      <c r="BQ866" t="s">
        <v>74</v>
      </c>
      <c r="BR866" t="s">
        <v>101</v>
      </c>
      <c r="BS866" t="s">
        <v>16111</v>
      </c>
      <c r="BT866" t="str">
        <f>HYPERLINK("https%3A%2F%2Fwww.webofscience.com%2Fwos%2Fwoscc%2Ffull-record%2FWOS:000305464500004","View Full Record in Web of Science")</f>
        <v>View Full Record in Web of Science</v>
      </c>
    </row>
    <row r="867" spans="1:72" x14ac:dyDescent="0.15">
      <c r="A867" t="s">
        <v>72</v>
      </c>
      <c r="B867" t="s">
        <v>16112</v>
      </c>
      <c r="C867" t="s">
        <v>74</v>
      </c>
      <c r="D867" t="s">
        <v>74</v>
      </c>
      <c r="E867" t="s">
        <v>74</v>
      </c>
      <c r="F867" t="s">
        <v>16113</v>
      </c>
      <c r="G867" t="s">
        <v>74</v>
      </c>
      <c r="H867" t="s">
        <v>74</v>
      </c>
      <c r="I867" t="s">
        <v>16114</v>
      </c>
      <c r="J867" t="s">
        <v>15102</v>
      </c>
      <c r="K867" t="s">
        <v>74</v>
      </c>
      <c r="L867" t="s">
        <v>74</v>
      </c>
      <c r="M867" t="s">
        <v>78</v>
      </c>
      <c r="N867" t="s">
        <v>79</v>
      </c>
      <c r="O867" t="s">
        <v>74</v>
      </c>
      <c r="P867" t="s">
        <v>74</v>
      </c>
      <c r="Q867" t="s">
        <v>74</v>
      </c>
      <c r="R867" t="s">
        <v>74</v>
      </c>
      <c r="S867" t="s">
        <v>74</v>
      </c>
      <c r="T867" t="s">
        <v>16115</v>
      </c>
      <c r="U867" t="s">
        <v>16116</v>
      </c>
      <c r="V867" t="s">
        <v>16117</v>
      </c>
      <c r="W867" t="s">
        <v>16118</v>
      </c>
      <c r="X867" t="s">
        <v>16119</v>
      </c>
      <c r="Y867" t="s">
        <v>16120</v>
      </c>
      <c r="Z867" t="s">
        <v>16121</v>
      </c>
      <c r="AA867" t="s">
        <v>16122</v>
      </c>
      <c r="AB867" t="s">
        <v>16123</v>
      </c>
      <c r="AC867" t="s">
        <v>16124</v>
      </c>
      <c r="AD867" t="s">
        <v>16125</v>
      </c>
      <c r="AE867" t="s">
        <v>16126</v>
      </c>
      <c r="AF867" t="s">
        <v>74</v>
      </c>
      <c r="AG867">
        <v>79</v>
      </c>
      <c r="AH867">
        <v>22</v>
      </c>
      <c r="AI867">
        <v>23</v>
      </c>
      <c r="AJ867">
        <v>0</v>
      </c>
      <c r="AK867">
        <v>20</v>
      </c>
      <c r="AL867" t="s">
        <v>761</v>
      </c>
      <c r="AM867" t="s">
        <v>762</v>
      </c>
      <c r="AN867" t="s">
        <v>763</v>
      </c>
      <c r="AO867" t="s">
        <v>15112</v>
      </c>
      <c r="AP867" t="s">
        <v>15113</v>
      </c>
      <c r="AQ867" t="s">
        <v>74</v>
      </c>
      <c r="AR867" t="s">
        <v>15114</v>
      </c>
      <c r="AS867" t="s">
        <v>15115</v>
      </c>
      <c r="AT867" t="s">
        <v>74</v>
      </c>
      <c r="AU867">
        <v>2012</v>
      </c>
      <c r="AV867">
        <v>10</v>
      </c>
      <c r="AW867">
        <v>1</v>
      </c>
      <c r="AX867" t="s">
        <v>74</v>
      </c>
      <c r="AY867" t="s">
        <v>74</v>
      </c>
      <c r="AZ867" t="s">
        <v>74</v>
      </c>
      <c r="BA867" t="s">
        <v>74</v>
      </c>
      <c r="BB867">
        <v>109</v>
      </c>
      <c r="BC867">
        <v>123</v>
      </c>
      <c r="BD867" t="s">
        <v>74</v>
      </c>
      <c r="BE867" t="s">
        <v>16127</v>
      </c>
      <c r="BF867" t="str">
        <f>HYPERLINK("http://dx.doi.org/10.1080/14772000.2012.668972","http://dx.doi.org/10.1080/14772000.2012.668972")</f>
        <v>http://dx.doi.org/10.1080/14772000.2012.668972</v>
      </c>
      <c r="BG867" t="s">
        <v>74</v>
      </c>
      <c r="BH867" t="s">
        <v>74</v>
      </c>
      <c r="BI867">
        <v>15</v>
      </c>
      <c r="BJ867" t="s">
        <v>15117</v>
      </c>
      <c r="BK867" t="s">
        <v>99</v>
      </c>
      <c r="BL867" t="s">
        <v>15118</v>
      </c>
      <c r="BM867" t="s">
        <v>16128</v>
      </c>
      <c r="BN867" t="s">
        <v>74</v>
      </c>
      <c r="BO867" t="s">
        <v>74</v>
      </c>
      <c r="BP867" t="s">
        <v>74</v>
      </c>
      <c r="BQ867" t="s">
        <v>74</v>
      </c>
      <c r="BR867" t="s">
        <v>101</v>
      </c>
      <c r="BS867" t="s">
        <v>16129</v>
      </c>
      <c r="BT867" t="str">
        <f>HYPERLINK("https%3A%2F%2Fwww.webofscience.com%2Fwos%2Fwoscc%2Ffull-record%2FWOS:000305512500006","View Full Record in Web of Science")</f>
        <v>View Full Record in Web of Science</v>
      </c>
    </row>
    <row r="868" spans="1:72" x14ac:dyDescent="0.15">
      <c r="A868" t="s">
        <v>72</v>
      </c>
      <c r="B868" t="s">
        <v>16130</v>
      </c>
      <c r="C868" t="s">
        <v>74</v>
      </c>
      <c r="D868" t="s">
        <v>74</v>
      </c>
      <c r="E868" t="s">
        <v>74</v>
      </c>
      <c r="F868" t="s">
        <v>16131</v>
      </c>
      <c r="G868" t="s">
        <v>74</v>
      </c>
      <c r="H868" t="s">
        <v>74</v>
      </c>
      <c r="I868" t="s">
        <v>16132</v>
      </c>
      <c r="J868" t="s">
        <v>16133</v>
      </c>
      <c r="K868" t="s">
        <v>74</v>
      </c>
      <c r="L868" t="s">
        <v>74</v>
      </c>
      <c r="M868" t="s">
        <v>78</v>
      </c>
      <c r="N868" t="s">
        <v>79</v>
      </c>
      <c r="O868" t="s">
        <v>74</v>
      </c>
      <c r="P868" t="s">
        <v>74</v>
      </c>
      <c r="Q868" t="s">
        <v>74</v>
      </c>
      <c r="R868" t="s">
        <v>74</v>
      </c>
      <c r="S868" t="s">
        <v>74</v>
      </c>
      <c r="T868" t="s">
        <v>16134</v>
      </c>
      <c r="U868" t="s">
        <v>16135</v>
      </c>
      <c r="V868" t="s">
        <v>16136</v>
      </c>
      <c r="W868" t="s">
        <v>16137</v>
      </c>
      <c r="X868" t="s">
        <v>16138</v>
      </c>
      <c r="Y868" t="s">
        <v>16139</v>
      </c>
      <c r="Z868" t="s">
        <v>16140</v>
      </c>
      <c r="AA868" t="s">
        <v>16141</v>
      </c>
      <c r="AB868" t="s">
        <v>16142</v>
      </c>
      <c r="AC868" t="s">
        <v>16143</v>
      </c>
      <c r="AD868" t="s">
        <v>16144</v>
      </c>
      <c r="AE868" t="s">
        <v>16145</v>
      </c>
      <c r="AF868" t="s">
        <v>74</v>
      </c>
      <c r="AG868">
        <v>24</v>
      </c>
      <c r="AH868">
        <v>31</v>
      </c>
      <c r="AI868">
        <v>32</v>
      </c>
      <c r="AJ868">
        <v>0</v>
      </c>
      <c r="AK868">
        <v>18</v>
      </c>
      <c r="AL868" t="s">
        <v>16146</v>
      </c>
      <c r="AM868" t="s">
        <v>14218</v>
      </c>
      <c r="AN868" t="s">
        <v>16147</v>
      </c>
      <c r="AO868" t="s">
        <v>16148</v>
      </c>
      <c r="AP868" t="s">
        <v>74</v>
      </c>
      <c r="AQ868" t="s">
        <v>74</v>
      </c>
      <c r="AR868" t="s">
        <v>16149</v>
      </c>
      <c r="AS868" t="s">
        <v>16150</v>
      </c>
      <c r="AT868" t="s">
        <v>74</v>
      </c>
      <c r="AU868">
        <v>2012</v>
      </c>
      <c r="AV868">
        <v>51</v>
      </c>
      <c r="AW868">
        <v>1</v>
      </c>
      <c r="AX868" t="s">
        <v>74</v>
      </c>
      <c r="AY868" t="s">
        <v>74</v>
      </c>
      <c r="AZ868" t="s">
        <v>74</v>
      </c>
      <c r="BA868" t="s">
        <v>74</v>
      </c>
      <c r="BB868">
        <v>29</v>
      </c>
      <c r="BC868">
        <v>38</v>
      </c>
      <c r="BD868" t="s">
        <v>74</v>
      </c>
      <c r="BE868" t="s">
        <v>16151</v>
      </c>
      <c r="BF868" t="str">
        <f>HYPERLINK("http://dx.doi.org/10.4467/16890027AP.12.003.0386","http://dx.doi.org/10.4467/16890027AP.12.003.0386")</f>
        <v>http://dx.doi.org/10.4467/16890027AP.12.003.0386</v>
      </c>
      <c r="BG868" t="s">
        <v>74</v>
      </c>
      <c r="BH868" t="s">
        <v>74</v>
      </c>
      <c r="BI868">
        <v>10</v>
      </c>
      <c r="BJ868" t="s">
        <v>686</v>
      </c>
      <c r="BK868" t="s">
        <v>99</v>
      </c>
      <c r="BL868" t="s">
        <v>686</v>
      </c>
      <c r="BM868" t="s">
        <v>16152</v>
      </c>
      <c r="BN868" t="s">
        <v>74</v>
      </c>
      <c r="BO868" t="s">
        <v>74</v>
      </c>
      <c r="BP868" t="s">
        <v>74</v>
      </c>
      <c r="BQ868" t="s">
        <v>74</v>
      </c>
      <c r="BR868" t="s">
        <v>101</v>
      </c>
      <c r="BS868" t="s">
        <v>16153</v>
      </c>
      <c r="BT868" t="str">
        <f>HYPERLINK("https%3A%2F%2Fwww.webofscience.com%2Fwos%2Fwoscc%2Ffull-record%2FWOS:000304999000003","View Full Record in Web of Science")</f>
        <v>View Full Record in Web of Science</v>
      </c>
    </row>
    <row r="869" spans="1:72" x14ac:dyDescent="0.15">
      <c r="A869" t="s">
        <v>12256</v>
      </c>
      <c r="B869" t="s">
        <v>16154</v>
      </c>
      <c r="C869" t="s">
        <v>16154</v>
      </c>
      <c r="D869" t="s">
        <v>74</v>
      </c>
      <c r="E869" t="s">
        <v>74</v>
      </c>
      <c r="F869" t="s">
        <v>16155</v>
      </c>
      <c r="G869" t="s">
        <v>16154</v>
      </c>
      <c r="H869" t="s">
        <v>74</v>
      </c>
      <c r="I869" t="s">
        <v>16156</v>
      </c>
      <c r="J869" t="s">
        <v>16157</v>
      </c>
      <c r="K869" t="s">
        <v>74</v>
      </c>
      <c r="L869" t="s">
        <v>74</v>
      </c>
      <c r="M869" t="s">
        <v>78</v>
      </c>
      <c r="N869" t="s">
        <v>12141</v>
      </c>
      <c r="O869" t="s">
        <v>74</v>
      </c>
      <c r="P869" t="s">
        <v>74</v>
      </c>
      <c r="Q869" t="s">
        <v>74</v>
      </c>
      <c r="R869" t="s">
        <v>74</v>
      </c>
      <c r="S869" t="s">
        <v>74</v>
      </c>
      <c r="T869" t="s">
        <v>74</v>
      </c>
      <c r="U869" t="s">
        <v>16158</v>
      </c>
      <c r="V869" t="s">
        <v>74</v>
      </c>
      <c r="W869" t="s">
        <v>16159</v>
      </c>
      <c r="X869" t="s">
        <v>16160</v>
      </c>
      <c r="Y869" t="s">
        <v>16161</v>
      </c>
      <c r="Z869" t="s">
        <v>74</v>
      </c>
      <c r="AA869" t="s">
        <v>74</v>
      </c>
      <c r="AB869" t="s">
        <v>74</v>
      </c>
      <c r="AC869" t="s">
        <v>74</v>
      </c>
      <c r="AD869" t="s">
        <v>74</v>
      </c>
      <c r="AE869" t="s">
        <v>74</v>
      </c>
      <c r="AF869" t="s">
        <v>74</v>
      </c>
      <c r="AG869">
        <v>19</v>
      </c>
      <c r="AH869">
        <v>0</v>
      </c>
      <c r="AI869">
        <v>0</v>
      </c>
      <c r="AJ869">
        <v>0</v>
      </c>
      <c r="AK869">
        <v>0</v>
      </c>
      <c r="AL869" t="s">
        <v>16162</v>
      </c>
      <c r="AM869" t="s">
        <v>16163</v>
      </c>
      <c r="AN869" t="s">
        <v>16164</v>
      </c>
      <c r="AO869" t="s">
        <v>74</v>
      </c>
      <c r="AP869" t="s">
        <v>74</v>
      </c>
      <c r="AQ869" t="s">
        <v>16165</v>
      </c>
      <c r="AR869" t="s">
        <v>74</v>
      </c>
      <c r="AS869" t="s">
        <v>74</v>
      </c>
      <c r="AT869" t="s">
        <v>74</v>
      </c>
      <c r="AU869">
        <v>2012</v>
      </c>
      <c r="AV869" t="s">
        <v>74</v>
      </c>
      <c r="AW869" t="s">
        <v>74</v>
      </c>
      <c r="AX869" t="s">
        <v>74</v>
      </c>
      <c r="AY869" t="s">
        <v>74</v>
      </c>
      <c r="AZ869" t="s">
        <v>74</v>
      </c>
      <c r="BA869" t="s">
        <v>74</v>
      </c>
      <c r="BB869">
        <v>67</v>
      </c>
      <c r="BC869">
        <v>84</v>
      </c>
      <c r="BD869" t="s">
        <v>74</v>
      </c>
      <c r="BE869" t="s">
        <v>74</v>
      </c>
      <c r="BF869" t="s">
        <v>74</v>
      </c>
      <c r="BG869" t="s">
        <v>74</v>
      </c>
      <c r="BH869" t="s">
        <v>74</v>
      </c>
      <c r="BI869">
        <v>18</v>
      </c>
      <c r="BJ869" t="s">
        <v>98</v>
      </c>
      <c r="BK869" t="s">
        <v>12155</v>
      </c>
      <c r="BL869" t="s">
        <v>98</v>
      </c>
      <c r="BM869" t="s">
        <v>16166</v>
      </c>
      <c r="BN869" t="s">
        <v>74</v>
      </c>
      <c r="BO869" t="s">
        <v>74</v>
      </c>
      <c r="BP869" t="s">
        <v>74</v>
      </c>
      <c r="BQ869" t="s">
        <v>74</v>
      </c>
      <c r="BR869" t="s">
        <v>101</v>
      </c>
      <c r="BS869" t="s">
        <v>16167</v>
      </c>
      <c r="BT869" t="str">
        <f>HYPERLINK("https%3A%2F%2Fwww.webofscience.com%2Fwos%2Fwoscc%2Ffull-record%2FWOS:000304028900003","View Full Record in Web of Science")</f>
        <v>View Full Record in Web of Science</v>
      </c>
    </row>
    <row r="870" spans="1:72" x14ac:dyDescent="0.15">
      <c r="A870" t="s">
        <v>72</v>
      </c>
      <c r="B870" t="s">
        <v>16168</v>
      </c>
      <c r="C870" t="s">
        <v>74</v>
      </c>
      <c r="D870" t="s">
        <v>74</v>
      </c>
      <c r="E870" t="s">
        <v>74</v>
      </c>
      <c r="F870" t="s">
        <v>16169</v>
      </c>
      <c r="G870" t="s">
        <v>74</v>
      </c>
      <c r="H870" t="s">
        <v>74</v>
      </c>
      <c r="I870" t="s">
        <v>16170</v>
      </c>
      <c r="J870" t="s">
        <v>13816</v>
      </c>
      <c r="K870" t="s">
        <v>74</v>
      </c>
      <c r="L870" t="s">
        <v>74</v>
      </c>
      <c r="M870" t="s">
        <v>78</v>
      </c>
      <c r="N870" t="s">
        <v>79</v>
      </c>
      <c r="O870" t="s">
        <v>74</v>
      </c>
      <c r="P870" t="s">
        <v>74</v>
      </c>
      <c r="Q870" t="s">
        <v>74</v>
      </c>
      <c r="R870" t="s">
        <v>74</v>
      </c>
      <c r="S870" t="s">
        <v>74</v>
      </c>
      <c r="T870" t="s">
        <v>74</v>
      </c>
      <c r="U870" t="s">
        <v>16171</v>
      </c>
      <c r="V870" t="s">
        <v>16172</v>
      </c>
      <c r="W870" t="s">
        <v>16173</v>
      </c>
      <c r="X870" t="s">
        <v>16174</v>
      </c>
      <c r="Y870" t="s">
        <v>16175</v>
      </c>
      <c r="Z870" t="s">
        <v>16176</v>
      </c>
      <c r="AA870" t="s">
        <v>16177</v>
      </c>
      <c r="AB870" t="s">
        <v>16178</v>
      </c>
      <c r="AC870" t="s">
        <v>16179</v>
      </c>
      <c r="AD870" t="s">
        <v>16180</v>
      </c>
      <c r="AE870" t="s">
        <v>16181</v>
      </c>
      <c r="AF870" t="s">
        <v>74</v>
      </c>
      <c r="AG870">
        <v>44</v>
      </c>
      <c r="AH870">
        <v>78</v>
      </c>
      <c r="AI870">
        <v>89</v>
      </c>
      <c r="AJ870">
        <v>2</v>
      </c>
      <c r="AK870">
        <v>55</v>
      </c>
      <c r="AL870" t="s">
        <v>13270</v>
      </c>
      <c r="AM870" t="s">
        <v>13271</v>
      </c>
      <c r="AN870" t="s">
        <v>13272</v>
      </c>
      <c r="AO870" t="s">
        <v>13828</v>
      </c>
      <c r="AP870" t="s">
        <v>13829</v>
      </c>
      <c r="AQ870" t="s">
        <v>74</v>
      </c>
      <c r="AR870" t="s">
        <v>13830</v>
      </c>
      <c r="AS870" t="s">
        <v>13831</v>
      </c>
      <c r="AT870" t="s">
        <v>74</v>
      </c>
      <c r="AU870">
        <v>2012</v>
      </c>
      <c r="AV870">
        <v>12</v>
      </c>
      <c r="AW870">
        <v>9</v>
      </c>
      <c r="AX870" t="s">
        <v>74</v>
      </c>
      <c r="AY870" t="s">
        <v>74</v>
      </c>
      <c r="AZ870" t="s">
        <v>74</v>
      </c>
      <c r="BA870" t="s">
        <v>74</v>
      </c>
      <c r="BB870">
        <v>4107</v>
      </c>
      <c r="BC870">
        <v>4115</v>
      </c>
      <c r="BD870" t="s">
        <v>74</v>
      </c>
      <c r="BE870" t="s">
        <v>16182</v>
      </c>
      <c r="BF870" t="str">
        <f>HYPERLINK("http://dx.doi.org/10.5194/acp-12-4107-2012","http://dx.doi.org/10.5194/acp-12-4107-2012")</f>
        <v>http://dx.doi.org/10.5194/acp-12-4107-2012</v>
      </c>
      <c r="BG870" t="s">
        <v>74</v>
      </c>
      <c r="BH870" t="s">
        <v>74</v>
      </c>
      <c r="BI870">
        <v>9</v>
      </c>
      <c r="BJ870" t="s">
        <v>1758</v>
      </c>
      <c r="BK870" t="s">
        <v>99</v>
      </c>
      <c r="BL870" t="s">
        <v>1759</v>
      </c>
      <c r="BM870" t="s">
        <v>16183</v>
      </c>
      <c r="BN870" t="s">
        <v>74</v>
      </c>
      <c r="BO870" t="s">
        <v>16184</v>
      </c>
      <c r="BP870" t="s">
        <v>74</v>
      </c>
      <c r="BQ870" t="s">
        <v>74</v>
      </c>
      <c r="BR870" t="s">
        <v>101</v>
      </c>
      <c r="BS870" t="s">
        <v>16185</v>
      </c>
      <c r="BT870" t="str">
        <f>HYPERLINK("https%3A%2F%2Fwww.webofscience.com%2Fwos%2Fwoscc%2Ffull-record%2FWOS:000304055600017","View Full Record in Web of Science")</f>
        <v>View Full Record in Web of Science</v>
      </c>
    </row>
    <row r="871" spans="1:72" x14ac:dyDescent="0.15">
      <c r="A871" t="s">
        <v>72</v>
      </c>
      <c r="B871" t="s">
        <v>16186</v>
      </c>
      <c r="C871" t="s">
        <v>74</v>
      </c>
      <c r="D871" t="s">
        <v>74</v>
      </c>
      <c r="E871" t="s">
        <v>74</v>
      </c>
      <c r="F871" t="s">
        <v>16187</v>
      </c>
      <c r="G871" t="s">
        <v>74</v>
      </c>
      <c r="H871" t="s">
        <v>74</v>
      </c>
      <c r="I871" t="s">
        <v>16188</v>
      </c>
      <c r="J871" t="s">
        <v>14339</v>
      </c>
      <c r="K871" t="s">
        <v>74</v>
      </c>
      <c r="L871" t="s">
        <v>74</v>
      </c>
      <c r="M871" t="s">
        <v>78</v>
      </c>
      <c r="N871" t="s">
        <v>79</v>
      </c>
      <c r="O871" t="s">
        <v>74</v>
      </c>
      <c r="P871" t="s">
        <v>74</v>
      </c>
      <c r="Q871" t="s">
        <v>74</v>
      </c>
      <c r="R871" t="s">
        <v>74</v>
      </c>
      <c r="S871" t="s">
        <v>74</v>
      </c>
      <c r="T871" t="s">
        <v>16189</v>
      </c>
      <c r="U871" t="s">
        <v>16190</v>
      </c>
      <c r="V871" t="s">
        <v>16191</v>
      </c>
      <c r="W871" t="s">
        <v>16192</v>
      </c>
      <c r="X871" t="s">
        <v>16193</v>
      </c>
      <c r="Y871" t="s">
        <v>16194</v>
      </c>
      <c r="Z871" t="s">
        <v>16195</v>
      </c>
      <c r="AA871" t="s">
        <v>16196</v>
      </c>
      <c r="AB871" t="s">
        <v>16197</v>
      </c>
      <c r="AC871" t="s">
        <v>16198</v>
      </c>
      <c r="AD871" t="s">
        <v>16199</v>
      </c>
      <c r="AE871" t="s">
        <v>16200</v>
      </c>
      <c r="AF871" t="s">
        <v>74</v>
      </c>
      <c r="AG871">
        <v>65</v>
      </c>
      <c r="AH871">
        <v>8</v>
      </c>
      <c r="AI871">
        <v>9</v>
      </c>
      <c r="AJ871">
        <v>0</v>
      </c>
      <c r="AK871">
        <v>20</v>
      </c>
      <c r="AL871" t="s">
        <v>761</v>
      </c>
      <c r="AM871" t="s">
        <v>762</v>
      </c>
      <c r="AN871" t="s">
        <v>763</v>
      </c>
      <c r="AO871" t="s">
        <v>14351</v>
      </c>
      <c r="AP871" t="s">
        <v>14352</v>
      </c>
      <c r="AQ871" t="s">
        <v>74</v>
      </c>
      <c r="AR871" t="s">
        <v>14353</v>
      </c>
      <c r="AS871" t="s">
        <v>14354</v>
      </c>
      <c r="AT871" t="s">
        <v>74</v>
      </c>
      <c r="AU871">
        <v>2012</v>
      </c>
      <c r="AV871">
        <v>59</v>
      </c>
      <c r="AW871">
        <v>4</v>
      </c>
      <c r="AX871" t="s">
        <v>74</v>
      </c>
      <c r="AY871" t="s">
        <v>74</v>
      </c>
      <c r="AZ871" t="s">
        <v>74</v>
      </c>
      <c r="BA871" t="s">
        <v>74</v>
      </c>
      <c r="BB871">
        <v>457</v>
      </c>
      <c r="BC871">
        <v>467</v>
      </c>
      <c r="BD871" t="s">
        <v>74</v>
      </c>
      <c r="BE871" t="s">
        <v>16201</v>
      </c>
      <c r="BF871" t="str">
        <f>HYPERLINK("http://dx.doi.org/10.1080/08120099.2012.664828","http://dx.doi.org/10.1080/08120099.2012.664828")</f>
        <v>http://dx.doi.org/10.1080/08120099.2012.664828</v>
      </c>
      <c r="BG871" t="s">
        <v>74</v>
      </c>
      <c r="BH871" t="s">
        <v>74</v>
      </c>
      <c r="BI871">
        <v>11</v>
      </c>
      <c r="BJ871" t="s">
        <v>194</v>
      </c>
      <c r="BK871" t="s">
        <v>99</v>
      </c>
      <c r="BL871" t="s">
        <v>195</v>
      </c>
      <c r="BM871" t="s">
        <v>16202</v>
      </c>
      <c r="BN871" t="s">
        <v>74</v>
      </c>
      <c r="BO871" t="s">
        <v>156</v>
      </c>
      <c r="BP871" t="s">
        <v>74</v>
      </c>
      <c r="BQ871" t="s">
        <v>74</v>
      </c>
      <c r="BR871" t="s">
        <v>101</v>
      </c>
      <c r="BS871" t="s">
        <v>16203</v>
      </c>
      <c r="BT871" t="str">
        <f>HYPERLINK("https%3A%2F%2Fwww.webofscience.com%2Fwos%2Fwoscc%2Ffull-record%2FWOS:000305088400001","View Full Record in Web of Science")</f>
        <v>View Full Record in Web of Science</v>
      </c>
    </row>
    <row r="872" spans="1:72" x14ac:dyDescent="0.15">
      <c r="A872" t="s">
        <v>72</v>
      </c>
      <c r="B872" t="s">
        <v>16204</v>
      </c>
      <c r="C872" t="s">
        <v>74</v>
      </c>
      <c r="D872" t="s">
        <v>74</v>
      </c>
      <c r="E872" t="s">
        <v>74</v>
      </c>
      <c r="F872" t="s">
        <v>16205</v>
      </c>
      <c r="G872" t="s">
        <v>74</v>
      </c>
      <c r="H872" t="s">
        <v>74</v>
      </c>
      <c r="I872" t="s">
        <v>16206</v>
      </c>
      <c r="J872" t="s">
        <v>16207</v>
      </c>
      <c r="K872" t="s">
        <v>74</v>
      </c>
      <c r="L872" t="s">
        <v>74</v>
      </c>
      <c r="M872" t="s">
        <v>78</v>
      </c>
      <c r="N872" t="s">
        <v>79</v>
      </c>
      <c r="O872" t="s">
        <v>74</v>
      </c>
      <c r="P872" t="s">
        <v>74</v>
      </c>
      <c r="Q872" t="s">
        <v>74</v>
      </c>
      <c r="R872" t="s">
        <v>74</v>
      </c>
      <c r="S872" t="s">
        <v>74</v>
      </c>
      <c r="T872" t="s">
        <v>16208</v>
      </c>
      <c r="U872" t="s">
        <v>16209</v>
      </c>
      <c r="V872" t="s">
        <v>16210</v>
      </c>
      <c r="W872" t="s">
        <v>16211</v>
      </c>
      <c r="X872" t="s">
        <v>6305</v>
      </c>
      <c r="Y872" t="s">
        <v>16212</v>
      </c>
      <c r="Z872" t="s">
        <v>16213</v>
      </c>
      <c r="AA872" t="s">
        <v>16214</v>
      </c>
      <c r="AB872" t="s">
        <v>16215</v>
      </c>
      <c r="AC872" t="s">
        <v>16216</v>
      </c>
      <c r="AD872" t="s">
        <v>16217</v>
      </c>
      <c r="AE872" t="s">
        <v>16218</v>
      </c>
      <c r="AF872" t="s">
        <v>74</v>
      </c>
      <c r="AG872">
        <v>49</v>
      </c>
      <c r="AH872">
        <v>142</v>
      </c>
      <c r="AI872">
        <v>150</v>
      </c>
      <c r="AJ872">
        <v>2</v>
      </c>
      <c r="AK872">
        <v>20</v>
      </c>
      <c r="AL872" t="s">
        <v>16219</v>
      </c>
      <c r="AM872" t="s">
        <v>16220</v>
      </c>
      <c r="AN872" t="s">
        <v>16221</v>
      </c>
      <c r="AO872" t="s">
        <v>16222</v>
      </c>
      <c r="AP872" t="s">
        <v>16223</v>
      </c>
      <c r="AQ872" t="s">
        <v>74</v>
      </c>
      <c r="AR872" t="s">
        <v>16207</v>
      </c>
      <c r="AS872" t="s">
        <v>16224</v>
      </c>
      <c r="AT872" t="s">
        <v>16225</v>
      </c>
      <c r="AU872">
        <v>2012</v>
      </c>
      <c r="AV872">
        <v>25</v>
      </c>
      <c r="AW872">
        <v>1</v>
      </c>
      <c r="AX872" t="s">
        <v>74</v>
      </c>
      <c r="AY872" t="s">
        <v>74</v>
      </c>
      <c r="AZ872" t="s">
        <v>74</v>
      </c>
      <c r="BA872" t="s">
        <v>74</v>
      </c>
      <c r="BB872">
        <v>1</v>
      </c>
      <c r="BC872">
        <v>22</v>
      </c>
      <c r="BD872" t="s">
        <v>74</v>
      </c>
      <c r="BE872" t="s">
        <v>74</v>
      </c>
      <c r="BF872" t="s">
        <v>74</v>
      </c>
      <c r="BG872" t="s">
        <v>74</v>
      </c>
      <c r="BH872" t="s">
        <v>74</v>
      </c>
      <c r="BI872">
        <v>22</v>
      </c>
      <c r="BJ872" t="s">
        <v>128</v>
      </c>
      <c r="BK872" t="s">
        <v>99</v>
      </c>
      <c r="BL872" t="s">
        <v>128</v>
      </c>
      <c r="BM872" t="s">
        <v>16226</v>
      </c>
      <c r="BN872" t="s">
        <v>74</v>
      </c>
      <c r="BO872" t="s">
        <v>74</v>
      </c>
      <c r="BP872" t="s">
        <v>74</v>
      </c>
      <c r="BQ872" t="s">
        <v>74</v>
      </c>
      <c r="BR872" t="s">
        <v>101</v>
      </c>
      <c r="BS872" t="s">
        <v>16227</v>
      </c>
      <c r="BT872" t="str">
        <f>HYPERLINK("https%3A%2F%2Fwww.webofscience.com%2Fwos%2Fwoscc%2Ffull-record%2FWOS:000304899200001","View Full Record in Web of Science")</f>
        <v>View Full Record in Web of Science</v>
      </c>
    </row>
    <row r="873" spans="1:72" x14ac:dyDescent="0.15">
      <c r="A873" t="s">
        <v>72</v>
      </c>
      <c r="B873" t="s">
        <v>16228</v>
      </c>
      <c r="C873" t="s">
        <v>74</v>
      </c>
      <c r="D873" t="s">
        <v>74</v>
      </c>
      <c r="E873" t="s">
        <v>74</v>
      </c>
      <c r="F873" t="s">
        <v>16229</v>
      </c>
      <c r="G873" t="s">
        <v>74</v>
      </c>
      <c r="H873" t="s">
        <v>74</v>
      </c>
      <c r="I873" t="s">
        <v>16230</v>
      </c>
      <c r="J873" t="s">
        <v>16231</v>
      </c>
      <c r="K873" t="s">
        <v>74</v>
      </c>
      <c r="L873" t="s">
        <v>74</v>
      </c>
      <c r="M873" t="s">
        <v>78</v>
      </c>
      <c r="N873" t="s">
        <v>79</v>
      </c>
      <c r="O873" t="s">
        <v>74</v>
      </c>
      <c r="P873" t="s">
        <v>74</v>
      </c>
      <c r="Q873" t="s">
        <v>74</v>
      </c>
      <c r="R873" t="s">
        <v>74</v>
      </c>
      <c r="S873" t="s">
        <v>74</v>
      </c>
      <c r="T873" t="s">
        <v>16232</v>
      </c>
      <c r="U873" t="s">
        <v>16233</v>
      </c>
      <c r="V873" t="s">
        <v>16234</v>
      </c>
      <c r="W873" t="s">
        <v>16235</v>
      </c>
      <c r="X873" t="s">
        <v>16236</v>
      </c>
      <c r="Y873" t="s">
        <v>16237</v>
      </c>
      <c r="Z873" t="s">
        <v>16238</v>
      </c>
      <c r="AA873" t="s">
        <v>16239</v>
      </c>
      <c r="AB873" t="s">
        <v>16240</v>
      </c>
      <c r="AC873" t="s">
        <v>16241</v>
      </c>
      <c r="AD873" t="s">
        <v>16242</v>
      </c>
      <c r="AE873" t="s">
        <v>16243</v>
      </c>
      <c r="AF873" t="s">
        <v>74</v>
      </c>
      <c r="AG873">
        <v>44</v>
      </c>
      <c r="AH873">
        <v>20</v>
      </c>
      <c r="AI873">
        <v>20</v>
      </c>
      <c r="AJ873">
        <v>0</v>
      </c>
      <c r="AK873">
        <v>13</v>
      </c>
      <c r="AL873" t="s">
        <v>1111</v>
      </c>
      <c r="AM873" t="s">
        <v>656</v>
      </c>
      <c r="AN873" t="s">
        <v>1209</v>
      </c>
      <c r="AO873" t="s">
        <v>16244</v>
      </c>
      <c r="AP873" t="s">
        <v>16245</v>
      </c>
      <c r="AQ873" t="s">
        <v>74</v>
      </c>
      <c r="AR873" t="s">
        <v>16246</v>
      </c>
      <c r="AS873" t="s">
        <v>16247</v>
      </c>
      <c r="AT873" t="s">
        <v>74</v>
      </c>
      <c r="AU873">
        <v>2012</v>
      </c>
      <c r="AV873">
        <v>29</v>
      </c>
      <c r="AW873">
        <v>2</v>
      </c>
      <c r="AX873" t="s">
        <v>74</v>
      </c>
      <c r="AY873" t="s">
        <v>74</v>
      </c>
      <c r="AZ873" t="s">
        <v>74</v>
      </c>
      <c r="BA873" t="s">
        <v>74</v>
      </c>
      <c r="BB873">
        <v>109</v>
      </c>
      <c r="BC873">
        <v>114</v>
      </c>
      <c r="BD873" t="s">
        <v>74</v>
      </c>
      <c r="BE873" t="s">
        <v>16248</v>
      </c>
      <c r="BF873" t="str">
        <f>HYPERLINK("http://dx.doi.org/10.1071/AS11070","http://dx.doi.org/10.1071/AS11070")</f>
        <v>http://dx.doi.org/10.1071/AS11070</v>
      </c>
      <c r="BG873" t="s">
        <v>74</v>
      </c>
      <c r="BH873" t="s">
        <v>74</v>
      </c>
      <c r="BI873">
        <v>6</v>
      </c>
      <c r="BJ873" t="s">
        <v>438</v>
      </c>
      <c r="BK873" t="s">
        <v>99</v>
      </c>
      <c r="BL873" t="s">
        <v>438</v>
      </c>
      <c r="BM873" t="s">
        <v>16249</v>
      </c>
      <c r="BN873" t="s">
        <v>74</v>
      </c>
      <c r="BO873" t="s">
        <v>777</v>
      </c>
      <c r="BP873" t="s">
        <v>74</v>
      </c>
      <c r="BQ873" t="s">
        <v>74</v>
      </c>
      <c r="BR873" t="s">
        <v>101</v>
      </c>
      <c r="BS873" t="s">
        <v>16250</v>
      </c>
      <c r="BT873" t="str">
        <f>HYPERLINK("https%3A%2F%2Fwww.webofscience.com%2Fwos%2Fwoscc%2Ffull-record%2FWOS:000304717000004","View Full Record in Web of Science")</f>
        <v>View Full Record in Web of Science</v>
      </c>
    </row>
    <row r="874" spans="1:72" x14ac:dyDescent="0.15">
      <c r="A874" t="s">
        <v>12256</v>
      </c>
      <c r="B874" t="s">
        <v>16251</v>
      </c>
      <c r="C874" t="s">
        <v>16252</v>
      </c>
      <c r="D874" t="s">
        <v>74</v>
      </c>
      <c r="E874" t="s">
        <v>74</v>
      </c>
      <c r="F874" t="s">
        <v>16253</v>
      </c>
      <c r="G874" t="s">
        <v>16252</v>
      </c>
      <c r="H874" t="s">
        <v>74</v>
      </c>
      <c r="I874" t="s">
        <v>16254</v>
      </c>
      <c r="J874" t="s">
        <v>16255</v>
      </c>
      <c r="K874" t="s">
        <v>16256</v>
      </c>
      <c r="L874" t="s">
        <v>74</v>
      </c>
      <c r="M874" t="s">
        <v>78</v>
      </c>
      <c r="N874" t="s">
        <v>12141</v>
      </c>
      <c r="O874" t="s">
        <v>74</v>
      </c>
      <c r="P874" t="s">
        <v>74</v>
      </c>
      <c r="Q874" t="s">
        <v>74</v>
      </c>
      <c r="R874" t="s">
        <v>74</v>
      </c>
      <c r="S874" t="s">
        <v>74</v>
      </c>
      <c r="T874" t="s">
        <v>74</v>
      </c>
      <c r="U874" t="s">
        <v>16257</v>
      </c>
      <c r="V874" t="s">
        <v>74</v>
      </c>
      <c r="W874" t="s">
        <v>16258</v>
      </c>
      <c r="X874" t="s">
        <v>977</v>
      </c>
      <c r="Y874" t="s">
        <v>16259</v>
      </c>
      <c r="Z874" t="s">
        <v>74</v>
      </c>
      <c r="AA874" t="s">
        <v>74</v>
      </c>
      <c r="AB874" t="s">
        <v>74</v>
      </c>
      <c r="AC874" t="s">
        <v>74</v>
      </c>
      <c r="AD874" t="s">
        <v>74</v>
      </c>
      <c r="AE874" t="s">
        <v>74</v>
      </c>
      <c r="AF874" t="s">
        <v>74</v>
      </c>
      <c r="AG874">
        <v>91</v>
      </c>
      <c r="AH874">
        <v>0</v>
      </c>
      <c r="AI874">
        <v>0</v>
      </c>
      <c r="AJ874">
        <v>0</v>
      </c>
      <c r="AK874">
        <v>0</v>
      </c>
      <c r="AL874" t="s">
        <v>16260</v>
      </c>
      <c r="AM874" t="s">
        <v>16261</v>
      </c>
      <c r="AN874" t="s">
        <v>16262</v>
      </c>
      <c r="AO874" t="s">
        <v>74</v>
      </c>
      <c r="AP874" t="s">
        <v>74</v>
      </c>
      <c r="AQ874" t="s">
        <v>16263</v>
      </c>
      <c r="AR874" t="s">
        <v>16264</v>
      </c>
      <c r="AS874" t="s">
        <v>74</v>
      </c>
      <c r="AT874" t="s">
        <v>74</v>
      </c>
      <c r="AU874">
        <v>2012</v>
      </c>
      <c r="AV874" t="s">
        <v>74</v>
      </c>
      <c r="AW874" t="s">
        <v>74</v>
      </c>
      <c r="AX874" t="s">
        <v>74</v>
      </c>
      <c r="AY874" t="s">
        <v>74</v>
      </c>
      <c r="AZ874" t="s">
        <v>74</v>
      </c>
      <c r="BA874" t="s">
        <v>74</v>
      </c>
      <c r="BB874">
        <v>3</v>
      </c>
      <c r="BC874">
        <v>22</v>
      </c>
      <c r="BD874" t="s">
        <v>74</v>
      </c>
      <c r="BE874" t="s">
        <v>74</v>
      </c>
      <c r="BF874" t="s">
        <v>74</v>
      </c>
      <c r="BG874" t="s">
        <v>16265</v>
      </c>
      <c r="BH874" t="s">
        <v>74</v>
      </c>
      <c r="BI874">
        <v>20</v>
      </c>
      <c r="BJ874" t="s">
        <v>967</v>
      </c>
      <c r="BK874" t="s">
        <v>12155</v>
      </c>
      <c r="BL874" t="s">
        <v>967</v>
      </c>
      <c r="BM874" t="s">
        <v>16266</v>
      </c>
      <c r="BN874" t="s">
        <v>74</v>
      </c>
      <c r="BO874" t="s">
        <v>156</v>
      </c>
      <c r="BP874" t="s">
        <v>74</v>
      </c>
      <c r="BQ874" t="s">
        <v>74</v>
      </c>
      <c r="BR874" t="s">
        <v>101</v>
      </c>
      <c r="BS874" t="s">
        <v>16267</v>
      </c>
      <c r="BT874" t="str">
        <f>HYPERLINK("https%3A%2F%2Fwww.webofscience.com%2Fwos%2Fwoscc%2Ffull-record%2FWOS:000303215100002","View Full Record in Web of Science")</f>
        <v>View Full Record in Web of Science</v>
      </c>
    </row>
    <row r="875" spans="1:72" x14ac:dyDescent="0.15">
      <c r="A875" t="s">
        <v>12256</v>
      </c>
      <c r="B875" t="s">
        <v>16251</v>
      </c>
      <c r="C875" t="s">
        <v>16252</v>
      </c>
      <c r="D875" t="s">
        <v>74</v>
      </c>
      <c r="E875" t="s">
        <v>74</v>
      </c>
      <c r="F875" t="s">
        <v>16253</v>
      </c>
      <c r="G875" t="s">
        <v>16252</v>
      </c>
      <c r="H875" t="s">
        <v>74</v>
      </c>
      <c r="I875" t="s">
        <v>16268</v>
      </c>
      <c r="J875" t="s">
        <v>16255</v>
      </c>
      <c r="K875" t="s">
        <v>16256</v>
      </c>
      <c r="L875" t="s">
        <v>74</v>
      </c>
      <c r="M875" t="s">
        <v>78</v>
      </c>
      <c r="N875" t="s">
        <v>12141</v>
      </c>
      <c r="O875" t="s">
        <v>74</v>
      </c>
      <c r="P875" t="s">
        <v>74</v>
      </c>
      <c r="Q875" t="s">
        <v>74</v>
      </c>
      <c r="R875" t="s">
        <v>74</v>
      </c>
      <c r="S875" t="s">
        <v>74</v>
      </c>
      <c r="T875" t="s">
        <v>74</v>
      </c>
      <c r="U875" t="s">
        <v>16269</v>
      </c>
      <c r="V875" t="s">
        <v>74</v>
      </c>
      <c r="W875" t="s">
        <v>16258</v>
      </c>
      <c r="X875" t="s">
        <v>977</v>
      </c>
      <c r="Y875" t="s">
        <v>16259</v>
      </c>
      <c r="Z875" t="s">
        <v>74</v>
      </c>
      <c r="AA875" t="s">
        <v>74</v>
      </c>
      <c r="AB875" t="s">
        <v>74</v>
      </c>
      <c r="AC875" t="s">
        <v>74</v>
      </c>
      <c r="AD875" t="s">
        <v>74</v>
      </c>
      <c r="AE875" t="s">
        <v>74</v>
      </c>
      <c r="AF875" t="s">
        <v>74</v>
      </c>
      <c r="AG875">
        <v>20</v>
      </c>
      <c r="AH875">
        <v>0</v>
      </c>
      <c r="AI875">
        <v>0</v>
      </c>
      <c r="AJ875">
        <v>0</v>
      </c>
      <c r="AK875">
        <v>0</v>
      </c>
      <c r="AL875" t="s">
        <v>16260</v>
      </c>
      <c r="AM875" t="s">
        <v>16261</v>
      </c>
      <c r="AN875" t="s">
        <v>16262</v>
      </c>
      <c r="AO875" t="s">
        <v>74</v>
      </c>
      <c r="AP875" t="s">
        <v>74</v>
      </c>
      <c r="AQ875" t="s">
        <v>16263</v>
      </c>
      <c r="AR875" t="s">
        <v>16264</v>
      </c>
      <c r="AS875" t="s">
        <v>74</v>
      </c>
      <c r="AT875" t="s">
        <v>74</v>
      </c>
      <c r="AU875">
        <v>2012</v>
      </c>
      <c r="AV875" t="s">
        <v>74</v>
      </c>
      <c r="AW875" t="s">
        <v>74</v>
      </c>
      <c r="AX875" t="s">
        <v>74</v>
      </c>
      <c r="AY875" t="s">
        <v>74</v>
      </c>
      <c r="AZ875" t="s">
        <v>74</v>
      </c>
      <c r="BA875" t="s">
        <v>74</v>
      </c>
      <c r="BB875">
        <v>23</v>
      </c>
      <c r="BC875">
        <v>40</v>
      </c>
      <c r="BD875" t="s">
        <v>74</v>
      </c>
      <c r="BE875" t="s">
        <v>74</v>
      </c>
      <c r="BF875" t="s">
        <v>74</v>
      </c>
      <c r="BG875" t="s">
        <v>16265</v>
      </c>
      <c r="BH875" t="s">
        <v>74</v>
      </c>
      <c r="BI875">
        <v>18</v>
      </c>
      <c r="BJ875" t="s">
        <v>967</v>
      </c>
      <c r="BK875" t="s">
        <v>12155</v>
      </c>
      <c r="BL875" t="s">
        <v>967</v>
      </c>
      <c r="BM875" t="s">
        <v>16266</v>
      </c>
      <c r="BN875" t="s">
        <v>74</v>
      </c>
      <c r="BO875" t="s">
        <v>156</v>
      </c>
      <c r="BP875" t="s">
        <v>74</v>
      </c>
      <c r="BQ875" t="s">
        <v>74</v>
      </c>
      <c r="BR875" t="s">
        <v>101</v>
      </c>
      <c r="BS875" t="s">
        <v>16270</v>
      </c>
      <c r="BT875" t="str">
        <f>HYPERLINK("https%3A%2F%2Fwww.webofscience.com%2Fwos%2Fwoscc%2Ffull-record%2FWOS:000303215100003","View Full Record in Web of Science")</f>
        <v>View Full Record in Web of Science</v>
      </c>
    </row>
    <row r="876" spans="1:72" x14ac:dyDescent="0.15">
      <c r="A876" t="s">
        <v>12256</v>
      </c>
      <c r="B876" t="s">
        <v>16251</v>
      </c>
      <c r="C876" t="s">
        <v>16252</v>
      </c>
      <c r="D876" t="s">
        <v>74</v>
      </c>
      <c r="E876" t="s">
        <v>74</v>
      </c>
      <c r="F876" t="s">
        <v>16253</v>
      </c>
      <c r="G876" t="s">
        <v>16252</v>
      </c>
      <c r="H876" t="s">
        <v>74</v>
      </c>
      <c r="I876" t="s">
        <v>16271</v>
      </c>
      <c r="J876" t="s">
        <v>16255</v>
      </c>
      <c r="K876" t="s">
        <v>16256</v>
      </c>
      <c r="L876" t="s">
        <v>74</v>
      </c>
      <c r="M876" t="s">
        <v>78</v>
      </c>
      <c r="N876" t="s">
        <v>12141</v>
      </c>
      <c r="O876" t="s">
        <v>74</v>
      </c>
      <c r="P876" t="s">
        <v>74</v>
      </c>
      <c r="Q876" t="s">
        <v>74</v>
      </c>
      <c r="R876" t="s">
        <v>74</v>
      </c>
      <c r="S876" t="s">
        <v>74</v>
      </c>
      <c r="T876" t="s">
        <v>74</v>
      </c>
      <c r="U876" t="s">
        <v>16272</v>
      </c>
      <c r="V876" t="s">
        <v>74</v>
      </c>
      <c r="W876" t="s">
        <v>16258</v>
      </c>
      <c r="X876" t="s">
        <v>977</v>
      </c>
      <c r="Y876" t="s">
        <v>16259</v>
      </c>
      <c r="Z876" t="s">
        <v>74</v>
      </c>
      <c r="AA876" t="s">
        <v>74</v>
      </c>
      <c r="AB876" t="s">
        <v>74</v>
      </c>
      <c r="AC876" t="s">
        <v>74</v>
      </c>
      <c r="AD876" t="s">
        <v>74</v>
      </c>
      <c r="AE876" t="s">
        <v>74</v>
      </c>
      <c r="AF876" t="s">
        <v>74</v>
      </c>
      <c r="AG876">
        <v>19</v>
      </c>
      <c r="AH876">
        <v>0</v>
      </c>
      <c r="AI876">
        <v>0</v>
      </c>
      <c r="AJ876">
        <v>0</v>
      </c>
      <c r="AK876">
        <v>0</v>
      </c>
      <c r="AL876" t="s">
        <v>16260</v>
      </c>
      <c r="AM876" t="s">
        <v>16261</v>
      </c>
      <c r="AN876" t="s">
        <v>16262</v>
      </c>
      <c r="AO876" t="s">
        <v>74</v>
      </c>
      <c r="AP876" t="s">
        <v>74</v>
      </c>
      <c r="AQ876" t="s">
        <v>16273</v>
      </c>
      <c r="AR876" t="s">
        <v>16264</v>
      </c>
      <c r="AS876" t="s">
        <v>74</v>
      </c>
      <c r="AT876" t="s">
        <v>74</v>
      </c>
      <c r="AU876">
        <v>2012</v>
      </c>
      <c r="AV876" t="s">
        <v>74</v>
      </c>
      <c r="AW876" t="s">
        <v>74</v>
      </c>
      <c r="AX876" t="s">
        <v>74</v>
      </c>
      <c r="AY876" t="s">
        <v>74</v>
      </c>
      <c r="AZ876" t="s">
        <v>74</v>
      </c>
      <c r="BA876" t="s">
        <v>74</v>
      </c>
      <c r="BB876">
        <v>41</v>
      </c>
      <c r="BC876">
        <v>76</v>
      </c>
      <c r="BD876" t="s">
        <v>74</v>
      </c>
      <c r="BE876" t="s">
        <v>74</v>
      </c>
      <c r="BF876" t="s">
        <v>74</v>
      </c>
      <c r="BG876" t="s">
        <v>16265</v>
      </c>
      <c r="BH876" t="s">
        <v>74</v>
      </c>
      <c r="BI876">
        <v>36</v>
      </c>
      <c r="BJ876" t="s">
        <v>967</v>
      </c>
      <c r="BK876" t="s">
        <v>12155</v>
      </c>
      <c r="BL876" t="s">
        <v>967</v>
      </c>
      <c r="BM876" t="s">
        <v>16266</v>
      </c>
      <c r="BN876" t="s">
        <v>74</v>
      </c>
      <c r="BO876" t="s">
        <v>156</v>
      </c>
      <c r="BP876" t="s">
        <v>74</v>
      </c>
      <c r="BQ876" t="s">
        <v>74</v>
      </c>
      <c r="BR876" t="s">
        <v>101</v>
      </c>
      <c r="BS876" t="s">
        <v>16274</v>
      </c>
      <c r="BT876" t="str">
        <f>HYPERLINK("https%3A%2F%2Fwww.webofscience.com%2Fwos%2Fwoscc%2Ffull-record%2FWOS:000303215100004","View Full Record in Web of Science")</f>
        <v>View Full Record in Web of Science</v>
      </c>
    </row>
    <row r="877" spans="1:72" x14ac:dyDescent="0.15">
      <c r="A877" t="s">
        <v>12256</v>
      </c>
      <c r="B877" t="s">
        <v>16251</v>
      </c>
      <c r="C877" t="s">
        <v>16252</v>
      </c>
      <c r="D877" t="s">
        <v>74</v>
      </c>
      <c r="E877" t="s">
        <v>74</v>
      </c>
      <c r="F877" t="s">
        <v>16253</v>
      </c>
      <c r="G877" t="s">
        <v>16252</v>
      </c>
      <c r="H877" t="s">
        <v>74</v>
      </c>
      <c r="I877" t="s">
        <v>16275</v>
      </c>
      <c r="J877" t="s">
        <v>16255</v>
      </c>
      <c r="K877" t="s">
        <v>16256</v>
      </c>
      <c r="L877" t="s">
        <v>74</v>
      </c>
      <c r="M877" t="s">
        <v>78</v>
      </c>
      <c r="N877" t="s">
        <v>12141</v>
      </c>
      <c r="O877" t="s">
        <v>74</v>
      </c>
      <c r="P877" t="s">
        <v>74</v>
      </c>
      <c r="Q877" t="s">
        <v>74</v>
      </c>
      <c r="R877" t="s">
        <v>74</v>
      </c>
      <c r="S877" t="s">
        <v>74</v>
      </c>
      <c r="T877" t="s">
        <v>74</v>
      </c>
      <c r="U877" t="s">
        <v>16276</v>
      </c>
      <c r="V877" t="s">
        <v>74</v>
      </c>
      <c r="W877" t="s">
        <v>16258</v>
      </c>
      <c r="X877" t="s">
        <v>977</v>
      </c>
      <c r="Y877" t="s">
        <v>16259</v>
      </c>
      <c r="Z877" t="s">
        <v>74</v>
      </c>
      <c r="AA877" t="s">
        <v>74</v>
      </c>
      <c r="AB877" t="s">
        <v>74</v>
      </c>
      <c r="AC877" t="s">
        <v>74</v>
      </c>
      <c r="AD877" t="s">
        <v>74</v>
      </c>
      <c r="AE877" t="s">
        <v>74</v>
      </c>
      <c r="AF877" t="s">
        <v>74</v>
      </c>
      <c r="AG877">
        <v>104</v>
      </c>
      <c r="AH877">
        <v>0</v>
      </c>
      <c r="AI877">
        <v>0</v>
      </c>
      <c r="AJ877">
        <v>0</v>
      </c>
      <c r="AK877">
        <v>0</v>
      </c>
      <c r="AL877" t="s">
        <v>16260</v>
      </c>
      <c r="AM877" t="s">
        <v>16261</v>
      </c>
      <c r="AN877" t="s">
        <v>16262</v>
      </c>
      <c r="AO877" t="s">
        <v>74</v>
      </c>
      <c r="AP877" t="s">
        <v>74</v>
      </c>
      <c r="AQ877" t="s">
        <v>16273</v>
      </c>
      <c r="AR877" t="s">
        <v>16264</v>
      </c>
      <c r="AS877" t="s">
        <v>74</v>
      </c>
      <c r="AT877" t="s">
        <v>74</v>
      </c>
      <c r="AU877">
        <v>2012</v>
      </c>
      <c r="AV877" t="s">
        <v>74</v>
      </c>
      <c r="AW877" t="s">
        <v>74</v>
      </c>
      <c r="AX877" t="s">
        <v>74</v>
      </c>
      <c r="AY877" t="s">
        <v>74</v>
      </c>
      <c r="AZ877" t="s">
        <v>74</v>
      </c>
      <c r="BA877" t="s">
        <v>74</v>
      </c>
      <c r="BB877">
        <v>77</v>
      </c>
      <c r="BC877">
        <v>101</v>
      </c>
      <c r="BD877" t="s">
        <v>74</v>
      </c>
      <c r="BE877" t="s">
        <v>74</v>
      </c>
      <c r="BF877" t="s">
        <v>74</v>
      </c>
      <c r="BG877" t="s">
        <v>16265</v>
      </c>
      <c r="BH877" t="s">
        <v>74</v>
      </c>
      <c r="BI877">
        <v>25</v>
      </c>
      <c r="BJ877" t="s">
        <v>967</v>
      </c>
      <c r="BK877" t="s">
        <v>12155</v>
      </c>
      <c r="BL877" t="s">
        <v>967</v>
      </c>
      <c r="BM877" t="s">
        <v>16266</v>
      </c>
      <c r="BN877" t="s">
        <v>74</v>
      </c>
      <c r="BO877" t="s">
        <v>156</v>
      </c>
      <c r="BP877" t="s">
        <v>74</v>
      </c>
      <c r="BQ877" t="s">
        <v>74</v>
      </c>
      <c r="BR877" t="s">
        <v>101</v>
      </c>
      <c r="BS877" t="s">
        <v>16277</v>
      </c>
      <c r="BT877" t="str">
        <f>HYPERLINK("https%3A%2F%2Fwww.webofscience.com%2Fwos%2Fwoscc%2Ffull-record%2FWOS:000303215100005","View Full Record in Web of Science")</f>
        <v>View Full Record in Web of Science</v>
      </c>
    </row>
    <row r="878" spans="1:72" x14ac:dyDescent="0.15">
      <c r="A878" t="s">
        <v>12256</v>
      </c>
      <c r="B878" t="s">
        <v>16251</v>
      </c>
      <c r="C878" t="s">
        <v>16252</v>
      </c>
      <c r="D878" t="s">
        <v>74</v>
      </c>
      <c r="E878" t="s">
        <v>74</v>
      </c>
      <c r="F878" t="s">
        <v>16253</v>
      </c>
      <c r="G878" t="s">
        <v>16252</v>
      </c>
      <c r="H878" t="s">
        <v>74</v>
      </c>
      <c r="I878" t="s">
        <v>16278</v>
      </c>
      <c r="J878" t="s">
        <v>16255</v>
      </c>
      <c r="K878" t="s">
        <v>16256</v>
      </c>
      <c r="L878" t="s">
        <v>74</v>
      </c>
      <c r="M878" t="s">
        <v>78</v>
      </c>
      <c r="N878" t="s">
        <v>12141</v>
      </c>
      <c r="O878" t="s">
        <v>74</v>
      </c>
      <c r="P878" t="s">
        <v>74</v>
      </c>
      <c r="Q878" t="s">
        <v>74</v>
      </c>
      <c r="R878" t="s">
        <v>74</v>
      </c>
      <c r="S878" t="s">
        <v>74</v>
      </c>
      <c r="T878" t="s">
        <v>74</v>
      </c>
      <c r="U878" t="s">
        <v>16279</v>
      </c>
      <c r="V878" t="s">
        <v>74</v>
      </c>
      <c r="W878" t="s">
        <v>16258</v>
      </c>
      <c r="X878" t="s">
        <v>977</v>
      </c>
      <c r="Y878" t="s">
        <v>16259</v>
      </c>
      <c r="Z878" t="s">
        <v>74</v>
      </c>
      <c r="AA878" t="s">
        <v>74</v>
      </c>
      <c r="AB878" t="s">
        <v>74</v>
      </c>
      <c r="AC878" t="s">
        <v>74</v>
      </c>
      <c r="AD878" t="s">
        <v>74</v>
      </c>
      <c r="AE878" t="s">
        <v>74</v>
      </c>
      <c r="AF878" t="s">
        <v>74</v>
      </c>
      <c r="AG878">
        <v>31</v>
      </c>
      <c r="AH878">
        <v>0</v>
      </c>
      <c r="AI878">
        <v>0</v>
      </c>
      <c r="AJ878">
        <v>0</v>
      </c>
      <c r="AK878">
        <v>0</v>
      </c>
      <c r="AL878" t="s">
        <v>16260</v>
      </c>
      <c r="AM878" t="s">
        <v>16261</v>
      </c>
      <c r="AN878" t="s">
        <v>16262</v>
      </c>
      <c r="AO878" t="s">
        <v>74</v>
      </c>
      <c r="AP878" t="s">
        <v>74</v>
      </c>
      <c r="AQ878" t="s">
        <v>16273</v>
      </c>
      <c r="AR878" t="s">
        <v>16264</v>
      </c>
      <c r="AS878" t="s">
        <v>74</v>
      </c>
      <c r="AT878" t="s">
        <v>74</v>
      </c>
      <c r="AU878">
        <v>2012</v>
      </c>
      <c r="AV878" t="s">
        <v>74</v>
      </c>
      <c r="AW878" t="s">
        <v>74</v>
      </c>
      <c r="AX878" t="s">
        <v>74</v>
      </c>
      <c r="AY878" t="s">
        <v>74</v>
      </c>
      <c r="AZ878" t="s">
        <v>74</v>
      </c>
      <c r="BA878" t="s">
        <v>74</v>
      </c>
      <c r="BB878">
        <v>103</v>
      </c>
      <c r="BC878">
        <v>128</v>
      </c>
      <c r="BD878" t="s">
        <v>74</v>
      </c>
      <c r="BE878" t="s">
        <v>74</v>
      </c>
      <c r="BF878" t="s">
        <v>74</v>
      </c>
      <c r="BG878" t="s">
        <v>16265</v>
      </c>
      <c r="BH878" t="s">
        <v>74</v>
      </c>
      <c r="BI878">
        <v>26</v>
      </c>
      <c r="BJ878" t="s">
        <v>967</v>
      </c>
      <c r="BK878" t="s">
        <v>12155</v>
      </c>
      <c r="BL878" t="s">
        <v>967</v>
      </c>
      <c r="BM878" t="s">
        <v>16266</v>
      </c>
      <c r="BN878" t="s">
        <v>74</v>
      </c>
      <c r="BO878" t="s">
        <v>156</v>
      </c>
      <c r="BP878" t="s">
        <v>74</v>
      </c>
      <c r="BQ878" t="s">
        <v>74</v>
      </c>
      <c r="BR878" t="s">
        <v>101</v>
      </c>
      <c r="BS878" t="s">
        <v>16280</v>
      </c>
      <c r="BT878" t="str">
        <f>HYPERLINK("https%3A%2F%2Fwww.webofscience.com%2Fwos%2Fwoscc%2Ffull-record%2FWOS:000303215100006","View Full Record in Web of Science")</f>
        <v>View Full Record in Web of Science</v>
      </c>
    </row>
    <row r="879" spans="1:72" x14ac:dyDescent="0.15">
      <c r="A879" t="s">
        <v>12256</v>
      </c>
      <c r="B879" t="s">
        <v>16251</v>
      </c>
      <c r="C879" t="s">
        <v>16252</v>
      </c>
      <c r="D879" t="s">
        <v>74</v>
      </c>
      <c r="E879" t="s">
        <v>74</v>
      </c>
      <c r="F879" t="s">
        <v>16253</v>
      </c>
      <c r="G879" t="s">
        <v>16252</v>
      </c>
      <c r="H879" t="s">
        <v>74</v>
      </c>
      <c r="I879" t="s">
        <v>16281</v>
      </c>
      <c r="J879" t="s">
        <v>16255</v>
      </c>
      <c r="K879" t="s">
        <v>16256</v>
      </c>
      <c r="L879" t="s">
        <v>74</v>
      </c>
      <c r="M879" t="s">
        <v>78</v>
      </c>
      <c r="N879" t="s">
        <v>12141</v>
      </c>
      <c r="O879" t="s">
        <v>74</v>
      </c>
      <c r="P879" t="s">
        <v>74</v>
      </c>
      <c r="Q879" t="s">
        <v>74</v>
      </c>
      <c r="R879" t="s">
        <v>74</v>
      </c>
      <c r="S879" t="s">
        <v>74</v>
      </c>
      <c r="T879" t="s">
        <v>74</v>
      </c>
      <c r="U879" t="s">
        <v>16282</v>
      </c>
      <c r="V879" t="s">
        <v>74</v>
      </c>
      <c r="W879" t="s">
        <v>16258</v>
      </c>
      <c r="X879" t="s">
        <v>977</v>
      </c>
      <c r="Y879" t="s">
        <v>16259</v>
      </c>
      <c r="Z879" t="s">
        <v>74</v>
      </c>
      <c r="AA879" t="s">
        <v>74</v>
      </c>
      <c r="AB879" t="s">
        <v>74</v>
      </c>
      <c r="AC879" t="s">
        <v>74</v>
      </c>
      <c r="AD879" t="s">
        <v>74</v>
      </c>
      <c r="AE879" t="s">
        <v>74</v>
      </c>
      <c r="AF879" t="s">
        <v>74</v>
      </c>
      <c r="AG879">
        <v>30</v>
      </c>
      <c r="AH879">
        <v>0</v>
      </c>
      <c r="AI879">
        <v>0</v>
      </c>
      <c r="AJ879">
        <v>0</v>
      </c>
      <c r="AK879">
        <v>0</v>
      </c>
      <c r="AL879" t="s">
        <v>16260</v>
      </c>
      <c r="AM879" t="s">
        <v>16261</v>
      </c>
      <c r="AN879" t="s">
        <v>16262</v>
      </c>
      <c r="AO879" t="s">
        <v>74</v>
      </c>
      <c r="AP879" t="s">
        <v>74</v>
      </c>
      <c r="AQ879" t="s">
        <v>16273</v>
      </c>
      <c r="AR879" t="s">
        <v>16264</v>
      </c>
      <c r="AS879" t="s">
        <v>74</v>
      </c>
      <c r="AT879" t="s">
        <v>74</v>
      </c>
      <c r="AU879">
        <v>2012</v>
      </c>
      <c r="AV879" t="s">
        <v>74</v>
      </c>
      <c r="AW879" t="s">
        <v>74</v>
      </c>
      <c r="AX879" t="s">
        <v>74</v>
      </c>
      <c r="AY879" t="s">
        <v>74</v>
      </c>
      <c r="AZ879" t="s">
        <v>74</v>
      </c>
      <c r="BA879" t="s">
        <v>74</v>
      </c>
      <c r="BB879">
        <v>129</v>
      </c>
      <c r="BC879">
        <v>167</v>
      </c>
      <c r="BD879" t="s">
        <v>74</v>
      </c>
      <c r="BE879" t="s">
        <v>74</v>
      </c>
      <c r="BF879" t="s">
        <v>74</v>
      </c>
      <c r="BG879" t="s">
        <v>16265</v>
      </c>
      <c r="BH879" t="s">
        <v>74</v>
      </c>
      <c r="BI879">
        <v>39</v>
      </c>
      <c r="BJ879" t="s">
        <v>967</v>
      </c>
      <c r="BK879" t="s">
        <v>12155</v>
      </c>
      <c r="BL879" t="s">
        <v>967</v>
      </c>
      <c r="BM879" t="s">
        <v>16266</v>
      </c>
      <c r="BN879" t="s">
        <v>74</v>
      </c>
      <c r="BO879" t="s">
        <v>156</v>
      </c>
      <c r="BP879" t="s">
        <v>74</v>
      </c>
      <c r="BQ879" t="s">
        <v>74</v>
      </c>
      <c r="BR879" t="s">
        <v>101</v>
      </c>
      <c r="BS879" t="s">
        <v>16283</v>
      </c>
      <c r="BT879" t="str">
        <f>HYPERLINK("https%3A%2F%2Fwww.webofscience.com%2Fwos%2Fwoscc%2Ffull-record%2FWOS:000303215100007","View Full Record in Web of Science")</f>
        <v>View Full Record in Web of Science</v>
      </c>
    </row>
    <row r="880" spans="1:72" x14ac:dyDescent="0.15">
      <c r="A880" t="s">
        <v>12256</v>
      </c>
      <c r="B880" t="s">
        <v>16251</v>
      </c>
      <c r="C880" t="s">
        <v>16252</v>
      </c>
      <c r="D880" t="s">
        <v>74</v>
      </c>
      <c r="E880" t="s">
        <v>74</v>
      </c>
      <c r="F880" t="s">
        <v>16253</v>
      </c>
      <c r="G880" t="s">
        <v>16252</v>
      </c>
      <c r="H880" t="s">
        <v>74</v>
      </c>
      <c r="I880" t="s">
        <v>16284</v>
      </c>
      <c r="J880" t="s">
        <v>16255</v>
      </c>
      <c r="K880" t="s">
        <v>16256</v>
      </c>
      <c r="L880" t="s">
        <v>74</v>
      </c>
      <c r="M880" t="s">
        <v>78</v>
      </c>
      <c r="N880" t="s">
        <v>12141</v>
      </c>
      <c r="O880" t="s">
        <v>74</v>
      </c>
      <c r="P880" t="s">
        <v>74</v>
      </c>
      <c r="Q880" t="s">
        <v>74</v>
      </c>
      <c r="R880" t="s">
        <v>74</v>
      </c>
      <c r="S880" t="s">
        <v>74</v>
      </c>
      <c r="T880" t="s">
        <v>74</v>
      </c>
      <c r="U880" t="s">
        <v>16285</v>
      </c>
      <c r="V880" t="s">
        <v>74</v>
      </c>
      <c r="W880" t="s">
        <v>16258</v>
      </c>
      <c r="X880" t="s">
        <v>977</v>
      </c>
      <c r="Y880" t="s">
        <v>16259</v>
      </c>
      <c r="Z880" t="s">
        <v>74</v>
      </c>
      <c r="AA880" t="s">
        <v>74</v>
      </c>
      <c r="AB880" t="s">
        <v>74</v>
      </c>
      <c r="AC880" t="s">
        <v>74</v>
      </c>
      <c r="AD880" t="s">
        <v>74</v>
      </c>
      <c r="AE880" t="s">
        <v>74</v>
      </c>
      <c r="AF880" t="s">
        <v>74</v>
      </c>
      <c r="AG880">
        <v>15</v>
      </c>
      <c r="AH880">
        <v>0</v>
      </c>
      <c r="AI880">
        <v>0</v>
      </c>
      <c r="AJ880">
        <v>0</v>
      </c>
      <c r="AK880">
        <v>0</v>
      </c>
      <c r="AL880" t="s">
        <v>16260</v>
      </c>
      <c r="AM880" t="s">
        <v>16261</v>
      </c>
      <c r="AN880" t="s">
        <v>16262</v>
      </c>
      <c r="AO880" t="s">
        <v>74</v>
      </c>
      <c r="AP880" t="s">
        <v>74</v>
      </c>
      <c r="AQ880" t="s">
        <v>16263</v>
      </c>
      <c r="AR880" t="s">
        <v>16264</v>
      </c>
      <c r="AS880" t="s">
        <v>74</v>
      </c>
      <c r="AT880" t="s">
        <v>74</v>
      </c>
      <c r="AU880">
        <v>2012</v>
      </c>
      <c r="AV880" t="s">
        <v>74</v>
      </c>
      <c r="AW880" t="s">
        <v>74</v>
      </c>
      <c r="AX880" t="s">
        <v>74</v>
      </c>
      <c r="AY880" t="s">
        <v>74</v>
      </c>
      <c r="AZ880" t="s">
        <v>74</v>
      </c>
      <c r="BA880" t="s">
        <v>74</v>
      </c>
      <c r="BB880">
        <v>169</v>
      </c>
      <c r="BC880">
        <v>185</v>
      </c>
      <c r="BD880" t="s">
        <v>74</v>
      </c>
      <c r="BE880" t="s">
        <v>74</v>
      </c>
      <c r="BF880" t="s">
        <v>74</v>
      </c>
      <c r="BG880" t="s">
        <v>16265</v>
      </c>
      <c r="BH880" t="s">
        <v>74</v>
      </c>
      <c r="BI880">
        <v>17</v>
      </c>
      <c r="BJ880" t="s">
        <v>967</v>
      </c>
      <c r="BK880" t="s">
        <v>12155</v>
      </c>
      <c r="BL880" t="s">
        <v>967</v>
      </c>
      <c r="BM880" t="s">
        <v>16266</v>
      </c>
      <c r="BN880" t="s">
        <v>74</v>
      </c>
      <c r="BO880" t="s">
        <v>156</v>
      </c>
      <c r="BP880" t="s">
        <v>74</v>
      </c>
      <c r="BQ880" t="s">
        <v>74</v>
      </c>
      <c r="BR880" t="s">
        <v>101</v>
      </c>
      <c r="BS880" t="s">
        <v>16286</v>
      </c>
      <c r="BT880" t="str">
        <f>HYPERLINK("https%3A%2F%2Fwww.webofscience.com%2Fwos%2Fwoscc%2Ffull-record%2FWOS:000303215100008","View Full Record in Web of Science")</f>
        <v>View Full Record in Web of Science</v>
      </c>
    </row>
    <row r="881" spans="1:72" x14ac:dyDescent="0.15">
      <c r="A881" t="s">
        <v>12256</v>
      </c>
      <c r="B881" t="s">
        <v>16251</v>
      </c>
      <c r="C881" t="s">
        <v>16252</v>
      </c>
      <c r="D881" t="s">
        <v>74</v>
      </c>
      <c r="E881" t="s">
        <v>74</v>
      </c>
      <c r="F881" t="s">
        <v>16253</v>
      </c>
      <c r="G881" t="s">
        <v>16252</v>
      </c>
      <c r="H881" t="s">
        <v>74</v>
      </c>
      <c r="I881" t="s">
        <v>16287</v>
      </c>
      <c r="J881" t="s">
        <v>16255</v>
      </c>
      <c r="K881" t="s">
        <v>16256</v>
      </c>
      <c r="L881" t="s">
        <v>74</v>
      </c>
      <c r="M881" t="s">
        <v>78</v>
      </c>
      <c r="N881" t="s">
        <v>12141</v>
      </c>
      <c r="O881" t="s">
        <v>74</v>
      </c>
      <c r="P881" t="s">
        <v>74</v>
      </c>
      <c r="Q881" t="s">
        <v>74</v>
      </c>
      <c r="R881" t="s">
        <v>74</v>
      </c>
      <c r="S881" t="s">
        <v>74</v>
      </c>
      <c r="T881" t="s">
        <v>74</v>
      </c>
      <c r="U881" t="s">
        <v>16288</v>
      </c>
      <c r="V881" t="s">
        <v>74</v>
      </c>
      <c r="W881" t="s">
        <v>16258</v>
      </c>
      <c r="X881" t="s">
        <v>977</v>
      </c>
      <c r="Y881" t="s">
        <v>16259</v>
      </c>
      <c r="Z881" t="s">
        <v>74</v>
      </c>
      <c r="AA881" t="s">
        <v>74</v>
      </c>
      <c r="AB881" t="s">
        <v>74</v>
      </c>
      <c r="AC881" t="s">
        <v>74</v>
      </c>
      <c r="AD881" t="s">
        <v>74</v>
      </c>
      <c r="AE881" t="s">
        <v>74</v>
      </c>
      <c r="AF881" t="s">
        <v>74</v>
      </c>
      <c r="AG881">
        <v>27</v>
      </c>
      <c r="AH881">
        <v>0</v>
      </c>
      <c r="AI881">
        <v>0</v>
      </c>
      <c r="AJ881">
        <v>0</v>
      </c>
      <c r="AK881">
        <v>0</v>
      </c>
      <c r="AL881" t="s">
        <v>16260</v>
      </c>
      <c r="AM881" t="s">
        <v>16261</v>
      </c>
      <c r="AN881" t="s">
        <v>16262</v>
      </c>
      <c r="AO881" t="s">
        <v>74</v>
      </c>
      <c r="AP881" t="s">
        <v>74</v>
      </c>
      <c r="AQ881" t="s">
        <v>16263</v>
      </c>
      <c r="AR881" t="s">
        <v>16264</v>
      </c>
      <c r="AS881" t="s">
        <v>74</v>
      </c>
      <c r="AT881" t="s">
        <v>74</v>
      </c>
      <c r="AU881">
        <v>2012</v>
      </c>
      <c r="AV881" t="s">
        <v>74</v>
      </c>
      <c r="AW881" t="s">
        <v>74</v>
      </c>
      <c r="AX881" t="s">
        <v>74</v>
      </c>
      <c r="AY881" t="s">
        <v>74</v>
      </c>
      <c r="AZ881" t="s">
        <v>74</v>
      </c>
      <c r="BA881" t="s">
        <v>74</v>
      </c>
      <c r="BB881">
        <v>187</v>
      </c>
      <c r="BC881">
        <v>217</v>
      </c>
      <c r="BD881" t="s">
        <v>74</v>
      </c>
      <c r="BE881" t="s">
        <v>74</v>
      </c>
      <c r="BF881" t="s">
        <v>74</v>
      </c>
      <c r="BG881" t="s">
        <v>16265</v>
      </c>
      <c r="BH881" t="s">
        <v>74</v>
      </c>
      <c r="BI881">
        <v>31</v>
      </c>
      <c r="BJ881" t="s">
        <v>967</v>
      </c>
      <c r="BK881" t="s">
        <v>12155</v>
      </c>
      <c r="BL881" t="s">
        <v>967</v>
      </c>
      <c r="BM881" t="s">
        <v>16266</v>
      </c>
      <c r="BN881" t="s">
        <v>74</v>
      </c>
      <c r="BO881" t="s">
        <v>156</v>
      </c>
      <c r="BP881" t="s">
        <v>74</v>
      </c>
      <c r="BQ881" t="s">
        <v>74</v>
      </c>
      <c r="BR881" t="s">
        <v>101</v>
      </c>
      <c r="BS881" t="s">
        <v>16289</v>
      </c>
      <c r="BT881" t="str">
        <f>HYPERLINK("https%3A%2F%2Fwww.webofscience.com%2Fwos%2Fwoscc%2Ffull-record%2FWOS:000303215100009","View Full Record in Web of Science")</f>
        <v>View Full Record in Web of Science</v>
      </c>
    </row>
    <row r="882" spans="1:72" x14ac:dyDescent="0.15">
      <c r="A882" t="s">
        <v>12256</v>
      </c>
      <c r="B882" t="s">
        <v>16251</v>
      </c>
      <c r="C882" t="s">
        <v>16252</v>
      </c>
      <c r="D882" t="s">
        <v>74</v>
      </c>
      <c r="E882" t="s">
        <v>74</v>
      </c>
      <c r="F882" t="s">
        <v>16253</v>
      </c>
      <c r="G882" t="s">
        <v>16252</v>
      </c>
      <c r="H882" t="s">
        <v>74</v>
      </c>
      <c r="I882" t="s">
        <v>16290</v>
      </c>
      <c r="J882" t="s">
        <v>16255</v>
      </c>
      <c r="K882" t="s">
        <v>16256</v>
      </c>
      <c r="L882" t="s">
        <v>74</v>
      </c>
      <c r="M882" t="s">
        <v>78</v>
      </c>
      <c r="N882" t="s">
        <v>12141</v>
      </c>
      <c r="O882" t="s">
        <v>74</v>
      </c>
      <c r="P882" t="s">
        <v>74</v>
      </c>
      <c r="Q882" t="s">
        <v>74</v>
      </c>
      <c r="R882" t="s">
        <v>74</v>
      </c>
      <c r="S882" t="s">
        <v>74</v>
      </c>
      <c r="T882" t="s">
        <v>74</v>
      </c>
      <c r="U882" t="s">
        <v>16291</v>
      </c>
      <c r="V882" t="s">
        <v>74</v>
      </c>
      <c r="W882" t="s">
        <v>16258</v>
      </c>
      <c r="X882" t="s">
        <v>977</v>
      </c>
      <c r="Y882" t="s">
        <v>16259</v>
      </c>
      <c r="Z882" t="s">
        <v>74</v>
      </c>
      <c r="AA882" t="s">
        <v>74</v>
      </c>
      <c r="AB882" t="s">
        <v>74</v>
      </c>
      <c r="AC882" t="s">
        <v>74</v>
      </c>
      <c r="AD882" t="s">
        <v>74</v>
      </c>
      <c r="AE882" t="s">
        <v>74</v>
      </c>
      <c r="AF882" t="s">
        <v>74</v>
      </c>
      <c r="AG882">
        <v>25</v>
      </c>
      <c r="AH882">
        <v>1</v>
      </c>
      <c r="AI882">
        <v>1</v>
      </c>
      <c r="AJ882">
        <v>0</v>
      </c>
      <c r="AK882">
        <v>0</v>
      </c>
      <c r="AL882" t="s">
        <v>16260</v>
      </c>
      <c r="AM882" t="s">
        <v>16261</v>
      </c>
      <c r="AN882" t="s">
        <v>16262</v>
      </c>
      <c r="AO882" t="s">
        <v>74</v>
      </c>
      <c r="AP882" t="s">
        <v>74</v>
      </c>
      <c r="AQ882" t="s">
        <v>16263</v>
      </c>
      <c r="AR882" t="s">
        <v>16264</v>
      </c>
      <c r="AS882" t="s">
        <v>74</v>
      </c>
      <c r="AT882" t="s">
        <v>74</v>
      </c>
      <c r="AU882">
        <v>2012</v>
      </c>
      <c r="AV882" t="s">
        <v>74</v>
      </c>
      <c r="AW882" t="s">
        <v>74</v>
      </c>
      <c r="AX882" t="s">
        <v>74</v>
      </c>
      <c r="AY882" t="s">
        <v>74</v>
      </c>
      <c r="AZ882" t="s">
        <v>74</v>
      </c>
      <c r="BA882" t="s">
        <v>74</v>
      </c>
      <c r="BB882">
        <v>219</v>
      </c>
      <c r="BC882">
        <v>230</v>
      </c>
      <c r="BD882" t="s">
        <v>74</v>
      </c>
      <c r="BE882" t="s">
        <v>74</v>
      </c>
      <c r="BF882" t="s">
        <v>74</v>
      </c>
      <c r="BG882" t="s">
        <v>16265</v>
      </c>
      <c r="BH882" t="s">
        <v>74</v>
      </c>
      <c r="BI882">
        <v>12</v>
      </c>
      <c r="BJ882" t="s">
        <v>967</v>
      </c>
      <c r="BK882" t="s">
        <v>12155</v>
      </c>
      <c r="BL882" t="s">
        <v>967</v>
      </c>
      <c r="BM882" t="s">
        <v>16266</v>
      </c>
      <c r="BN882" t="s">
        <v>74</v>
      </c>
      <c r="BO882" t="s">
        <v>156</v>
      </c>
      <c r="BP882" t="s">
        <v>74</v>
      </c>
      <c r="BQ882" t="s">
        <v>74</v>
      </c>
      <c r="BR882" t="s">
        <v>101</v>
      </c>
      <c r="BS882" t="s">
        <v>16292</v>
      </c>
      <c r="BT882" t="str">
        <f>HYPERLINK("https%3A%2F%2Fwww.webofscience.com%2Fwos%2Fwoscc%2Ffull-record%2FWOS:000303215100010","View Full Record in Web of Science")</f>
        <v>View Full Record in Web of Science</v>
      </c>
    </row>
    <row r="883" spans="1:72" x14ac:dyDescent="0.15">
      <c r="A883" t="s">
        <v>12256</v>
      </c>
      <c r="B883" t="s">
        <v>16251</v>
      </c>
      <c r="C883" t="s">
        <v>16252</v>
      </c>
      <c r="D883" t="s">
        <v>74</v>
      </c>
      <c r="E883" t="s">
        <v>74</v>
      </c>
      <c r="F883" t="s">
        <v>16253</v>
      </c>
      <c r="G883" t="s">
        <v>16252</v>
      </c>
      <c r="H883" t="s">
        <v>74</v>
      </c>
      <c r="I883" t="s">
        <v>16293</v>
      </c>
      <c r="J883" t="s">
        <v>16255</v>
      </c>
      <c r="K883" t="s">
        <v>16256</v>
      </c>
      <c r="L883" t="s">
        <v>74</v>
      </c>
      <c r="M883" t="s">
        <v>78</v>
      </c>
      <c r="N883" t="s">
        <v>12141</v>
      </c>
      <c r="O883" t="s">
        <v>74</v>
      </c>
      <c r="P883" t="s">
        <v>74</v>
      </c>
      <c r="Q883" t="s">
        <v>74</v>
      </c>
      <c r="R883" t="s">
        <v>74</v>
      </c>
      <c r="S883" t="s">
        <v>74</v>
      </c>
      <c r="T883" t="s">
        <v>74</v>
      </c>
      <c r="U883" t="s">
        <v>16294</v>
      </c>
      <c r="V883" t="s">
        <v>74</v>
      </c>
      <c r="W883" t="s">
        <v>16258</v>
      </c>
      <c r="X883" t="s">
        <v>977</v>
      </c>
      <c r="Y883" t="s">
        <v>16259</v>
      </c>
      <c r="Z883" t="s">
        <v>74</v>
      </c>
      <c r="AA883" t="s">
        <v>74</v>
      </c>
      <c r="AB883" t="s">
        <v>74</v>
      </c>
      <c r="AC883" t="s">
        <v>74</v>
      </c>
      <c r="AD883" t="s">
        <v>74</v>
      </c>
      <c r="AE883" t="s">
        <v>74</v>
      </c>
      <c r="AF883" t="s">
        <v>74</v>
      </c>
      <c r="AG883">
        <v>28</v>
      </c>
      <c r="AH883">
        <v>0</v>
      </c>
      <c r="AI883">
        <v>0</v>
      </c>
      <c r="AJ883">
        <v>0</v>
      </c>
      <c r="AK883">
        <v>0</v>
      </c>
      <c r="AL883" t="s">
        <v>16260</v>
      </c>
      <c r="AM883" t="s">
        <v>16261</v>
      </c>
      <c r="AN883" t="s">
        <v>16262</v>
      </c>
      <c r="AO883" t="s">
        <v>74</v>
      </c>
      <c r="AP883" t="s">
        <v>74</v>
      </c>
      <c r="AQ883" t="s">
        <v>16263</v>
      </c>
      <c r="AR883" t="s">
        <v>16264</v>
      </c>
      <c r="AS883" t="s">
        <v>74</v>
      </c>
      <c r="AT883" t="s">
        <v>74</v>
      </c>
      <c r="AU883">
        <v>2012</v>
      </c>
      <c r="AV883" t="s">
        <v>74</v>
      </c>
      <c r="AW883" t="s">
        <v>74</v>
      </c>
      <c r="AX883" t="s">
        <v>74</v>
      </c>
      <c r="AY883" t="s">
        <v>74</v>
      </c>
      <c r="AZ883" t="s">
        <v>74</v>
      </c>
      <c r="BA883" t="s">
        <v>74</v>
      </c>
      <c r="BB883">
        <v>231</v>
      </c>
      <c r="BC883">
        <v>245</v>
      </c>
      <c r="BD883" t="s">
        <v>74</v>
      </c>
      <c r="BE883" t="s">
        <v>74</v>
      </c>
      <c r="BF883" t="s">
        <v>74</v>
      </c>
      <c r="BG883" t="s">
        <v>16265</v>
      </c>
      <c r="BH883" t="s">
        <v>74</v>
      </c>
      <c r="BI883">
        <v>15</v>
      </c>
      <c r="BJ883" t="s">
        <v>967</v>
      </c>
      <c r="BK883" t="s">
        <v>12155</v>
      </c>
      <c r="BL883" t="s">
        <v>967</v>
      </c>
      <c r="BM883" t="s">
        <v>16266</v>
      </c>
      <c r="BN883" t="s">
        <v>74</v>
      </c>
      <c r="BO883" t="s">
        <v>156</v>
      </c>
      <c r="BP883" t="s">
        <v>74</v>
      </c>
      <c r="BQ883" t="s">
        <v>74</v>
      </c>
      <c r="BR883" t="s">
        <v>101</v>
      </c>
      <c r="BS883" t="s">
        <v>16295</v>
      </c>
      <c r="BT883" t="str">
        <f>HYPERLINK("https%3A%2F%2Fwww.webofscience.com%2Fwos%2Fwoscc%2Ffull-record%2FWOS:000303215100011","View Full Record in Web of Science")</f>
        <v>View Full Record in Web of Science</v>
      </c>
    </row>
    <row r="884" spans="1:72" x14ac:dyDescent="0.15">
      <c r="A884" t="s">
        <v>12256</v>
      </c>
      <c r="B884" t="s">
        <v>16251</v>
      </c>
      <c r="C884" t="s">
        <v>16252</v>
      </c>
      <c r="D884" t="s">
        <v>74</v>
      </c>
      <c r="E884" t="s">
        <v>74</v>
      </c>
      <c r="F884" t="s">
        <v>16253</v>
      </c>
      <c r="G884" t="s">
        <v>16252</v>
      </c>
      <c r="H884" t="s">
        <v>74</v>
      </c>
      <c r="I884" t="s">
        <v>16296</v>
      </c>
      <c r="J884" t="s">
        <v>16255</v>
      </c>
      <c r="K884" t="s">
        <v>16256</v>
      </c>
      <c r="L884" t="s">
        <v>74</v>
      </c>
      <c r="M884" t="s">
        <v>78</v>
      </c>
      <c r="N884" t="s">
        <v>12141</v>
      </c>
      <c r="O884" t="s">
        <v>74</v>
      </c>
      <c r="P884" t="s">
        <v>74</v>
      </c>
      <c r="Q884" t="s">
        <v>74</v>
      </c>
      <c r="R884" t="s">
        <v>74</v>
      </c>
      <c r="S884" t="s">
        <v>74</v>
      </c>
      <c r="T884" t="s">
        <v>74</v>
      </c>
      <c r="U884" t="s">
        <v>16297</v>
      </c>
      <c r="V884" t="s">
        <v>74</v>
      </c>
      <c r="W884" t="s">
        <v>16258</v>
      </c>
      <c r="X884" t="s">
        <v>977</v>
      </c>
      <c r="Y884" t="s">
        <v>16259</v>
      </c>
      <c r="Z884" t="s">
        <v>74</v>
      </c>
      <c r="AA884" t="s">
        <v>74</v>
      </c>
      <c r="AB884" t="s">
        <v>74</v>
      </c>
      <c r="AC884" t="s">
        <v>74</v>
      </c>
      <c r="AD884" t="s">
        <v>74</v>
      </c>
      <c r="AE884" t="s">
        <v>74</v>
      </c>
      <c r="AF884" t="s">
        <v>74</v>
      </c>
      <c r="AG884">
        <v>15</v>
      </c>
      <c r="AH884">
        <v>0</v>
      </c>
      <c r="AI884">
        <v>0</v>
      </c>
      <c r="AJ884">
        <v>0</v>
      </c>
      <c r="AK884">
        <v>1</v>
      </c>
      <c r="AL884" t="s">
        <v>16260</v>
      </c>
      <c r="AM884" t="s">
        <v>16261</v>
      </c>
      <c r="AN884" t="s">
        <v>16262</v>
      </c>
      <c r="AO884" t="s">
        <v>74</v>
      </c>
      <c r="AP884" t="s">
        <v>74</v>
      </c>
      <c r="AQ884" t="s">
        <v>16263</v>
      </c>
      <c r="AR884" t="s">
        <v>16264</v>
      </c>
      <c r="AS884" t="s">
        <v>74</v>
      </c>
      <c r="AT884" t="s">
        <v>74</v>
      </c>
      <c r="AU884">
        <v>2012</v>
      </c>
      <c r="AV884" t="s">
        <v>74</v>
      </c>
      <c r="AW884" t="s">
        <v>74</v>
      </c>
      <c r="AX884" t="s">
        <v>74</v>
      </c>
      <c r="AY884" t="s">
        <v>74</v>
      </c>
      <c r="AZ884" t="s">
        <v>74</v>
      </c>
      <c r="BA884" t="s">
        <v>74</v>
      </c>
      <c r="BB884">
        <v>247</v>
      </c>
      <c r="BC884">
        <v>256</v>
      </c>
      <c r="BD884" t="s">
        <v>74</v>
      </c>
      <c r="BE884" t="s">
        <v>74</v>
      </c>
      <c r="BF884" t="s">
        <v>74</v>
      </c>
      <c r="BG884" t="s">
        <v>16265</v>
      </c>
      <c r="BH884" t="s">
        <v>74</v>
      </c>
      <c r="BI884">
        <v>10</v>
      </c>
      <c r="BJ884" t="s">
        <v>967</v>
      </c>
      <c r="BK884" t="s">
        <v>12155</v>
      </c>
      <c r="BL884" t="s">
        <v>967</v>
      </c>
      <c r="BM884" t="s">
        <v>16266</v>
      </c>
      <c r="BN884" t="s">
        <v>74</v>
      </c>
      <c r="BO884" t="s">
        <v>156</v>
      </c>
      <c r="BP884" t="s">
        <v>74</v>
      </c>
      <c r="BQ884" t="s">
        <v>74</v>
      </c>
      <c r="BR884" t="s">
        <v>101</v>
      </c>
      <c r="BS884" t="s">
        <v>16298</v>
      </c>
      <c r="BT884" t="str">
        <f>HYPERLINK("https%3A%2F%2Fwww.webofscience.com%2Fwos%2Fwoscc%2Ffull-record%2FWOS:000303215100012","View Full Record in Web of Science")</f>
        <v>View Full Record in Web of Science</v>
      </c>
    </row>
    <row r="885" spans="1:72" x14ac:dyDescent="0.15">
      <c r="A885" t="s">
        <v>12256</v>
      </c>
      <c r="B885" t="s">
        <v>16251</v>
      </c>
      <c r="C885" t="s">
        <v>16252</v>
      </c>
      <c r="D885" t="s">
        <v>74</v>
      </c>
      <c r="E885" t="s">
        <v>74</v>
      </c>
      <c r="F885" t="s">
        <v>16253</v>
      </c>
      <c r="G885" t="s">
        <v>16252</v>
      </c>
      <c r="H885" t="s">
        <v>74</v>
      </c>
      <c r="I885" t="s">
        <v>16299</v>
      </c>
      <c r="J885" t="s">
        <v>16255</v>
      </c>
      <c r="K885" t="s">
        <v>16256</v>
      </c>
      <c r="L885" t="s">
        <v>74</v>
      </c>
      <c r="M885" t="s">
        <v>78</v>
      </c>
      <c r="N885" t="s">
        <v>12141</v>
      </c>
      <c r="O885" t="s">
        <v>74</v>
      </c>
      <c r="P885" t="s">
        <v>74</v>
      </c>
      <c r="Q885" t="s">
        <v>74</v>
      </c>
      <c r="R885" t="s">
        <v>74</v>
      </c>
      <c r="S885" t="s">
        <v>74</v>
      </c>
      <c r="T885" t="s">
        <v>74</v>
      </c>
      <c r="U885" t="s">
        <v>16300</v>
      </c>
      <c r="V885" t="s">
        <v>74</v>
      </c>
      <c r="W885" t="s">
        <v>16258</v>
      </c>
      <c r="X885" t="s">
        <v>977</v>
      </c>
      <c r="Y885" t="s">
        <v>16259</v>
      </c>
      <c r="Z885" t="s">
        <v>74</v>
      </c>
      <c r="AA885" t="s">
        <v>74</v>
      </c>
      <c r="AB885" t="s">
        <v>74</v>
      </c>
      <c r="AC885" t="s">
        <v>74</v>
      </c>
      <c r="AD885" t="s">
        <v>74</v>
      </c>
      <c r="AE885" t="s">
        <v>74</v>
      </c>
      <c r="AF885" t="s">
        <v>74</v>
      </c>
      <c r="AG885">
        <v>31</v>
      </c>
      <c r="AH885">
        <v>0</v>
      </c>
      <c r="AI885">
        <v>0</v>
      </c>
      <c r="AJ885">
        <v>0</v>
      </c>
      <c r="AK885">
        <v>0</v>
      </c>
      <c r="AL885" t="s">
        <v>16260</v>
      </c>
      <c r="AM885" t="s">
        <v>16261</v>
      </c>
      <c r="AN885" t="s">
        <v>16262</v>
      </c>
      <c r="AO885" t="s">
        <v>74</v>
      </c>
      <c r="AP885" t="s">
        <v>74</v>
      </c>
      <c r="AQ885" t="s">
        <v>16273</v>
      </c>
      <c r="AR885" t="s">
        <v>16264</v>
      </c>
      <c r="AS885" t="s">
        <v>74</v>
      </c>
      <c r="AT885" t="s">
        <v>74</v>
      </c>
      <c r="AU885">
        <v>2012</v>
      </c>
      <c r="AV885" t="s">
        <v>74</v>
      </c>
      <c r="AW885" t="s">
        <v>74</v>
      </c>
      <c r="AX885" t="s">
        <v>74</v>
      </c>
      <c r="AY885" t="s">
        <v>74</v>
      </c>
      <c r="AZ885" t="s">
        <v>74</v>
      </c>
      <c r="BA885" t="s">
        <v>74</v>
      </c>
      <c r="BB885">
        <v>257</v>
      </c>
      <c r="BC885">
        <v>278</v>
      </c>
      <c r="BD885" t="s">
        <v>74</v>
      </c>
      <c r="BE885" t="s">
        <v>74</v>
      </c>
      <c r="BF885" t="s">
        <v>74</v>
      </c>
      <c r="BG885" t="s">
        <v>16265</v>
      </c>
      <c r="BH885" t="s">
        <v>74</v>
      </c>
      <c r="BI885">
        <v>22</v>
      </c>
      <c r="BJ885" t="s">
        <v>967</v>
      </c>
      <c r="BK885" t="s">
        <v>12155</v>
      </c>
      <c r="BL885" t="s">
        <v>967</v>
      </c>
      <c r="BM885" t="s">
        <v>16266</v>
      </c>
      <c r="BN885" t="s">
        <v>74</v>
      </c>
      <c r="BO885" t="s">
        <v>156</v>
      </c>
      <c r="BP885" t="s">
        <v>74</v>
      </c>
      <c r="BQ885" t="s">
        <v>74</v>
      </c>
      <c r="BR885" t="s">
        <v>101</v>
      </c>
      <c r="BS885" t="s">
        <v>16301</v>
      </c>
      <c r="BT885" t="str">
        <f>HYPERLINK("https%3A%2F%2Fwww.webofscience.com%2Fwos%2Fwoscc%2Ffull-record%2FWOS:000303215100013","View Full Record in Web of Science")</f>
        <v>View Full Record in Web of Science</v>
      </c>
    </row>
    <row r="886" spans="1:72" x14ac:dyDescent="0.15">
      <c r="A886" t="s">
        <v>72</v>
      </c>
      <c r="B886" t="s">
        <v>16302</v>
      </c>
      <c r="C886" t="s">
        <v>74</v>
      </c>
      <c r="D886" t="s">
        <v>74</v>
      </c>
      <c r="E886" t="s">
        <v>74</v>
      </c>
      <c r="F886" t="s">
        <v>16303</v>
      </c>
      <c r="G886" t="s">
        <v>74</v>
      </c>
      <c r="H886" t="s">
        <v>74</v>
      </c>
      <c r="I886" t="s">
        <v>16304</v>
      </c>
      <c r="J886" t="s">
        <v>14736</v>
      </c>
      <c r="K886" t="s">
        <v>74</v>
      </c>
      <c r="L886" t="s">
        <v>74</v>
      </c>
      <c r="M886" t="s">
        <v>78</v>
      </c>
      <c r="N886" t="s">
        <v>79</v>
      </c>
      <c r="O886" t="s">
        <v>74</v>
      </c>
      <c r="P886" t="s">
        <v>74</v>
      </c>
      <c r="Q886" t="s">
        <v>74</v>
      </c>
      <c r="R886" t="s">
        <v>74</v>
      </c>
      <c r="S886" t="s">
        <v>74</v>
      </c>
      <c r="T886" t="s">
        <v>16305</v>
      </c>
      <c r="U886" t="s">
        <v>16306</v>
      </c>
      <c r="V886" t="s">
        <v>16307</v>
      </c>
      <c r="W886" t="s">
        <v>16308</v>
      </c>
      <c r="X886" t="s">
        <v>3775</v>
      </c>
      <c r="Y886" t="s">
        <v>16309</v>
      </c>
      <c r="Z886" t="s">
        <v>4416</v>
      </c>
      <c r="AA886" t="s">
        <v>4417</v>
      </c>
      <c r="AB886" t="s">
        <v>4418</v>
      </c>
      <c r="AC886" t="s">
        <v>16310</v>
      </c>
      <c r="AD886" t="s">
        <v>16311</v>
      </c>
      <c r="AE886" t="s">
        <v>16312</v>
      </c>
      <c r="AF886" t="s">
        <v>74</v>
      </c>
      <c r="AG886">
        <v>55</v>
      </c>
      <c r="AH886">
        <v>11</v>
      </c>
      <c r="AI886">
        <v>13</v>
      </c>
      <c r="AJ886">
        <v>2</v>
      </c>
      <c r="AK886">
        <v>31</v>
      </c>
      <c r="AL886" t="s">
        <v>13640</v>
      </c>
      <c r="AM886" t="s">
        <v>13641</v>
      </c>
      <c r="AN886" t="s">
        <v>13642</v>
      </c>
      <c r="AO886" t="s">
        <v>14747</v>
      </c>
      <c r="AP886" t="s">
        <v>74</v>
      </c>
      <c r="AQ886" t="s">
        <v>74</v>
      </c>
      <c r="AR886" t="s">
        <v>14748</v>
      </c>
      <c r="AS886" t="s">
        <v>14749</v>
      </c>
      <c r="AT886" t="s">
        <v>74</v>
      </c>
      <c r="AU886">
        <v>2012</v>
      </c>
      <c r="AV886">
        <v>66</v>
      </c>
      <c r="AW886">
        <v>2</v>
      </c>
      <c r="AX886" t="s">
        <v>74</v>
      </c>
      <c r="AY886" t="s">
        <v>74</v>
      </c>
      <c r="AZ886" t="s">
        <v>74</v>
      </c>
      <c r="BA886" t="s">
        <v>74</v>
      </c>
      <c r="BB886">
        <v>107</v>
      </c>
      <c r="BC886" t="s">
        <v>1734</v>
      </c>
      <c r="BD886" t="s">
        <v>74</v>
      </c>
      <c r="BE886" t="s">
        <v>16313</v>
      </c>
      <c r="BF886" t="str">
        <f>HYPERLINK("http://dx.doi.org/10.3354/ame01569","http://dx.doi.org/10.3354/ame01569")</f>
        <v>http://dx.doi.org/10.3354/ame01569</v>
      </c>
      <c r="BG886" t="s">
        <v>74</v>
      </c>
      <c r="BH886" t="s">
        <v>74</v>
      </c>
      <c r="BI886">
        <v>20</v>
      </c>
      <c r="BJ886" t="s">
        <v>662</v>
      </c>
      <c r="BK886" t="s">
        <v>99</v>
      </c>
      <c r="BL886" t="s">
        <v>663</v>
      </c>
      <c r="BM886" t="s">
        <v>16314</v>
      </c>
      <c r="BN886" t="s">
        <v>74</v>
      </c>
      <c r="BO886" t="s">
        <v>217</v>
      </c>
      <c r="BP886" t="s">
        <v>74</v>
      </c>
      <c r="BQ886" t="s">
        <v>74</v>
      </c>
      <c r="BR886" t="s">
        <v>101</v>
      </c>
      <c r="BS886" t="s">
        <v>16315</v>
      </c>
      <c r="BT886" t="str">
        <f>HYPERLINK("https%3A%2F%2Fwww.webofscience.com%2Fwos%2Fwoscc%2Ffull-record%2FWOS:000304665300001","View Full Record in Web of Science")</f>
        <v>View Full Record in Web of Science</v>
      </c>
    </row>
    <row r="887" spans="1:72" x14ac:dyDescent="0.15">
      <c r="A887" t="s">
        <v>72</v>
      </c>
      <c r="B887" t="s">
        <v>16316</v>
      </c>
      <c r="C887" t="s">
        <v>74</v>
      </c>
      <c r="D887" t="s">
        <v>74</v>
      </c>
      <c r="E887" t="s">
        <v>74</v>
      </c>
      <c r="F887" t="s">
        <v>16317</v>
      </c>
      <c r="G887" t="s">
        <v>74</v>
      </c>
      <c r="H887" t="s">
        <v>74</v>
      </c>
      <c r="I887" t="s">
        <v>16318</v>
      </c>
      <c r="J887" t="s">
        <v>16319</v>
      </c>
      <c r="K887" t="s">
        <v>74</v>
      </c>
      <c r="L887" t="s">
        <v>74</v>
      </c>
      <c r="M887" t="s">
        <v>78</v>
      </c>
      <c r="N887" t="s">
        <v>79</v>
      </c>
      <c r="O887" t="s">
        <v>74</v>
      </c>
      <c r="P887" t="s">
        <v>74</v>
      </c>
      <c r="Q887" t="s">
        <v>74</v>
      </c>
      <c r="R887" t="s">
        <v>74</v>
      </c>
      <c r="S887" t="s">
        <v>74</v>
      </c>
      <c r="T887" t="s">
        <v>16320</v>
      </c>
      <c r="U887" t="s">
        <v>16321</v>
      </c>
      <c r="V887" t="s">
        <v>16322</v>
      </c>
      <c r="W887" t="s">
        <v>16323</v>
      </c>
      <c r="X887" t="s">
        <v>14455</v>
      </c>
      <c r="Y887" t="s">
        <v>16324</v>
      </c>
      <c r="Z887" t="s">
        <v>16325</v>
      </c>
      <c r="AA887" t="s">
        <v>74</v>
      </c>
      <c r="AB887" t="s">
        <v>16326</v>
      </c>
      <c r="AC887" t="s">
        <v>16327</v>
      </c>
      <c r="AD887" t="s">
        <v>16328</v>
      </c>
      <c r="AE887" t="s">
        <v>16329</v>
      </c>
      <c r="AF887" t="s">
        <v>74</v>
      </c>
      <c r="AG887">
        <v>32</v>
      </c>
      <c r="AH887">
        <v>28</v>
      </c>
      <c r="AI887">
        <v>33</v>
      </c>
      <c r="AJ887">
        <v>0</v>
      </c>
      <c r="AK887">
        <v>19</v>
      </c>
      <c r="AL887" t="s">
        <v>16330</v>
      </c>
      <c r="AM887" t="s">
        <v>16331</v>
      </c>
      <c r="AN887" t="s">
        <v>16332</v>
      </c>
      <c r="AO887" t="s">
        <v>16333</v>
      </c>
      <c r="AP887" t="s">
        <v>16334</v>
      </c>
      <c r="AQ887" t="s">
        <v>74</v>
      </c>
      <c r="AR887" t="s">
        <v>16335</v>
      </c>
      <c r="AS887" t="s">
        <v>16336</v>
      </c>
      <c r="AT887" t="s">
        <v>74</v>
      </c>
      <c r="AU887">
        <v>2012</v>
      </c>
      <c r="AV887">
        <v>183</v>
      </c>
      <c r="AW887">
        <v>2</v>
      </c>
      <c r="AX887" t="s">
        <v>74</v>
      </c>
      <c r="AY887" t="s">
        <v>74</v>
      </c>
      <c r="AZ887" t="s">
        <v>74</v>
      </c>
      <c r="BA887" t="s">
        <v>74</v>
      </c>
      <c r="BB887">
        <v>93</v>
      </c>
      <c r="BC887">
        <v>102</v>
      </c>
      <c r="BD887" t="s">
        <v>74</v>
      </c>
      <c r="BE887" t="s">
        <v>16337</v>
      </c>
      <c r="BF887" t="str">
        <f>HYPERLINK("http://dx.doi.org/10.2113/gssgfbull.183.2.93","http://dx.doi.org/10.2113/gssgfbull.183.2.93")</f>
        <v>http://dx.doi.org/10.2113/gssgfbull.183.2.93</v>
      </c>
      <c r="BG887" t="s">
        <v>74</v>
      </c>
      <c r="BH887" t="s">
        <v>74</v>
      </c>
      <c r="BI887">
        <v>10</v>
      </c>
      <c r="BJ887" t="s">
        <v>194</v>
      </c>
      <c r="BK887" t="s">
        <v>99</v>
      </c>
      <c r="BL887" t="s">
        <v>195</v>
      </c>
      <c r="BM887" t="s">
        <v>16338</v>
      </c>
      <c r="BN887" t="s">
        <v>74</v>
      </c>
      <c r="BO887" t="s">
        <v>74</v>
      </c>
      <c r="BP887" t="s">
        <v>74</v>
      </c>
      <c r="BQ887" t="s">
        <v>74</v>
      </c>
      <c r="BR887" t="s">
        <v>101</v>
      </c>
      <c r="BS887" t="s">
        <v>16339</v>
      </c>
      <c r="BT887" t="str">
        <f>HYPERLINK("https%3A%2F%2Fwww.webofscience.com%2Fwos%2Fwoscc%2Ffull-record%2FWOS:000304508900003","View Full Record in Web of Science")</f>
        <v>View Full Record in Web of Science</v>
      </c>
    </row>
    <row r="888" spans="1:72" x14ac:dyDescent="0.15">
      <c r="A888" t="s">
        <v>72</v>
      </c>
      <c r="B888" t="s">
        <v>16340</v>
      </c>
      <c r="C888" t="s">
        <v>74</v>
      </c>
      <c r="D888" t="s">
        <v>74</v>
      </c>
      <c r="E888" t="s">
        <v>74</v>
      </c>
      <c r="F888" t="s">
        <v>16341</v>
      </c>
      <c r="G888" t="s">
        <v>74</v>
      </c>
      <c r="H888" t="s">
        <v>74</v>
      </c>
      <c r="I888" t="s">
        <v>16342</v>
      </c>
      <c r="J888" t="s">
        <v>13628</v>
      </c>
      <c r="K888" t="s">
        <v>74</v>
      </c>
      <c r="L888" t="s">
        <v>74</v>
      </c>
      <c r="M888" t="s">
        <v>78</v>
      </c>
      <c r="N888" t="s">
        <v>79</v>
      </c>
      <c r="O888" t="s">
        <v>74</v>
      </c>
      <c r="P888" t="s">
        <v>74</v>
      </c>
      <c r="Q888" t="s">
        <v>74</v>
      </c>
      <c r="R888" t="s">
        <v>74</v>
      </c>
      <c r="S888" t="s">
        <v>74</v>
      </c>
      <c r="T888" t="s">
        <v>16343</v>
      </c>
      <c r="U888" t="s">
        <v>16344</v>
      </c>
      <c r="V888" t="s">
        <v>16345</v>
      </c>
      <c r="W888" t="s">
        <v>16346</v>
      </c>
      <c r="X888" t="s">
        <v>16347</v>
      </c>
      <c r="Y888" t="s">
        <v>16348</v>
      </c>
      <c r="Z888" t="s">
        <v>16349</v>
      </c>
      <c r="AA888" t="s">
        <v>74</v>
      </c>
      <c r="AB888" t="s">
        <v>74</v>
      </c>
      <c r="AC888" t="s">
        <v>16350</v>
      </c>
      <c r="AD888" t="s">
        <v>16351</v>
      </c>
      <c r="AE888" t="s">
        <v>16352</v>
      </c>
      <c r="AF888" t="s">
        <v>74</v>
      </c>
      <c r="AG888">
        <v>66</v>
      </c>
      <c r="AH888">
        <v>22</v>
      </c>
      <c r="AI888">
        <v>22</v>
      </c>
      <c r="AJ888">
        <v>0</v>
      </c>
      <c r="AK888">
        <v>7</v>
      </c>
      <c r="AL888" t="s">
        <v>13640</v>
      </c>
      <c r="AM888" t="s">
        <v>13641</v>
      </c>
      <c r="AN888" t="s">
        <v>13642</v>
      </c>
      <c r="AO888" t="s">
        <v>13643</v>
      </c>
      <c r="AP888" t="s">
        <v>13644</v>
      </c>
      <c r="AQ888" t="s">
        <v>74</v>
      </c>
      <c r="AR888" t="s">
        <v>13645</v>
      </c>
      <c r="AS888" t="s">
        <v>13646</v>
      </c>
      <c r="AT888" t="s">
        <v>74</v>
      </c>
      <c r="AU888">
        <v>2012</v>
      </c>
      <c r="AV888">
        <v>455</v>
      </c>
      <c r="AW888" t="s">
        <v>74</v>
      </c>
      <c r="AX888" t="s">
        <v>74</v>
      </c>
      <c r="AY888" t="s">
        <v>74</v>
      </c>
      <c r="AZ888" t="s">
        <v>74</v>
      </c>
      <c r="BA888" t="s">
        <v>74</v>
      </c>
      <c r="BB888">
        <v>173</v>
      </c>
      <c r="BC888">
        <v>194</v>
      </c>
      <c r="BD888" t="s">
        <v>74</v>
      </c>
      <c r="BE888" t="s">
        <v>16353</v>
      </c>
      <c r="BF888" t="str">
        <f>HYPERLINK("http://dx.doi.org/10.3354/meps09631","http://dx.doi.org/10.3354/meps09631")</f>
        <v>http://dx.doi.org/10.3354/meps09631</v>
      </c>
      <c r="BG888" t="s">
        <v>74</v>
      </c>
      <c r="BH888" t="s">
        <v>74</v>
      </c>
      <c r="BI888">
        <v>22</v>
      </c>
      <c r="BJ888" t="s">
        <v>13648</v>
      </c>
      <c r="BK888" t="s">
        <v>99</v>
      </c>
      <c r="BL888" t="s">
        <v>13649</v>
      </c>
      <c r="BM888" t="s">
        <v>16354</v>
      </c>
      <c r="BN888" t="s">
        <v>74</v>
      </c>
      <c r="BO888" t="s">
        <v>217</v>
      </c>
      <c r="BP888" t="s">
        <v>74</v>
      </c>
      <c r="BQ888" t="s">
        <v>74</v>
      </c>
      <c r="BR888" t="s">
        <v>101</v>
      </c>
      <c r="BS888" t="s">
        <v>16355</v>
      </c>
      <c r="BT888" t="str">
        <f>HYPERLINK("https%3A%2F%2Fwww.webofscience.com%2Fwos%2Fwoscc%2Ffull-record%2FWOS:000304607100012","View Full Record in Web of Science")</f>
        <v>View Full Record in Web of Science</v>
      </c>
    </row>
    <row r="889" spans="1:72" x14ac:dyDescent="0.15">
      <c r="A889" t="s">
        <v>72</v>
      </c>
      <c r="B889" t="s">
        <v>16356</v>
      </c>
      <c r="C889" t="s">
        <v>74</v>
      </c>
      <c r="D889" t="s">
        <v>74</v>
      </c>
      <c r="E889" t="s">
        <v>74</v>
      </c>
      <c r="F889" t="s">
        <v>16357</v>
      </c>
      <c r="G889" t="s">
        <v>74</v>
      </c>
      <c r="H889" t="s">
        <v>74</v>
      </c>
      <c r="I889" t="s">
        <v>16358</v>
      </c>
      <c r="J889" t="s">
        <v>13628</v>
      </c>
      <c r="K889" t="s">
        <v>74</v>
      </c>
      <c r="L889" t="s">
        <v>74</v>
      </c>
      <c r="M889" t="s">
        <v>78</v>
      </c>
      <c r="N889" t="s">
        <v>79</v>
      </c>
      <c r="O889" t="s">
        <v>74</v>
      </c>
      <c r="P889" t="s">
        <v>74</v>
      </c>
      <c r="Q889" t="s">
        <v>74</v>
      </c>
      <c r="R889" t="s">
        <v>74</v>
      </c>
      <c r="S889" t="s">
        <v>74</v>
      </c>
      <c r="T889" t="s">
        <v>16359</v>
      </c>
      <c r="U889" t="s">
        <v>16360</v>
      </c>
      <c r="V889" t="s">
        <v>16361</v>
      </c>
      <c r="W889" t="s">
        <v>16362</v>
      </c>
      <c r="X889" t="s">
        <v>16363</v>
      </c>
      <c r="Y889" t="s">
        <v>16364</v>
      </c>
      <c r="Z889" t="s">
        <v>16365</v>
      </c>
      <c r="AA889" t="s">
        <v>74</v>
      </c>
      <c r="AB889" t="s">
        <v>16366</v>
      </c>
      <c r="AC889" t="s">
        <v>16367</v>
      </c>
      <c r="AD889" t="s">
        <v>16368</v>
      </c>
      <c r="AE889" t="s">
        <v>16369</v>
      </c>
      <c r="AF889" t="s">
        <v>74</v>
      </c>
      <c r="AG889">
        <v>48</v>
      </c>
      <c r="AH889">
        <v>27</v>
      </c>
      <c r="AI889">
        <v>34</v>
      </c>
      <c r="AJ889">
        <v>2</v>
      </c>
      <c r="AK889">
        <v>23</v>
      </c>
      <c r="AL889" t="s">
        <v>13640</v>
      </c>
      <c r="AM889" t="s">
        <v>13641</v>
      </c>
      <c r="AN889" t="s">
        <v>13642</v>
      </c>
      <c r="AO889" t="s">
        <v>13643</v>
      </c>
      <c r="AP889" t="s">
        <v>13644</v>
      </c>
      <c r="AQ889" t="s">
        <v>74</v>
      </c>
      <c r="AR889" t="s">
        <v>13645</v>
      </c>
      <c r="AS889" t="s">
        <v>13646</v>
      </c>
      <c r="AT889" t="s">
        <v>74</v>
      </c>
      <c r="AU889">
        <v>2012</v>
      </c>
      <c r="AV889">
        <v>455</v>
      </c>
      <c r="AW889" t="s">
        <v>74</v>
      </c>
      <c r="AX889" t="s">
        <v>74</v>
      </c>
      <c r="AY889" t="s">
        <v>74</v>
      </c>
      <c r="AZ889" t="s">
        <v>74</v>
      </c>
      <c r="BA889" t="s">
        <v>74</v>
      </c>
      <c r="BB889">
        <v>211</v>
      </c>
      <c r="BC889">
        <v>228</v>
      </c>
      <c r="BD889" t="s">
        <v>74</v>
      </c>
      <c r="BE889" t="s">
        <v>16370</v>
      </c>
      <c r="BF889" t="str">
        <f>HYPERLINK("http://dx.doi.org/10.3354/meps09664","http://dx.doi.org/10.3354/meps09664")</f>
        <v>http://dx.doi.org/10.3354/meps09664</v>
      </c>
      <c r="BG889" t="s">
        <v>74</v>
      </c>
      <c r="BH889" t="s">
        <v>74</v>
      </c>
      <c r="BI889">
        <v>18</v>
      </c>
      <c r="BJ889" t="s">
        <v>13648</v>
      </c>
      <c r="BK889" t="s">
        <v>99</v>
      </c>
      <c r="BL889" t="s">
        <v>13649</v>
      </c>
      <c r="BM889" t="s">
        <v>16354</v>
      </c>
      <c r="BN889" t="s">
        <v>74</v>
      </c>
      <c r="BO889" t="s">
        <v>217</v>
      </c>
      <c r="BP889" t="s">
        <v>74</v>
      </c>
      <c r="BQ889" t="s">
        <v>74</v>
      </c>
      <c r="BR889" t="s">
        <v>101</v>
      </c>
      <c r="BS889" t="s">
        <v>16371</v>
      </c>
      <c r="BT889" t="str">
        <f>HYPERLINK("https%3A%2F%2Fwww.webofscience.com%2Fwos%2Fwoscc%2Ffull-record%2FWOS:000304607100014","View Full Record in Web of Science")</f>
        <v>View Full Record in Web of Science</v>
      </c>
    </row>
    <row r="890" spans="1:72" x14ac:dyDescent="0.15">
      <c r="A890" t="s">
        <v>72</v>
      </c>
      <c r="B890" t="s">
        <v>16372</v>
      </c>
      <c r="C890" t="s">
        <v>74</v>
      </c>
      <c r="D890" t="s">
        <v>74</v>
      </c>
      <c r="E890" t="s">
        <v>74</v>
      </c>
      <c r="F890" t="s">
        <v>16373</v>
      </c>
      <c r="G890" t="s">
        <v>74</v>
      </c>
      <c r="H890" t="s">
        <v>74</v>
      </c>
      <c r="I890" t="s">
        <v>16374</v>
      </c>
      <c r="J890" t="s">
        <v>13628</v>
      </c>
      <c r="K890" t="s">
        <v>74</v>
      </c>
      <c r="L890" t="s">
        <v>74</v>
      </c>
      <c r="M890" t="s">
        <v>78</v>
      </c>
      <c r="N890" t="s">
        <v>79</v>
      </c>
      <c r="O890" t="s">
        <v>74</v>
      </c>
      <c r="P890" t="s">
        <v>74</v>
      </c>
      <c r="Q890" t="s">
        <v>74</v>
      </c>
      <c r="R890" t="s">
        <v>74</v>
      </c>
      <c r="S890" t="s">
        <v>74</v>
      </c>
      <c r="T890" t="s">
        <v>16375</v>
      </c>
      <c r="U890" t="s">
        <v>16376</v>
      </c>
      <c r="V890" t="s">
        <v>16377</v>
      </c>
      <c r="W890" t="s">
        <v>16378</v>
      </c>
      <c r="X890" t="s">
        <v>16379</v>
      </c>
      <c r="Y890" t="s">
        <v>16380</v>
      </c>
      <c r="Z890" t="s">
        <v>16381</v>
      </c>
      <c r="AA890" t="s">
        <v>16382</v>
      </c>
      <c r="AB890" t="s">
        <v>16383</v>
      </c>
      <c r="AC890" t="s">
        <v>16384</v>
      </c>
      <c r="AD890" t="s">
        <v>16385</v>
      </c>
      <c r="AE890" t="s">
        <v>16386</v>
      </c>
      <c r="AF890" t="s">
        <v>74</v>
      </c>
      <c r="AG890">
        <v>91</v>
      </c>
      <c r="AH890">
        <v>31</v>
      </c>
      <c r="AI890">
        <v>45</v>
      </c>
      <c r="AJ890">
        <v>3</v>
      </c>
      <c r="AK890">
        <v>62</v>
      </c>
      <c r="AL890" t="s">
        <v>13640</v>
      </c>
      <c r="AM890" t="s">
        <v>13641</v>
      </c>
      <c r="AN890" t="s">
        <v>13642</v>
      </c>
      <c r="AO890" t="s">
        <v>13643</v>
      </c>
      <c r="AP890" t="s">
        <v>13644</v>
      </c>
      <c r="AQ890" t="s">
        <v>74</v>
      </c>
      <c r="AR890" t="s">
        <v>13645</v>
      </c>
      <c r="AS890" t="s">
        <v>13646</v>
      </c>
      <c r="AT890" t="s">
        <v>74</v>
      </c>
      <c r="AU890">
        <v>2012</v>
      </c>
      <c r="AV890">
        <v>455</v>
      </c>
      <c r="AW890" t="s">
        <v>74</v>
      </c>
      <c r="AX890" t="s">
        <v>74</v>
      </c>
      <c r="AY890" t="s">
        <v>74</v>
      </c>
      <c r="AZ890" t="s">
        <v>74</v>
      </c>
      <c r="BA890" t="s">
        <v>74</v>
      </c>
      <c r="BB890">
        <v>287</v>
      </c>
      <c r="BC890">
        <v>301</v>
      </c>
      <c r="BD890" t="s">
        <v>74</v>
      </c>
      <c r="BE890" t="s">
        <v>16387</v>
      </c>
      <c r="BF890" t="str">
        <f>HYPERLINK("http://dx.doi.org/10.3354/meps09601","http://dx.doi.org/10.3354/meps09601")</f>
        <v>http://dx.doi.org/10.3354/meps09601</v>
      </c>
      <c r="BG890" t="s">
        <v>74</v>
      </c>
      <c r="BH890" t="s">
        <v>74</v>
      </c>
      <c r="BI890">
        <v>15</v>
      </c>
      <c r="BJ890" t="s">
        <v>13648</v>
      </c>
      <c r="BK890" t="s">
        <v>99</v>
      </c>
      <c r="BL890" t="s">
        <v>13649</v>
      </c>
      <c r="BM890" t="s">
        <v>16354</v>
      </c>
      <c r="BN890" t="s">
        <v>74</v>
      </c>
      <c r="BO890" t="s">
        <v>777</v>
      </c>
      <c r="BP890" t="s">
        <v>74</v>
      </c>
      <c r="BQ890" t="s">
        <v>74</v>
      </c>
      <c r="BR890" t="s">
        <v>101</v>
      </c>
      <c r="BS890" t="s">
        <v>16388</v>
      </c>
      <c r="BT890" t="str">
        <f>HYPERLINK("https%3A%2F%2Fwww.webofscience.com%2Fwos%2Fwoscc%2Ffull-record%2FWOS:000304607100019","View Full Record in Web of Science")</f>
        <v>View Full Record in Web of Science</v>
      </c>
    </row>
    <row r="891" spans="1:72" x14ac:dyDescent="0.15">
      <c r="A891" t="s">
        <v>72</v>
      </c>
      <c r="B891" t="s">
        <v>16389</v>
      </c>
      <c r="C891" t="s">
        <v>74</v>
      </c>
      <c r="D891" t="s">
        <v>74</v>
      </c>
      <c r="E891" t="s">
        <v>74</v>
      </c>
      <c r="F891" t="s">
        <v>16390</v>
      </c>
      <c r="G891" t="s">
        <v>74</v>
      </c>
      <c r="H891" t="s">
        <v>74</v>
      </c>
      <c r="I891" t="s">
        <v>16391</v>
      </c>
      <c r="J891" t="s">
        <v>13628</v>
      </c>
      <c r="K891" t="s">
        <v>74</v>
      </c>
      <c r="L891" t="s">
        <v>74</v>
      </c>
      <c r="M891" t="s">
        <v>78</v>
      </c>
      <c r="N891" t="s">
        <v>79</v>
      </c>
      <c r="O891" t="s">
        <v>74</v>
      </c>
      <c r="P891" t="s">
        <v>74</v>
      </c>
      <c r="Q891" t="s">
        <v>74</v>
      </c>
      <c r="R891" t="s">
        <v>74</v>
      </c>
      <c r="S891" t="s">
        <v>74</v>
      </c>
      <c r="T891" t="s">
        <v>16392</v>
      </c>
      <c r="U891" t="s">
        <v>16393</v>
      </c>
      <c r="V891" t="s">
        <v>16394</v>
      </c>
      <c r="W891" t="s">
        <v>16395</v>
      </c>
      <c r="X891" t="s">
        <v>16396</v>
      </c>
      <c r="Y891" t="s">
        <v>16397</v>
      </c>
      <c r="Z891" t="s">
        <v>16398</v>
      </c>
      <c r="AA891" t="s">
        <v>74</v>
      </c>
      <c r="AB891" t="s">
        <v>74</v>
      </c>
      <c r="AC891" t="s">
        <v>16399</v>
      </c>
      <c r="AD891" t="s">
        <v>16400</v>
      </c>
      <c r="AE891" t="s">
        <v>16401</v>
      </c>
      <c r="AF891" t="s">
        <v>74</v>
      </c>
      <c r="AG891">
        <v>78</v>
      </c>
      <c r="AH891">
        <v>43</v>
      </c>
      <c r="AI891">
        <v>49</v>
      </c>
      <c r="AJ891">
        <v>6</v>
      </c>
      <c r="AK891">
        <v>64</v>
      </c>
      <c r="AL891" t="s">
        <v>13640</v>
      </c>
      <c r="AM891" t="s">
        <v>13641</v>
      </c>
      <c r="AN891" t="s">
        <v>13642</v>
      </c>
      <c r="AO891" t="s">
        <v>13643</v>
      </c>
      <c r="AP891" t="s">
        <v>13644</v>
      </c>
      <c r="AQ891" t="s">
        <v>74</v>
      </c>
      <c r="AR891" t="s">
        <v>13645</v>
      </c>
      <c r="AS891" t="s">
        <v>13646</v>
      </c>
      <c r="AT891" t="s">
        <v>74</v>
      </c>
      <c r="AU891">
        <v>2012</v>
      </c>
      <c r="AV891">
        <v>454</v>
      </c>
      <c r="AW891" t="s">
        <v>74</v>
      </c>
      <c r="AX891" t="s">
        <v>74</v>
      </c>
      <c r="AY891" t="s">
        <v>74</v>
      </c>
      <c r="AZ891" t="s">
        <v>74</v>
      </c>
      <c r="BA891" t="s">
        <v>74</v>
      </c>
      <c r="BB891">
        <v>135</v>
      </c>
      <c r="BC891" t="s">
        <v>1734</v>
      </c>
      <c r="BD891" t="s">
        <v>74</v>
      </c>
      <c r="BE891" t="s">
        <v>16402</v>
      </c>
      <c r="BF891" t="str">
        <f>HYPERLINK("http://dx.doi.org/10.3354/meps09252","http://dx.doi.org/10.3354/meps09252")</f>
        <v>http://dx.doi.org/10.3354/meps09252</v>
      </c>
      <c r="BG891" t="s">
        <v>74</v>
      </c>
      <c r="BH891" t="s">
        <v>74</v>
      </c>
      <c r="BI891">
        <v>14</v>
      </c>
      <c r="BJ891" t="s">
        <v>13648</v>
      </c>
      <c r="BK891" t="s">
        <v>99</v>
      </c>
      <c r="BL891" t="s">
        <v>13649</v>
      </c>
      <c r="BM891" t="s">
        <v>16403</v>
      </c>
      <c r="BN891" t="s">
        <v>74</v>
      </c>
      <c r="BO891" t="s">
        <v>217</v>
      </c>
      <c r="BP891" t="s">
        <v>74</v>
      </c>
      <c r="BQ891" t="s">
        <v>74</v>
      </c>
      <c r="BR891" t="s">
        <v>101</v>
      </c>
      <c r="BS891" t="s">
        <v>16404</v>
      </c>
      <c r="BT891" t="str">
        <f>HYPERLINK("https%3A%2F%2Fwww.webofscience.com%2Fwos%2Fwoscc%2Ffull-record%2FWOS:000304605500011","View Full Record in Web of Science")</f>
        <v>View Full Record in Web of Science</v>
      </c>
    </row>
    <row r="892" spans="1:72" x14ac:dyDescent="0.15">
      <c r="A892" t="s">
        <v>72</v>
      </c>
      <c r="B892" t="s">
        <v>16405</v>
      </c>
      <c r="C892" t="s">
        <v>74</v>
      </c>
      <c r="D892" t="s">
        <v>74</v>
      </c>
      <c r="E892" t="s">
        <v>74</v>
      </c>
      <c r="F892" t="s">
        <v>16406</v>
      </c>
      <c r="G892" t="s">
        <v>74</v>
      </c>
      <c r="H892" t="s">
        <v>74</v>
      </c>
      <c r="I892" t="s">
        <v>16407</v>
      </c>
      <c r="J892" t="s">
        <v>13370</v>
      </c>
      <c r="K892" t="s">
        <v>74</v>
      </c>
      <c r="L892" t="s">
        <v>74</v>
      </c>
      <c r="M892" t="s">
        <v>78</v>
      </c>
      <c r="N892" t="s">
        <v>79</v>
      </c>
      <c r="O892" t="s">
        <v>74</v>
      </c>
      <c r="P892" t="s">
        <v>74</v>
      </c>
      <c r="Q892" t="s">
        <v>74</v>
      </c>
      <c r="R892" t="s">
        <v>74</v>
      </c>
      <c r="S892" t="s">
        <v>74</v>
      </c>
      <c r="T892" t="s">
        <v>74</v>
      </c>
      <c r="U892" t="s">
        <v>16408</v>
      </c>
      <c r="V892" t="s">
        <v>16409</v>
      </c>
      <c r="W892" t="s">
        <v>16410</v>
      </c>
      <c r="X892" t="s">
        <v>16411</v>
      </c>
      <c r="Y892" t="s">
        <v>16412</v>
      </c>
      <c r="Z892" t="s">
        <v>16413</v>
      </c>
      <c r="AA892" t="s">
        <v>16414</v>
      </c>
      <c r="AB892" t="s">
        <v>16415</v>
      </c>
      <c r="AC892" t="s">
        <v>16416</v>
      </c>
      <c r="AD892" t="s">
        <v>16416</v>
      </c>
      <c r="AE892" t="s">
        <v>16417</v>
      </c>
      <c r="AF892" t="s">
        <v>74</v>
      </c>
      <c r="AG892">
        <v>64</v>
      </c>
      <c r="AH892">
        <v>95</v>
      </c>
      <c r="AI892">
        <v>106</v>
      </c>
      <c r="AJ892">
        <v>0</v>
      </c>
      <c r="AK892">
        <v>25</v>
      </c>
      <c r="AL892" t="s">
        <v>13270</v>
      </c>
      <c r="AM892" t="s">
        <v>13271</v>
      </c>
      <c r="AN892" t="s">
        <v>13272</v>
      </c>
      <c r="AO892" t="s">
        <v>13381</v>
      </c>
      <c r="AP892" t="s">
        <v>13382</v>
      </c>
      <c r="AQ892" t="s">
        <v>74</v>
      </c>
      <c r="AR892" t="s">
        <v>13370</v>
      </c>
      <c r="AS892" t="s">
        <v>13383</v>
      </c>
      <c r="AT892" t="s">
        <v>74</v>
      </c>
      <c r="AU892">
        <v>2012</v>
      </c>
      <c r="AV892">
        <v>6</v>
      </c>
      <c r="AW892">
        <v>2</v>
      </c>
      <c r="AX892" t="s">
        <v>74</v>
      </c>
      <c r="AY892" t="s">
        <v>74</v>
      </c>
      <c r="AZ892" t="s">
        <v>74</v>
      </c>
      <c r="BA892" t="s">
        <v>74</v>
      </c>
      <c r="BB892">
        <v>273</v>
      </c>
      <c r="BC892">
        <v>286</v>
      </c>
      <c r="BD892" t="s">
        <v>74</v>
      </c>
      <c r="BE892" t="s">
        <v>16418</v>
      </c>
      <c r="BF892" t="str">
        <f>HYPERLINK("http://dx.doi.org/10.5194/tc-6-273-2012","http://dx.doi.org/10.5194/tc-6-273-2012")</f>
        <v>http://dx.doi.org/10.5194/tc-6-273-2012</v>
      </c>
      <c r="BG892" t="s">
        <v>74</v>
      </c>
      <c r="BH892" t="s">
        <v>74</v>
      </c>
      <c r="BI892">
        <v>14</v>
      </c>
      <c r="BJ892" t="s">
        <v>943</v>
      </c>
      <c r="BK892" t="s">
        <v>99</v>
      </c>
      <c r="BL892" t="s">
        <v>944</v>
      </c>
      <c r="BM892" t="s">
        <v>16419</v>
      </c>
      <c r="BN892" t="s">
        <v>74</v>
      </c>
      <c r="BO892" t="s">
        <v>7430</v>
      </c>
      <c r="BP892" t="s">
        <v>74</v>
      </c>
      <c r="BQ892" t="s">
        <v>74</v>
      </c>
      <c r="BR892" t="s">
        <v>101</v>
      </c>
      <c r="BS892" t="s">
        <v>16420</v>
      </c>
      <c r="BT892" t="str">
        <f>HYPERLINK("https%3A%2F%2Fwww.webofscience.com%2Fwos%2Fwoscc%2Ffull-record%2FWOS:000304062100003","View Full Record in Web of Science")</f>
        <v>View Full Record in Web of Science</v>
      </c>
    </row>
    <row r="893" spans="1:72" x14ac:dyDescent="0.15">
      <c r="A893" t="s">
        <v>72</v>
      </c>
      <c r="B893" t="s">
        <v>16421</v>
      </c>
      <c r="C893" t="s">
        <v>74</v>
      </c>
      <c r="D893" t="s">
        <v>74</v>
      </c>
      <c r="E893" t="s">
        <v>74</v>
      </c>
      <c r="F893" t="s">
        <v>16422</v>
      </c>
      <c r="G893" t="s">
        <v>74</v>
      </c>
      <c r="H893" t="s">
        <v>74</v>
      </c>
      <c r="I893" t="s">
        <v>16423</v>
      </c>
      <c r="J893" t="s">
        <v>13370</v>
      </c>
      <c r="K893" t="s">
        <v>74</v>
      </c>
      <c r="L893" t="s">
        <v>74</v>
      </c>
      <c r="M893" t="s">
        <v>78</v>
      </c>
      <c r="N893" t="s">
        <v>79</v>
      </c>
      <c r="O893" t="s">
        <v>74</v>
      </c>
      <c r="P893" t="s">
        <v>74</v>
      </c>
      <c r="Q893" t="s">
        <v>74</v>
      </c>
      <c r="R893" t="s">
        <v>74</v>
      </c>
      <c r="S893" t="s">
        <v>74</v>
      </c>
      <c r="T893" t="s">
        <v>74</v>
      </c>
      <c r="U893" t="s">
        <v>16424</v>
      </c>
      <c r="V893" t="s">
        <v>16425</v>
      </c>
      <c r="W893" t="s">
        <v>16426</v>
      </c>
      <c r="X893" t="s">
        <v>16427</v>
      </c>
      <c r="Y893" t="s">
        <v>16428</v>
      </c>
      <c r="Z893" t="s">
        <v>16429</v>
      </c>
      <c r="AA893" t="s">
        <v>16430</v>
      </c>
      <c r="AB893" t="s">
        <v>16431</v>
      </c>
      <c r="AC893" t="s">
        <v>16432</v>
      </c>
      <c r="AD893" t="s">
        <v>16433</v>
      </c>
      <c r="AE893" t="s">
        <v>16434</v>
      </c>
      <c r="AF893" t="s">
        <v>74</v>
      </c>
      <c r="AG893">
        <v>62</v>
      </c>
      <c r="AH893">
        <v>22</v>
      </c>
      <c r="AI893">
        <v>22</v>
      </c>
      <c r="AJ893">
        <v>1</v>
      </c>
      <c r="AK893">
        <v>17</v>
      </c>
      <c r="AL893" t="s">
        <v>13270</v>
      </c>
      <c r="AM893" t="s">
        <v>13271</v>
      </c>
      <c r="AN893" t="s">
        <v>13272</v>
      </c>
      <c r="AO893" t="s">
        <v>13381</v>
      </c>
      <c r="AP893" t="s">
        <v>13382</v>
      </c>
      <c r="AQ893" t="s">
        <v>74</v>
      </c>
      <c r="AR893" t="s">
        <v>13370</v>
      </c>
      <c r="AS893" t="s">
        <v>13383</v>
      </c>
      <c r="AT893" t="s">
        <v>74</v>
      </c>
      <c r="AU893">
        <v>2012</v>
      </c>
      <c r="AV893">
        <v>6</v>
      </c>
      <c r="AW893">
        <v>2</v>
      </c>
      <c r="AX893" t="s">
        <v>74</v>
      </c>
      <c r="AY893" t="s">
        <v>74</v>
      </c>
      <c r="AZ893" t="s">
        <v>74</v>
      </c>
      <c r="BA893" t="s">
        <v>74</v>
      </c>
      <c r="BB893">
        <v>313</v>
      </c>
      <c r="BC893">
        <v>330</v>
      </c>
      <c r="BD893" t="s">
        <v>74</v>
      </c>
      <c r="BE893" t="s">
        <v>16435</v>
      </c>
      <c r="BF893" t="str">
        <f>HYPERLINK("http://dx.doi.org/10.5194/tc-6-313-2012","http://dx.doi.org/10.5194/tc-6-313-2012")</f>
        <v>http://dx.doi.org/10.5194/tc-6-313-2012</v>
      </c>
      <c r="BG893" t="s">
        <v>74</v>
      </c>
      <c r="BH893" t="s">
        <v>74</v>
      </c>
      <c r="BI893">
        <v>18</v>
      </c>
      <c r="BJ893" t="s">
        <v>943</v>
      </c>
      <c r="BK893" t="s">
        <v>99</v>
      </c>
      <c r="BL893" t="s">
        <v>944</v>
      </c>
      <c r="BM893" t="s">
        <v>16419</v>
      </c>
      <c r="BN893" t="s">
        <v>74</v>
      </c>
      <c r="BO893" t="s">
        <v>3496</v>
      </c>
      <c r="BP893" t="s">
        <v>74</v>
      </c>
      <c r="BQ893" t="s">
        <v>74</v>
      </c>
      <c r="BR893" t="s">
        <v>101</v>
      </c>
      <c r="BS893" t="s">
        <v>16436</v>
      </c>
      <c r="BT893" t="str">
        <f>HYPERLINK("https%3A%2F%2Fwww.webofscience.com%2Fwos%2Fwoscc%2Ffull-record%2FWOS:000304062100006","View Full Record in Web of Science")</f>
        <v>View Full Record in Web of Science</v>
      </c>
    </row>
    <row r="894" spans="1:72" x14ac:dyDescent="0.15">
      <c r="A894" t="s">
        <v>72</v>
      </c>
      <c r="B894" t="s">
        <v>16437</v>
      </c>
      <c r="C894" t="s">
        <v>74</v>
      </c>
      <c r="D894" t="s">
        <v>74</v>
      </c>
      <c r="E894" t="s">
        <v>74</v>
      </c>
      <c r="F894" t="s">
        <v>16438</v>
      </c>
      <c r="G894" t="s">
        <v>74</v>
      </c>
      <c r="H894" t="s">
        <v>74</v>
      </c>
      <c r="I894" t="s">
        <v>16439</v>
      </c>
      <c r="J894" t="s">
        <v>13370</v>
      </c>
      <c r="K894" t="s">
        <v>74</v>
      </c>
      <c r="L894" t="s">
        <v>74</v>
      </c>
      <c r="M894" t="s">
        <v>78</v>
      </c>
      <c r="N894" t="s">
        <v>79</v>
      </c>
      <c r="O894" t="s">
        <v>74</v>
      </c>
      <c r="P894" t="s">
        <v>74</v>
      </c>
      <c r="Q894" t="s">
        <v>74</v>
      </c>
      <c r="R894" t="s">
        <v>74</v>
      </c>
      <c r="S894" t="s">
        <v>74</v>
      </c>
      <c r="T894" t="s">
        <v>74</v>
      </c>
      <c r="U894" t="s">
        <v>16440</v>
      </c>
      <c r="V894" t="s">
        <v>16441</v>
      </c>
      <c r="W894" t="s">
        <v>16442</v>
      </c>
      <c r="X894" t="s">
        <v>6030</v>
      </c>
      <c r="Y894" t="s">
        <v>16443</v>
      </c>
      <c r="Z894" t="s">
        <v>16444</v>
      </c>
      <c r="AA894" t="s">
        <v>74</v>
      </c>
      <c r="AB894" t="s">
        <v>16445</v>
      </c>
      <c r="AC894" t="s">
        <v>16446</v>
      </c>
      <c r="AD894" t="s">
        <v>16446</v>
      </c>
      <c r="AE894" t="s">
        <v>16447</v>
      </c>
      <c r="AF894" t="s">
        <v>74</v>
      </c>
      <c r="AG894">
        <v>38</v>
      </c>
      <c r="AH894">
        <v>18</v>
      </c>
      <c r="AI894">
        <v>23</v>
      </c>
      <c r="AJ894">
        <v>1</v>
      </c>
      <c r="AK894">
        <v>16</v>
      </c>
      <c r="AL894" t="s">
        <v>13270</v>
      </c>
      <c r="AM894" t="s">
        <v>13271</v>
      </c>
      <c r="AN894" t="s">
        <v>13272</v>
      </c>
      <c r="AO894" t="s">
        <v>13381</v>
      </c>
      <c r="AP894" t="s">
        <v>74</v>
      </c>
      <c r="AQ894" t="s">
        <v>74</v>
      </c>
      <c r="AR894" t="s">
        <v>13370</v>
      </c>
      <c r="AS894" t="s">
        <v>13383</v>
      </c>
      <c r="AT894" t="s">
        <v>74</v>
      </c>
      <c r="AU894">
        <v>2012</v>
      </c>
      <c r="AV894">
        <v>6</v>
      </c>
      <c r="AW894">
        <v>2</v>
      </c>
      <c r="AX894" t="s">
        <v>74</v>
      </c>
      <c r="AY894" t="s">
        <v>74</v>
      </c>
      <c r="AZ894" t="s">
        <v>74</v>
      </c>
      <c r="BA894" t="s">
        <v>74</v>
      </c>
      <c r="BB894">
        <v>505</v>
      </c>
      <c r="BC894">
        <v>515</v>
      </c>
      <c r="BD894" t="s">
        <v>74</v>
      </c>
      <c r="BE894" t="s">
        <v>16448</v>
      </c>
      <c r="BF894" t="str">
        <f>HYPERLINK("http://dx.doi.org/10.5194/tc-6-505-2012","http://dx.doi.org/10.5194/tc-6-505-2012")</f>
        <v>http://dx.doi.org/10.5194/tc-6-505-2012</v>
      </c>
      <c r="BG894" t="s">
        <v>74</v>
      </c>
      <c r="BH894" t="s">
        <v>74</v>
      </c>
      <c r="BI894">
        <v>11</v>
      </c>
      <c r="BJ894" t="s">
        <v>943</v>
      </c>
      <c r="BK894" t="s">
        <v>99</v>
      </c>
      <c r="BL894" t="s">
        <v>944</v>
      </c>
      <c r="BM894" t="s">
        <v>16419</v>
      </c>
      <c r="BN894" t="s">
        <v>74</v>
      </c>
      <c r="BO894" t="s">
        <v>7430</v>
      </c>
      <c r="BP894" t="s">
        <v>74</v>
      </c>
      <c r="BQ894" t="s">
        <v>74</v>
      </c>
      <c r="BR894" t="s">
        <v>101</v>
      </c>
      <c r="BS894" t="s">
        <v>16449</v>
      </c>
      <c r="BT894" t="str">
        <f>HYPERLINK("https%3A%2F%2Fwww.webofscience.com%2Fwos%2Fwoscc%2Ffull-record%2FWOS:000304062100020","View Full Record in Web of Science")</f>
        <v>View Full Record in Web of Science</v>
      </c>
    </row>
    <row r="895" spans="1:72" x14ac:dyDescent="0.15">
      <c r="A895" t="s">
        <v>72</v>
      </c>
      <c r="B895" t="s">
        <v>16450</v>
      </c>
      <c r="C895" t="s">
        <v>74</v>
      </c>
      <c r="D895" t="s">
        <v>74</v>
      </c>
      <c r="E895" t="s">
        <v>74</v>
      </c>
      <c r="F895" t="s">
        <v>16451</v>
      </c>
      <c r="G895" t="s">
        <v>74</v>
      </c>
      <c r="H895" t="s">
        <v>74</v>
      </c>
      <c r="I895" t="s">
        <v>16452</v>
      </c>
      <c r="J895" t="s">
        <v>13816</v>
      </c>
      <c r="K895" t="s">
        <v>74</v>
      </c>
      <c r="L895" t="s">
        <v>74</v>
      </c>
      <c r="M895" t="s">
        <v>78</v>
      </c>
      <c r="N895" t="s">
        <v>79</v>
      </c>
      <c r="O895" t="s">
        <v>74</v>
      </c>
      <c r="P895" t="s">
        <v>74</v>
      </c>
      <c r="Q895" t="s">
        <v>74</v>
      </c>
      <c r="R895" t="s">
        <v>74</v>
      </c>
      <c r="S895" t="s">
        <v>74</v>
      </c>
      <c r="T895" t="s">
        <v>74</v>
      </c>
      <c r="U895" t="s">
        <v>16453</v>
      </c>
      <c r="V895" t="s">
        <v>16454</v>
      </c>
      <c r="W895" t="s">
        <v>16455</v>
      </c>
      <c r="X895" t="s">
        <v>16456</v>
      </c>
      <c r="Y895" t="s">
        <v>16457</v>
      </c>
      <c r="Z895" t="s">
        <v>16458</v>
      </c>
      <c r="AA895" t="s">
        <v>74</v>
      </c>
      <c r="AB895" t="s">
        <v>16459</v>
      </c>
      <c r="AC895" t="s">
        <v>74</v>
      </c>
      <c r="AD895" t="s">
        <v>74</v>
      </c>
      <c r="AE895" t="s">
        <v>74</v>
      </c>
      <c r="AF895" t="s">
        <v>74</v>
      </c>
      <c r="AG895">
        <v>36</v>
      </c>
      <c r="AH895">
        <v>10</v>
      </c>
      <c r="AI895">
        <v>10</v>
      </c>
      <c r="AJ895">
        <v>0</v>
      </c>
      <c r="AK895">
        <v>8</v>
      </c>
      <c r="AL895" t="s">
        <v>13270</v>
      </c>
      <c r="AM895" t="s">
        <v>13271</v>
      </c>
      <c r="AN895" t="s">
        <v>13272</v>
      </c>
      <c r="AO895" t="s">
        <v>13828</v>
      </c>
      <c r="AP895" t="s">
        <v>13829</v>
      </c>
      <c r="AQ895" t="s">
        <v>74</v>
      </c>
      <c r="AR895" t="s">
        <v>13830</v>
      </c>
      <c r="AS895" t="s">
        <v>13831</v>
      </c>
      <c r="AT895" t="s">
        <v>74</v>
      </c>
      <c r="AU895">
        <v>2012</v>
      </c>
      <c r="AV895">
        <v>12</v>
      </c>
      <c r="AW895">
        <v>8</v>
      </c>
      <c r="AX895" t="s">
        <v>74</v>
      </c>
      <c r="AY895" t="s">
        <v>74</v>
      </c>
      <c r="AZ895" t="s">
        <v>74</v>
      </c>
      <c r="BA895" t="s">
        <v>74</v>
      </c>
      <c r="BB895">
        <v>3791</v>
      </c>
      <c r="BC895">
        <v>3798</v>
      </c>
      <c r="BD895" t="s">
        <v>74</v>
      </c>
      <c r="BE895" t="s">
        <v>16460</v>
      </c>
      <c r="BF895" t="str">
        <f>HYPERLINK("http://dx.doi.org/10.5194/acp-12-3791-2012","http://dx.doi.org/10.5194/acp-12-3791-2012")</f>
        <v>http://dx.doi.org/10.5194/acp-12-3791-2012</v>
      </c>
      <c r="BG895" t="s">
        <v>74</v>
      </c>
      <c r="BH895" t="s">
        <v>74</v>
      </c>
      <c r="BI895">
        <v>8</v>
      </c>
      <c r="BJ895" t="s">
        <v>1758</v>
      </c>
      <c r="BK895" t="s">
        <v>99</v>
      </c>
      <c r="BL895" t="s">
        <v>1759</v>
      </c>
      <c r="BM895" t="s">
        <v>16461</v>
      </c>
      <c r="BN895" t="s">
        <v>74</v>
      </c>
      <c r="BO895" t="s">
        <v>7430</v>
      </c>
      <c r="BP895" t="s">
        <v>74</v>
      </c>
      <c r="BQ895" t="s">
        <v>74</v>
      </c>
      <c r="BR895" t="s">
        <v>101</v>
      </c>
      <c r="BS895" t="s">
        <v>16462</v>
      </c>
      <c r="BT895" t="str">
        <f>HYPERLINK("https%3A%2F%2Fwww.webofscience.com%2Fwos%2Fwoscc%2Ffull-record%2FWOS:000304054800016","View Full Record in Web of Science")</f>
        <v>View Full Record in Web of Science</v>
      </c>
    </row>
    <row r="896" spans="1:72" x14ac:dyDescent="0.15">
      <c r="A896" t="s">
        <v>72</v>
      </c>
      <c r="B896" t="s">
        <v>16463</v>
      </c>
      <c r="C896" t="s">
        <v>74</v>
      </c>
      <c r="D896" t="s">
        <v>74</v>
      </c>
      <c r="E896" t="s">
        <v>74</v>
      </c>
      <c r="F896" t="s">
        <v>16464</v>
      </c>
      <c r="G896" t="s">
        <v>74</v>
      </c>
      <c r="H896" t="s">
        <v>74</v>
      </c>
      <c r="I896" t="s">
        <v>16465</v>
      </c>
      <c r="J896" t="s">
        <v>13816</v>
      </c>
      <c r="K896" t="s">
        <v>74</v>
      </c>
      <c r="L896" t="s">
        <v>74</v>
      </c>
      <c r="M896" t="s">
        <v>78</v>
      </c>
      <c r="N896" t="s">
        <v>79</v>
      </c>
      <c r="O896" t="s">
        <v>74</v>
      </c>
      <c r="P896" t="s">
        <v>74</v>
      </c>
      <c r="Q896" t="s">
        <v>74</v>
      </c>
      <c r="R896" t="s">
        <v>74</v>
      </c>
      <c r="S896" t="s">
        <v>74</v>
      </c>
      <c r="T896" t="s">
        <v>74</v>
      </c>
      <c r="U896" t="s">
        <v>16466</v>
      </c>
      <c r="V896" t="s">
        <v>16467</v>
      </c>
      <c r="W896" t="s">
        <v>16468</v>
      </c>
      <c r="X896" t="s">
        <v>16469</v>
      </c>
      <c r="Y896" t="s">
        <v>16470</v>
      </c>
      <c r="Z896" t="s">
        <v>16176</v>
      </c>
      <c r="AA896" t="s">
        <v>16471</v>
      </c>
      <c r="AB896" t="s">
        <v>16472</v>
      </c>
      <c r="AC896" t="s">
        <v>16473</v>
      </c>
      <c r="AD896" t="s">
        <v>16474</v>
      </c>
      <c r="AE896" t="s">
        <v>16475</v>
      </c>
      <c r="AF896" t="s">
        <v>74</v>
      </c>
      <c r="AG896">
        <v>42</v>
      </c>
      <c r="AH896">
        <v>28</v>
      </c>
      <c r="AI896">
        <v>36</v>
      </c>
      <c r="AJ896">
        <v>0</v>
      </c>
      <c r="AK896">
        <v>32</v>
      </c>
      <c r="AL896" t="s">
        <v>13270</v>
      </c>
      <c r="AM896" t="s">
        <v>13271</v>
      </c>
      <c r="AN896" t="s">
        <v>13272</v>
      </c>
      <c r="AO896" t="s">
        <v>13828</v>
      </c>
      <c r="AP896" t="s">
        <v>13829</v>
      </c>
      <c r="AQ896" t="s">
        <v>74</v>
      </c>
      <c r="AR896" t="s">
        <v>13830</v>
      </c>
      <c r="AS896" t="s">
        <v>13831</v>
      </c>
      <c r="AT896" t="s">
        <v>74</v>
      </c>
      <c r="AU896">
        <v>2012</v>
      </c>
      <c r="AV896">
        <v>12</v>
      </c>
      <c r="AW896">
        <v>8</v>
      </c>
      <c r="AX896" t="s">
        <v>74</v>
      </c>
      <c r="AY896" t="s">
        <v>74</v>
      </c>
      <c r="AZ896" t="s">
        <v>74</v>
      </c>
      <c r="BA896" t="s">
        <v>74</v>
      </c>
      <c r="BB896">
        <v>3799</v>
      </c>
      <c r="BC896">
        <v>3808</v>
      </c>
      <c r="BD896" t="s">
        <v>74</v>
      </c>
      <c r="BE896" t="s">
        <v>16476</v>
      </c>
      <c r="BF896" t="str">
        <f>HYPERLINK("http://dx.doi.org/10.5194/acp-12-3799-2012","http://dx.doi.org/10.5194/acp-12-3799-2012")</f>
        <v>http://dx.doi.org/10.5194/acp-12-3799-2012</v>
      </c>
      <c r="BG896" t="s">
        <v>74</v>
      </c>
      <c r="BH896" t="s">
        <v>74</v>
      </c>
      <c r="BI896">
        <v>10</v>
      </c>
      <c r="BJ896" t="s">
        <v>1758</v>
      </c>
      <c r="BK896" t="s">
        <v>99</v>
      </c>
      <c r="BL896" t="s">
        <v>1759</v>
      </c>
      <c r="BM896" t="s">
        <v>16461</v>
      </c>
      <c r="BN896" t="s">
        <v>74</v>
      </c>
      <c r="BO896" t="s">
        <v>3496</v>
      </c>
      <c r="BP896" t="s">
        <v>74</v>
      </c>
      <c r="BQ896" t="s">
        <v>74</v>
      </c>
      <c r="BR896" t="s">
        <v>101</v>
      </c>
      <c r="BS896" t="s">
        <v>16477</v>
      </c>
      <c r="BT896" t="str">
        <f>HYPERLINK("https%3A%2F%2Fwww.webofscience.com%2Fwos%2Fwoscc%2Ffull-record%2FWOS:000304054800017","View Full Record in Web of Science")</f>
        <v>View Full Record in Web of Science</v>
      </c>
    </row>
    <row r="897" spans="1:72" x14ac:dyDescent="0.15">
      <c r="A897" t="s">
        <v>72</v>
      </c>
      <c r="B897" t="s">
        <v>16478</v>
      </c>
      <c r="C897" t="s">
        <v>74</v>
      </c>
      <c r="D897" t="s">
        <v>74</v>
      </c>
      <c r="E897" t="s">
        <v>74</v>
      </c>
      <c r="F897" t="s">
        <v>16479</v>
      </c>
      <c r="G897" t="s">
        <v>74</v>
      </c>
      <c r="H897" t="s">
        <v>74</v>
      </c>
      <c r="I897" t="s">
        <v>16480</v>
      </c>
      <c r="J897" t="s">
        <v>13300</v>
      </c>
      <c r="K897" t="s">
        <v>74</v>
      </c>
      <c r="L897" t="s">
        <v>74</v>
      </c>
      <c r="M897" t="s">
        <v>78</v>
      </c>
      <c r="N897" t="s">
        <v>79</v>
      </c>
      <c r="O897" t="s">
        <v>74</v>
      </c>
      <c r="P897" t="s">
        <v>74</v>
      </c>
      <c r="Q897" t="s">
        <v>74</v>
      </c>
      <c r="R897" t="s">
        <v>74</v>
      </c>
      <c r="S897" t="s">
        <v>74</v>
      </c>
      <c r="T897" t="s">
        <v>74</v>
      </c>
      <c r="U897" t="s">
        <v>16481</v>
      </c>
      <c r="V897" t="s">
        <v>16482</v>
      </c>
      <c r="W897" t="s">
        <v>16483</v>
      </c>
      <c r="X897" t="s">
        <v>16484</v>
      </c>
      <c r="Y897" t="s">
        <v>16485</v>
      </c>
      <c r="Z897" t="s">
        <v>16486</v>
      </c>
      <c r="AA897" t="s">
        <v>74</v>
      </c>
      <c r="AB897" t="s">
        <v>16487</v>
      </c>
      <c r="AC897" t="s">
        <v>16488</v>
      </c>
      <c r="AD897" t="s">
        <v>16489</v>
      </c>
      <c r="AE897" t="s">
        <v>16490</v>
      </c>
      <c r="AF897" t="s">
        <v>74</v>
      </c>
      <c r="AG897">
        <v>30</v>
      </c>
      <c r="AH897">
        <v>7</v>
      </c>
      <c r="AI897">
        <v>8</v>
      </c>
      <c r="AJ897">
        <v>0</v>
      </c>
      <c r="AK897">
        <v>5</v>
      </c>
      <c r="AL897" t="s">
        <v>13270</v>
      </c>
      <c r="AM897" t="s">
        <v>13271</v>
      </c>
      <c r="AN897" t="s">
        <v>13272</v>
      </c>
      <c r="AO897" t="s">
        <v>13312</v>
      </c>
      <c r="AP897" t="s">
        <v>13335</v>
      </c>
      <c r="AQ897" t="s">
        <v>74</v>
      </c>
      <c r="AR897" t="s">
        <v>13313</v>
      </c>
      <c r="AS897" t="s">
        <v>13314</v>
      </c>
      <c r="AT897" t="s">
        <v>74</v>
      </c>
      <c r="AU897">
        <v>2012</v>
      </c>
      <c r="AV897">
        <v>8</v>
      </c>
      <c r="AW897">
        <v>2</v>
      </c>
      <c r="AX897" t="s">
        <v>74</v>
      </c>
      <c r="AY897" t="s">
        <v>74</v>
      </c>
      <c r="AZ897" t="s">
        <v>74</v>
      </c>
      <c r="BA897" t="s">
        <v>74</v>
      </c>
      <c r="BB897">
        <v>803</v>
      </c>
      <c r="BC897">
        <v>814</v>
      </c>
      <c r="BD897" t="s">
        <v>74</v>
      </c>
      <c r="BE897" t="s">
        <v>16491</v>
      </c>
      <c r="BF897" t="str">
        <f>HYPERLINK("http://dx.doi.org/10.5194/cp-8-803-2012","http://dx.doi.org/10.5194/cp-8-803-2012")</f>
        <v>http://dx.doi.org/10.5194/cp-8-803-2012</v>
      </c>
      <c r="BG897" t="s">
        <v>74</v>
      </c>
      <c r="BH897" t="s">
        <v>74</v>
      </c>
      <c r="BI897">
        <v>12</v>
      </c>
      <c r="BJ897" t="s">
        <v>13316</v>
      </c>
      <c r="BK897" t="s">
        <v>99</v>
      </c>
      <c r="BL897" t="s">
        <v>13317</v>
      </c>
      <c r="BM897" t="s">
        <v>16492</v>
      </c>
      <c r="BN897" t="s">
        <v>74</v>
      </c>
      <c r="BO897" t="s">
        <v>3496</v>
      </c>
      <c r="BP897" t="s">
        <v>74</v>
      </c>
      <c r="BQ897" t="s">
        <v>74</v>
      </c>
      <c r="BR897" t="s">
        <v>101</v>
      </c>
      <c r="BS897" t="s">
        <v>16493</v>
      </c>
      <c r="BT897" t="str">
        <f>HYPERLINK("https%3A%2F%2Fwww.webofscience.com%2Fwos%2Fwoscc%2Ffull-record%2FWOS:000304059700028","View Full Record in Web of Science")</f>
        <v>View Full Record in Web of Science</v>
      </c>
    </row>
    <row r="898" spans="1:72" x14ac:dyDescent="0.15">
      <c r="A898" t="s">
        <v>72</v>
      </c>
      <c r="B898" t="s">
        <v>16494</v>
      </c>
      <c r="C898" t="s">
        <v>74</v>
      </c>
      <c r="D898" t="s">
        <v>74</v>
      </c>
      <c r="E898" t="s">
        <v>74</v>
      </c>
      <c r="F898" t="s">
        <v>16495</v>
      </c>
      <c r="G898" t="s">
        <v>74</v>
      </c>
      <c r="H898" t="s">
        <v>74</v>
      </c>
      <c r="I898" t="s">
        <v>16496</v>
      </c>
      <c r="J898" t="s">
        <v>14389</v>
      </c>
      <c r="K898" t="s">
        <v>74</v>
      </c>
      <c r="L898" t="s">
        <v>74</v>
      </c>
      <c r="M898" t="s">
        <v>78</v>
      </c>
      <c r="N898" t="s">
        <v>79</v>
      </c>
      <c r="O898" t="s">
        <v>74</v>
      </c>
      <c r="P898" t="s">
        <v>74</v>
      </c>
      <c r="Q898" t="s">
        <v>74</v>
      </c>
      <c r="R898" t="s">
        <v>74</v>
      </c>
      <c r="S898" t="s">
        <v>74</v>
      </c>
      <c r="T898" t="s">
        <v>74</v>
      </c>
      <c r="U898" t="s">
        <v>16497</v>
      </c>
      <c r="V898" t="s">
        <v>16498</v>
      </c>
      <c r="W898" t="s">
        <v>16499</v>
      </c>
      <c r="X898" t="s">
        <v>16500</v>
      </c>
      <c r="Y898" t="s">
        <v>16501</v>
      </c>
      <c r="Z898" t="s">
        <v>16502</v>
      </c>
      <c r="AA898" t="s">
        <v>16503</v>
      </c>
      <c r="AB898" t="s">
        <v>16504</v>
      </c>
      <c r="AC898" t="s">
        <v>16505</v>
      </c>
      <c r="AD898" t="s">
        <v>16506</v>
      </c>
      <c r="AE898" t="s">
        <v>16507</v>
      </c>
      <c r="AF898" t="s">
        <v>74</v>
      </c>
      <c r="AG898">
        <v>115</v>
      </c>
      <c r="AH898">
        <v>59</v>
      </c>
      <c r="AI898">
        <v>61</v>
      </c>
      <c r="AJ898">
        <v>0</v>
      </c>
      <c r="AK898">
        <v>17</v>
      </c>
      <c r="AL898" t="s">
        <v>13270</v>
      </c>
      <c r="AM898" t="s">
        <v>13271</v>
      </c>
      <c r="AN898" t="s">
        <v>13272</v>
      </c>
      <c r="AO898" t="s">
        <v>14398</v>
      </c>
      <c r="AP898" t="s">
        <v>14399</v>
      </c>
      <c r="AQ898" t="s">
        <v>74</v>
      </c>
      <c r="AR898" t="s">
        <v>14400</v>
      </c>
      <c r="AS898" t="s">
        <v>14401</v>
      </c>
      <c r="AT898" t="s">
        <v>74</v>
      </c>
      <c r="AU898">
        <v>2012</v>
      </c>
      <c r="AV898">
        <v>5</v>
      </c>
      <c r="AW898">
        <v>3</v>
      </c>
      <c r="AX898" t="s">
        <v>74</v>
      </c>
      <c r="AY898" t="s">
        <v>74</v>
      </c>
      <c r="AZ898" t="s">
        <v>74</v>
      </c>
      <c r="BA898" t="s">
        <v>74</v>
      </c>
      <c r="BB898">
        <v>649</v>
      </c>
      <c r="BC898">
        <v>682</v>
      </c>
      <c r="BD898" t="s">
        <v>74</v>
      </c>
      <c r="BE898" t="s">
        <v>16508</v>
      </c>
      <c r="BF898" t="str">
        <f>HYPERLINK("http://dx.doi.org/10.5194/gmd-5-649-2012","http://dx.doi.org/10.5194/gmd-5-649-2012")</f>
        <v>http://dx.doi.org/10.5194/gmd-5-649-2012</v>
      </c>
      <c r="BG898" t="s">
        <v>74</v>
      </c>
      <c r="BH898" t="s">
        <v>74</v>
      </c>
      <c r="BI898">
        <v>34</v>
      </c>
      <c r="BJ898" t="s">
        <v>194</v>
      </c>
      <c r="BK898" t="s">
        <v>99</v>
      </c>
      <c r="BL898" t="s">
        <v>195</v>
      </c>
      <c r="BM898" t="s">
        <v>16509</v>
      </c>
      <c r="BN898" t="s">
        <v>74</v>
      </c>
      <c r="BO898" t="s">
        <v>15328</v>
      </c>
      <c r="BP898" t="s">
        <v>74</v>
      </c>
      <c r="BQ898" t="s">
        <v>74</v>
      </c>
      <c r="BR898" t="s">
        <v>101</v>
      </c>
      <c r="BS898" t="s">
        <v>16510</v>
      </c>
      <c r="BT898" t="str">
        <f>HYPERLINK("https%3A%2F%2Fwww.webofscience.com%2Fwos%2Fwoscc%2Ffull-record%2FWOS:000304061200006","View Full Record in Web of Science")</f>
        <v>View Full Record in Web of Science</v>
      </c>
    </row>
    <row r="899" spans="1:72" x14ac:dyDescent="0.15">
      <c r="A899" t="s">
        <v>72</v>
      </c>
      <c r="B899" t="s">
        <v>16511</v>
      </c>
      <c r="C899" t="s">
        <v>74</v>
      </c>
      <c r="D899" t="s">
        <v>74</v>
      </c>
      <c r="E899" t="s">
        <v>74</v>
      </c>
      <c r="F899" t="s">
        <v>16512</v>
      </c>
      <c r="G899" t="s">
        <v>74</v>
      </c>
      <c r="H899" t="s">
        <v>74</v>
      </c>
      <c r="I899" t="s">
        <v>16513</v>
      </c>
      <c r="J899" t="s">
        <v>16514</v>
      </c>
      <c r="K899" t="s">
        <v>74</v>
      </c>
      <c r="L899" t="s">
        <v>74</v>
      </c>
      <c r="M899" t="s">
        <v>78</v>
      </c>
      <c r="N899" t="s">
        <v>79</v>
      </c>
      <c r="O899" t="s">
        <v>74</v>
      </c>
      <c r="P899" t="s">
        <v>74</v>
      </c>
      <c r="Q899" t="s">
        <v>74</v>
      </c>
      <c r="R899" t="s">
        <v>74</v>
      </c>
      <c r="S899" t="s">
        <v>74</v>
      </c>
      <c r="T899" t="s">
        <v>16515</v>
      </c>
      <c r="U899" t="s">
        <v>16516</v>
      </c>
      <c r="V899" t="s">
        <v>16517</v>
      </c>
      <c r="W899" t="s">
        <v>16518</v>
      </c>
      <c r="X899" t="s">
        <v>16519</v>
      </c>
      <c r="Y899" t="s">
        <v>16520</v>
      </c>
      <c r="Z899" t="s">
        <v>16521</v>
      </c>
      <c r="AA899" t="s">
        <v>16522</v>
      </c>
      <c r="AB899" t="s">
        <v>16523</v>
      </c>
      <c r="AC899" t="s">
        <v>16524</v>
      </c>
      <c r="AD899" t="s">
        <v>16524</v>
      </c>
      <c r="AE899" t="s">
        <v>16525</v>
      </c>
      <c r="AF899" t="s">
        <v>74</v>
      </c>
      <c r="AG899">
        <v>22</v>
      </c>
      <c r="AH899">
        <v>0</v>
      </c>
      <c r="AI899">
        <v>0</v>
      </c>
      <c r="AJ899">
        <v>0</v>
      </c>
      <c r="AK899">
        <v>3</v>
      </c>
      <c r="AL899" t="s">
        <v>14681</v>
      </c>
      <c r="AM899" t="s">
        <v>14682</v>
      </c>
      <c r="AN899" t="s">
        <v>14683</v>
      </c>
      <c r="AO899" t="s">
        <v>16526</v>
      </c>
      <c r="AP899" t="s">
        <v>16527</v>
      </c>
      <c r="AQ899" t="s">
        <v>74</v>
      </c>
      <c r="AR899" t="s">
        <v>16528</v>
      </c>
      <c r="AS899" t="s">
        <v>16529</v>
      </c>
      <c r="AT899" t="s">
        <v>74</v>
      </c>
      <c r="AU899">
        <v>2012</v>
      </c>
      <c r="AV899">
        <v>35</v>
      </c>
      <c r="AW899">
        <v>1</v>
      </c>
      <c r="AX899" t="s">
        <v>74</v>
      </c>
      <c r="AY899" t="s">
        <v>74</v>
      </c>
      <c r="AZ899" t="s">
        <v>74</v>
      </c>
      <c r="BA899" t="s">
        <v>74</v>
      </c>
      <c r="BB899">
        <v>82</v>
      </c>
      <c r="BC899">
        <v>92</v>
      </c>
      <c r="BD899" t="s">
        <v>74</v>
      </c>
      <c r="BE899" t="s">
        <v>16530</v>
      </c>
      <c r="BF899" t="str">
        <f>HYPERLINK("http://dx.doi.org/10.1080/01490419.2011.572713","http://dx.doi.org/10.1080/01490419.2011.572713")</f>
        <v>http://dx.doi.org/10.1080/01490419.2011.572713</v>
      </c>
      <c r="BG899" t="s">
        <v>74</v>
      </c>
      <c r="BH899" t="s">
        <v>74</v>
      </c>
      <c r="BI899">
        <v>11</v>
      </c>
      <c r="BJ899" t="s">
        <v>16531</v>
      </c>
      <c r="BK899" t="s">
        <v>99</v>
      </c>
      <c r="BL899" t="s">
        <v>16531</v>
      </c>
      <c r="BM899" t="s">
        <v>16532</v>
      </c>
      <c r="BN899" t="s">
        <v>74</v>
      </c>
      <c r="BO899" t="s">
        <v>74</v>
      </c>
      <c r="BP899" t="s">
        <v>74</v>
      </c>
      <c r="BQ899" t="s">
        <v>74</v>
      </c>
      <c r="BR899" t="s">
        <v>101</v>
      </c>
      <c r="BS899" t="s">
        <v>16533</v>
      </c>
      <c r="BT899" t="str">
        <f>HYPERLINK("https%3A%2F%2Fwww.webofscience.com%2Fwos%2Fwoscc%2Ffull-record%2FWOS:000304472400006","View Full Record in Web of Science")</f>
        <v>View Full Record in Web of Science</v>
      </c>
    </row>
    <row r="900" spans="1:72" x14ac:dyDescent="0.15">
      <c r="A900" t="s">
        <v>72</v>
      </c>
      <c r="B900" t="s">
        <v>16534</v>
      </c>
      <c r="C900" t="s">
        <v>74</v>
      </c>
      <c r="D900" t="s">
        <v>74</v>
      </c>
      <c r="E900" t="s">
        <v>74</v>
      </c>
      <c r="F900" t="s">
        <v>16535</v>
      </c>
      <c r="G900" t="s">
        <v>74</v>
      </c>
      <c r="H900" t="s">
        <v>74</v>
      </c>
      <c r="I900" t="s">
        <v>16536</v>
      </c>
      <c r="J900" t="s">
        <v>16537</v>
      </c>
      <c r="K900" t="s">
        <v>74</v>
      </c>
      <c r="L900" t="s">
        <v>74</v>
      </c>
      <c r="M900" t="s">
        <v>78</v>
      </c>
      <c r="N900" t="s">
        <v>79</v>
      </c>
      <c r="O900" t="s">
        <v>74</v>
      </c>
      <c r="P900" t="s">
        <v>74</v>
      </c>
      <c r="Q900" t="s">
        <v>74</v>
      </c>
      <c r="R900" t="s">
        <v>74</v>
      </c>
      <c r="S900" t="s">
        <v>74</v>
      </c>
      <c r="T900" t="s">
        <v>16538</v>
      </c>
      <c r="U900" t="s">
        <v>16539</v>
      </c>
      <c r="V900" t="s">
        <v>16540</v>
      </c>
      <c r="W900" t="s">
        <v>16541</v>
      </c>
      <c r="X900" t="s">
        <v>16542</v>
      </c>
      <c r="Y900" t="s">
        <v>16543</v>
      </c>
      <c r="Z900" t="s">
        <v>16544</v>
      </c>
      <c r="AA900" t="s">
        <v>74</v>
      </c>
      <c r="AB900" t="s">
        <v>74</v>
      </c>
      <c r="AC900" t="s">
        <v>16545</v>
      </c>
      <c r="AD900" t="s">
        <v>16545</v>
      </c>
      <c r="AE900" t="s">
        <v>16546</v>
      </c>
      <c r="AF900" t="s">
        <v>74</v>
      </c>
      <c r="AG900">
        <v>45</v>
      </c>
      <c r="AH900">
        <v>5</v>
      </c>
      <c r="AI900">
        <v>5</v>
      </c>
      <c r="AJ900">
        <v>0</v>
      </c>
      <c r="AK900">
        <v>7</v>
      </c>
      <c r="AL900" t="s">
        <v>16547</v>
      </c>
      <c r="AM900" t="s">
        <v>16548</v>
      </c>
      <c r="AN900" t="s">
        <v>16549</v>
      </c>
      <c r="AO900" t="s">
        <v>16550</v>
      </c>
      <c r="AP900" t="s">
        <v>16551</v>
      </c>
      <c r="AQ900" t="s">
        <v>74</v>
      </c>
      <c r="AR900" t="s">
        <v>16537</v>
      </c>
      <c r="AS900" t="s">
        <v>16552</v>
      </c>
      <c r="AT900" t="s">
        <v>74</v>
      </c>
      <c r="AU900">
        <v>2012</v>
      </c>
      <c r="AV900">
        <v>54</v>
      </c>
      <c r="AW900">
        <v>2</v>
      </c>
      <c r="AX900" t="s">
        <v>74</v>
      </c>
      <c r="AY900" t="s">
        <v>74</v>
      </c>
      <c r="AZ900" t="s">
        <v>74</v>
      </c>
      <c r="BA900" t="s">
        <v>74</v>
      </c>
      <c r="BB900">
        <v>311</v>
      </c>
      <c r="BC900">
        <v>323</v>
      </c>
      <c r="BD900" t="s">
        <v>74</v>
      </c>
      <c r="BE900" t="s">
        <v>16553</v>
      </c>
      <c r="BF900" t="str">
        <f>HYPERLINK("http://dx.doi.org/10.5697/oc.54-2.311","http://dx.doi.org/10.5697/oc.54-2.311")</f>
        <v>http://dx.doi.org/10.5697/oc.54-2.311</v>
      </c>
      <c r="BG900" t="s">
        <v>74</v>
      </c>
      <c r="BH900" t="s">
        <v>74</v>
      </c>
      <c r="BI900">
        <v>13</v>
      </c>
      <c r="BJ900" t="s">
        <v>350</v>
      </c>
      <c r="BK900" t="s">
        <v>99</v>
      </c>
      <c r="BL900" t="s">
        <v>350</v>
      </c>
      <c r="BM900" t="s">
        <v>16554</v>
      </c>
      <c r="BN900" t="s">
        <v>74</v>
      </c>
      <c r="BO900" t="s">
        <v>7430</v>
      </c>
      <c r="BP900" t="s">
        <v>74</v>
      </c>
      <c r="BQ900" t="s">
        <v>74</v>
      </c>
      <c r="BR900" t="s">
        <v>101</v>
      </c>
      <c r="BS900" t="s">
        <v>16555</v>
      </c>
      <c r="BT900" t="str">
        <f>HYPERLINK("https%3A%2F%2Fwww.webofscience.com%2Fwos%2Fwoscc%2Ffull-record%2FWOS:000303971900008","View Full Record in Web of Science")</f>
        <v>View Full Record in Web of Science</v>
      </c>
    </row>
    <row r="901" spans="1:72" x14ac:dyDescent="0.15">
      <c r="A901" t="s">
        <v>12256</v>
      </c>
      <c r="B901" t="s">
        <v>16556</v>
      </c>
      <c r="C901" t="s">
        <v>74</v>
      </c>
      <c r="D901" t="s">
        <v>16557</v>
      </c>
      <c r="E901" t="s">
        <v>74</v>
      </c>
      <c r="F901" t="s">
        <v>16558</v>
      </c>
      <c r="G901" t="s">
        <v>74</v>
      </c>
      <c r="H901" t="s">
        <v>74</v>
      </c>
      <c r="I901" t="s">
        <v>16559</v>
      </c>
      <c r="J901" t="s">
        <v>16560</v>
      </c>
      <c r="K901" t="s">
        <v>74</v>
      </c>
      <c r="L901" t="s">
        <v>74</v>
      </c>
      <c r="M901" t="s">
        <v>78</v>
      </c>
      <c r="N901" t="s">
        <v>12141</v>
      </c>
      <c r="O901" t="s">
        <v>74</v>
      </c>
      <c r="P901" t="s">
        <v>74</v>
      </c>
      <c r="Q901" t="s">
        <v>74</v>
      </c>
      <c r="R901" t="s">
        <v>74</v>
      </c>
      <c r="S901" t="s">
        <v>74</v>
      </c>
      <c r="T901" t="s">
        <v>74</v>
      </c>
      <c r="U901" t="s">
        <v>16561</v>
      </c>
      <c r="V901" t="s">
        <v>74</v>
      </c>
      <c r="W901" t="s">
        <v>16562</v>
      </c>
      <c r="X901" t="s">
        <v>16563</v>
      </c>
      <c r="Y901" t="s">
        <v>16564</v>
      </c>
      <c r="Z901" t="s">
        <v>16565</v>
      </c>
      <c r="AA901" t="s">
        <v>74</v>
      </c>
      <c r="AB901" t="s">
        <v>74</v>
      </c>
      <c r="AC901" t="s">
        <v>74</v>
      </c>
      <c r="AD901" t="s">
        <v>74</v>
      </c>
      <c r="AE901" t="s">
        <v>74</v>
      </c>
      <c r="AF901" t="s">
        <v>74</v>
      </c>
      <c r="AG901">
        <v>92</v>
      </c>
      <c r="AH901">
        <v>5</v>
      </c>
      <c r="AI901">
        <v>5</v>
      </c>
      <c r="AJ901">
        <v>0</v>
      </c>
      <c r="AK901">
        <v>9</v>
      </c>
      <c r="AL901" t="s">
        <v>14418</v>
      </c>
      <c r="AM901" t="s">
        <v>2733</v>
      </c>
      <c r="AN901" t="s">
        <v>14419</v>
      </c>
      <c r="AO901" t="s">
        <v>74</v>
      </c>
      <c r="AP901" t="s">
        <v>74</v>
      </c>
      <c r="AQ901" t="s">
        <v>16566</v>
      </c>
      <c r="AR901" t="s">
        <v>74</v>
      </c>
      <c r="AS901" t="s">
        <v>74</v>
      </c>
      <c r="AT901" t="s">
        <v>74</v>
      </c>
      <c r="AU901">
        <v>2012</v>
      </c>
      <c r="AV901" t="s">
        <v>74</v>
      </c>
      <c r="AW901" t="s">
        <v>74</v>
      </c>
      <c r="AX901" t="s">
        <v>74</v>
      </c>
      <c r="AY901" t="s">
        <v>74</v>
      </c>
      <c r="AZ901" t="s">
        <v>74</v>
      </c>
      <c r="BA901" t="s">
        <v>74</v>
      </c>
      <c r="BB901">
        <v>29</v>
      </c>
      <c r="BC901">
        <v>42</v>
      </c>
      <c r="BD901" t="s">
        <v>74</v>
      </c>
      <c r="BE901" t="s">
        <v>16567</v>
      </c>
      <c r="BF901" t="str">
        <f>HYPERLINK("http://dx.doi.org/10.1007/978-3-7091-0136-0_4","http://dx.doi.org/10.1007/978-3-7091-0136-0_4")</f>
        <v>http://dx.doi.org/10.1007/978-3-7091-0136-0_4</v>
      </c>
      <c r="BG901" t="s">
        <v>16568</v>
      </c>
      <c r="BH901" t="s">
        <v>74</v>
      </c>
      <c r="BI901">
        <v>14</v>
      </c>
      <c r="BJ901" t="s">
        <v>396</v>
      </c>
      <c r="BK901" t="s">
        <v>12155</v>
      </c>
      <c r="BL901" t="s">
        <v>396</v>
      </c>
      <c r="BM901" t="s">
        <v>16569</v>
      </c>
      <c r="BN901" t="s">
        <v>74</v>
      </c>
      <c r="BO901" t="s">
        <v>74</v>
      </c>
      <c r="BP901" t="s">
        <v>74</v>
      </c>
      <c r="BQ901" t="s">
        <v>74</v>
      </c>
      <c r="BR901" t="s">
        <v>101</v>
      </c>
      <c r="BS901" t="s">
        <v>16570</v>
      </c>
      <c r="BT901" t="str">
        <f>HYPERLINK("https%3A%2F%2Fwww.webofscience.com%2Fwos%2Fwoscc%2Ffull-record%2FWOS:000303896100004","View Full Record in Web of Science")</f>
        <v>View Full Record in Web of Science</v>
      </c>
    </row>
    <row r="902" spans="1:72" x14ac:dyDescent="0.15">
      <c r="A902" t="s">
        <v>72</v>
      </c>
      <c r="B902" t="s">
        <v>16571</v>
      </c>
      <c r="C902" t="s">
        <v>74</v>
      </c>
      <c r="D902" t="s">
        <v>74</v>
      </c>
      <c r="E902" t="s">
        <v>74</v>
      </c>
      <c r="F902" t="s">
        <v>16572</v>
      </c>
      <c r="G902" t="s">
        <v>74</v>
      </c>
      <c r="H902" t="s">
        <v>74</v>
      </c>
      <c r="I902" t="s">
        <v>16573</v>
      </c>
      <c r="J902" t="s">
        <v>13838</v>
      </c>
      <c r="K902" t="s">
        <v>74</v>
      </c>
      <c r="L902" t="s">
        <v>74</v>
      </c>
      <c r="M902" t="s">
        <v>78</v>
      </c>
      <c r="N902" t="s">
        <v>79</v>
      </c>
      <c r="O902" t="s">
        <v>74</v>
      </c>
      <c r="P902" t="s">
        <v>74</v>
      </c>
      <c r="Q902" t="s">
        <v>74</v>
      </c>
      <c r="R902" t="s">
        <v>74</v>
      </c>
      <c r="S902" t="s">
        <v>74</v>
      </c>
      <c r="T902" t="s">
        <v>74</v>
      </c>
      <c r="U902" t="s">
        <v>16574</v>
      </c>
      <c r="V902" t="s">
        <v>16575</v>
      </c>
      <c r="W902" t="s">
        <v>16576</v>
      </c>
      <c r="X902" t="s">
        <v>16577</v>
      </c>
      <c r="Y902" t="s">
        <v>16578</v>
      </c>
      <c r="Z902" t="s">
        <v>16579</v>
      </c>
      <c r="AA902" t="s">
        <v>16580</v>
      </c>
      <c r="AB902" t="s">
        <v>16581</v>
      </c>
      <c r="AC902" t="s">
        <v>16582</v>
      </c>
      <c r="AD902" t="s">
        <v>16583</v>
      </c>
      <c r="AE902" t="s">
        <v>16584</v>
      </c>
      <c r="AF902" t="s">
        <v>74</v>
      </c>
      <c r="AG902">
        <v>22</v>
      </c>
      <c r="AH902">
        <v>6</v>
      </c>
      <c r="AI902">
        <v>6</v>
      </c>
      <c r="AJ902">
        <v>0</v>
      </c>
      <c r="AK902">
        <v>5</v>
      </c>
      <c r="AL902" t="s">
        <v>12729</v>
      </c>
      <c r="AM902" t="s">
        <v>1112</v>
      </c>
      <c r="AN902" t="s">
        <v>12730</v>
      </c>
      <c r="AO902" t="s">
        <v>13846</v>
      </c>
      <c r="AP902" t="s">
        <v>74</v>
      </c>
      <c r="AQ902" t="s">
        <v>74</v>
      </c>
      <c r="AR902" t="s">
        <v>13848</v>
      </c>
      <c r="AS902" t="s">
        <v>13849</v>
      </c>
      <c r="AT902" t="s">
        <v>74</v>
      </c>
      <c r="AU902">
        <v>2012</v>
      </c>
      <c r="AV902">
        <v>58</v>
      </c>
      <c r="AW902">
        <v>208</v>
      </c>
      <c r="AX902" t="s">
        <v>74</v>
      </c>
      <c r="AY902" t="s">
        <v>74</v>
      </c>
      <c r="AZ902" t="s">
        <v>74</v>
      </c>
      <c r="BA902" t="s">
        <v>74</v>
      </c>
      <c r="BB902">
        <v>223</v>
      </c>
      <c r="BC902">
        <v>228</v>
      </c>
      <c r="BD902" t="s">
        <v>74</v>
      </c>
      <c r="BE902" t="s">
        <v>16585</v>
      </c>
      <c r="BF902" t="str">
        <f>HYPERLINK("http://dx.doi.org/10.3189/2012JoG10J206","http://dx.doi.org/10.3189/2012JoG10J206")</f>
        <v>http://dx.doi.org/10.3189/2012JoG10J206</v>
      </c>
      <c r="BG902" t="s">
        <v>74</v>
      </c>
      <c r="BH902" t="s">
        <v>74</v>
      </c>
      <c r="BI902">
        <v>6</v>
      </c>
      <c r="BJ902" t="s">
        <v>943</v>
      </c>
      <c r="BK902" t="s">
        <v>99</v>
      </c>
      <c r="BL902" t="s">
        <v>944</v>
      </c>
      <c r="BM902" t="s">
        <v>16586</v>
      </c>
      <c r="BN902" t="s">
        <v>74</v>
      </c>
      <c r="BO902" t="s">
        <v>217</v>
      </c>
      <c r="BP902" t="s">
        <v>74</v>
      </c>
      <c r="BQ902" t="s">
        <v>74</v>
      </c>
      <c r="BR902" t="s">
        <v>101</v>
      </c>
      <c r="BS902" t="s">
        <v>16587</v>
      </c>
      <c r="BT902" t="str">
        <f>HYPERLINK("https%3A%2F%2Fwww.webofscience.com%2Fwos%2Fwoscc%2Ffull-record%2FWOS:000303782900003","View Full Record in Web of Science")</f>
        <v>View Full Record in Web of Science</v>
      </c>
    </row>
    <row r="903" spans="1:72" x14ac:dyDescent="0.15">
      <c r="A903" t="s">
        <v>72</v>
      </c>
      <c r="B903" t="s">
        <v>16588</v>
      </c>
      <c r="C903" t="s">
        <v>74</v>
      </c>
      <c r="D903" t="s">
        <v>74</v>
      </c>
      <c r="E903" t="s">
        <v>74</v>
      </c>
      <c r="F903" t="s">
        <v>16589</v>
      </c>
      <c r="G903" t="s">
        <v>74</v>
      </c>
      <c r="H903" t="s">
        <v>74</v>
      </c>
      <c r="I903" t="s">
        <v>16590</v>
      </c>
      <c r="J903" t="s">
        <v>13838</v>
      </c>
      <c r="K903" t="s">
        <v>74</v>
      </c>
      <c r="L903" t="s">
        <v>74</v>
      </c>
      <c r="M903" t="s">
        <v>78</v>
      </c>
      <c r="N903" t="s">
        <v>79</v>
      </c>
      <c r="O903" t="s">
        <v>74</v>
      </c>
      <c r="P903" t="s">
        <v>74</v>
      </c>
      <c r="Q903" t="s">
        <v>74</v>
      </c>
      <c r="R903" t="s">
        <v>74</v>
      </c>
      <c r="S903" t="s">
        <v>74</v>
      </c>
      <c r="T903" t="s">
        <v>74</v>
      </c>
      <c r="U903" t="s">
        <v>16591</v>
      </c>
      <c r="V903" t="s">
        <v>16592</v>
      </c>
      <c r="W903" t="s">
        <v>16593</v>
      </c>
      <c r="X903" t="s">
        <v>16577</v>
      </c>
      <c r="Y903" t="s">
        <v>16594</v>
      </c>
      <c r="Z903" t="s">
        <v>16595</v>
      </c>
      <c r="AA903" t="s">
        <v>16596</v>
      </c>
      <c r="AB903" t="s">
        <v>16597</v>
      </c>
      <c r="AC903" t="s">
        <v>16598</v>
      </c>
      <c r="AD903" t="s">
        <v>16599</v>
      </c>
      <c r="AE903" t="s">
        <v>16600</v>
      </c>
      <c r="AF903" t="s">
        <v>74</v>
      </c>
      <c r="AG903">
        <v>85</v>
      </c>
      <c r="AH903">
        <v>50</v>
      </c>
      <c r="AI903">
        <v>52</v>
      </c>
      <c r="AJ903">
        <v>0</v>
      </c>
      <c r="AK903">
        <v>10</v>
      </c>
      <c r="AL903" t="s">
        <v>1111</v>
      </c>
      <c r="AM903" t="s">
        <v>1112</v>
      </c>
      <c r="AN903" t="s">
        <v>1113</v>
      </c>
      <c r="AO903" t="s">
        <v>13846</v>
      </c>
      <c r="AP903" t="s">
        <v>13847</v>
      </c>
      <c r="AQ903" t="s">
        <v>74</v>
      </c>
      <c r="AR903" t="s">
        <v>13848</v>
      </c>
      <c r="AS903" t="s">
        <v>13849</v>
      </c>
      <c r="AT903" t="s">
        <v>74</v>
      </c>
      <c r="AU903">
        <v>2012</v>
      </c>
      <c r="AV903">
        <v>58</v>
      </c>
      <c r="AW903">
        <v>208</v>
      </c>
      <c r="AX903" t="s">
        <v>74</v>
      </c>
      <c r="AY903" t="s">
        <v>74</v>
      </c>
      <c r="AZ903" t="s">
        <v>74</v>
      </c>
      <c r="BA903" t="s">
        <v>74</v>
      </c>
      <c r="BB903">
        <v>301</v>
      </c>
      <c r="BC903">
        <v>314</v>
      </c>
      <c r="BD903" t="s">
        <v>74</v>
      </c>
      <c r="BE903" t="s">
        <v>16601</v>
      </c>
      <c r="BF903" t="str">
        <f>HYPERLINK("http://dx.doi.org/10.3189/2012JoG11J149","http://dx.doi.org/10.3189/2012JoG11J149")</f>
        <v>http://dx.doi.org/10.3189/2012JoG11J149</v>
      </c>
      <c r="BG903" t="s">
        <v>74</v>
      </c>
      <c r="BH903" t="s">
        <v>74</v>
      </c>
      <c r="BI903">
        <v>14</v>
      </c>
      <c r="BJ903" t="s">
        <v>943</v>
      </c>
      <c r="BK903" t="s">
        <v>99</v>
      </c>
      <c r="BL903" t="s">
        <v>944</v>
      </c>
      <c r="BM903" t="s">
        <v>16586</v>
      </c>
      <c r="BN903" t="s">
        <v>74</v>
      </c>
      <c r="BO903" t="s">
        <v>217</v>
      </c>
      <c r="BP903" t="s">
        <v>74</v>
      </c>
      <c r="BQ903" t="s">
        <v>74</v>
      </c>
      <c r="BR903" t="s">
        <v>101</v>
      </c>
      <c r="BS903" t="s">
        <v>16602</v>
      </c>
      <c r="BT903" t="str">
        <f>HYPERLINK("https%3A%2F%2Fwww.webofscience.com%2Fwos%2Fwoscc%2Ffull-record%2FWOS:000303782900010","View Full Record in Web of Science")</f>
        <v>View Full Record in Web of Science</v>
      </c>
    </row>
    <row r="904" spans="1:72" x14ac:dyDescent="0.15">
      <c r="A904" t="s">
        <v>72</v>
      </c>
      <c r="B904" t="s">
        <v>16603</v>
      </c>
      <c r="C904" t="s">
        <v>74</v>
      </c>
      <c r="D904" t="s">
        <v>74</v>
      </c>
      <c r="E904" t="s">
        <v>74</v>
      </c>
      <c r="F904" t="s">
        <v>16604</v>
      </c>
      <c r="G904" t="s">
        <v>74</v>
      </c>
      <c r="H904" t="s">
        <v>74</v>
      </c>
      <c r="I904" t="s">
        <v>16605</v>
      </c>
      <c r="J904" t="s">
        <v>13838</v>
      </c>
      <c r="K904" t="s">
        <v>74</v>
      </c>
      <c r="L904" t="s">
        <v>74</v>
      </c>
      <c r="M904" t="s">
        <v>78</v>
      </c>
      <c r="N904" t="s">
        <v>79</v>
      </c>
      <c r="O904" t="s">
        <v>74</v>
      </c>
      <c r="P904" t="s">
        <v>74</v>
      </c>
      <c r="Q904" t="s">
        <v>74</v>
      </c>
      <c r="R904" t="s">
        <v>74</v>
      </c>
      <c r="S904" t="s">
        <v>74</v>
      </c>
      <c r="T904" t="s">
        <v>74</v>
      </c>
      <c r="U904" t="s">
        <v>16606</v>
      </c>
      <c r="V904" t="s">
        <v>16607</v>
      </c>
      <c r="W904" t="s">
        <v>16608</v>
      </c>
      <c r="X904" t="s">
        <v>205</v>
      </c>
      <c r="Y904" t="s">
        <v>16609</v>
      </c>
      <c r="Z904" t="s">
        <v>16610</v>
      </c>
      <c r="AA904" t="s">
        <v>16611</v>
      </c>
      <c r="AB904" t="s">
        <v>16612</v>
      </c>
      <c r="AC904" t="s">
        <v>16613</v>
      </c>
      <c r="AD904" t="s">
        <v>4205</v>
      </c>
      <c r="AE904" t="s">
        <v>16614</v>
      </c>
      <c r="AF904" t="s">
        <v>74</v>
      </c>
      <c r="AG904">
        <v>21</v>
      </c>
      <c r="AH904">
        <v>52</v>
      </c>
      <c r="AI904">
        <v>54</v>
      </c>
      <c r="AJ904">
        <v>2</v>
      </c>
      <c r="AK904">
        <v>23</v>
      </c>
      <c r="AL904" t="s">
        <v>12729</v>
      </c>
      <c r="AM904" t="s">
        <v>1112</v>
      </c>
      <c r="AN904" t="s">
        <v>12730</v>
      </c>
      <c r="AO904" t="s">
        <v>13846</v>
      </c>
      <c r="AP904" t="s">
        <v>74</v>
      </c>
      <c r="AQ904" t="s">
        <v>74</v>
      </c>
      <c r="AR904" t="s">
        <v>13848</v>
      </c>
      <c r="AS904" t="s">
        <v>13849</v>
      </c>
      <c r="AT904" t="s">
        <v>74</v>
      </c>
      <c r="AU904">
        <v>2012</v>
      </c>
      <c r="AV904">
        <v>58</v>
      </c>
      <c r="AW904">
        <v>208</v>
      </c>
      <c r="AX904" t="s">
        <v>74</v>
      </c>
      <c r="AY904" t="s">
        <v>74</v>
      </c>
      <c r="AZ904" t="s">
        <v>74</v>
      </c>
      <c r="BA904" t="s">
        <v>74</v>
      </c>
      <c r="BB904">
        <v>325</v>
      </c>
      <c r="BC904">
        <v>339</v>
      </c>
      <c r="BD904" t="s">
        <v>74</v>
      </c>
      <c r="BE904" t="s">
        <v>16615</v>
      </c>
      <c r="BF904" t="str">
        <f>HYPERLINK("http://dx.doi.org/10.3189/2012J0G11J020","http://dx.doi.org/10.3189/2012J0G11J020")</f>
        <v>http://dx.doi.org/10.3189/2012J0G11J020</v>
      </c>
      <c r="BG904" t="s">
        <v>74</v>
      </c>
      <c r="BH904" t="s">
        <v>74</v>
      </c>
      <c r="BI904">
        <v>15</v>
      </c>
      <c r="BJ904" t="s">
        <v>943</v>
      </c>
      <c r="BK904" t="s">
        <v>99</v>
      </c>
      <c r="BL904" t="s">
        <v>944</v>
      </c>
      <c r="BM904" t="s">
        <v>16586</v>
      </c>
      <c r="BN904" t="s">
        <v>74</v>
      </c>
      <c r="BO904" t="s">
        <v>217</v>
      </c>
      <c r="BP904" t="s">
        <v>74</v>
      </c>
      <c r="BQ904" t="s">
        <v>74</v>
      </c>
      <c r="BR904" t="s">
        <v>101</v>
      </c>
      <c r="BS904" t="s">
        <v>16616</v>
      </c>
      <c r="BT904" t="str">
        <f>HYPERLINK("https%3A%2F%2Fwww.webofscience.com%2Fwos%2Fwoscc%2Ffull-record%2FWOS:000303782900012","View Full Record in Web of Science")</f>
        <v>View Full Record in Web of Science</v>
      </c>
    </row>
    <row r="905" spans="1:72" x14ac:dyDescent="0.15">
      <c r="A905" t="s">
        <v>72</v>
      </c>
      <c r="B905" t="s">
        <v>16617</v>
      </c>
      <c r="C905" t="s">
        <v>74</v>
      </c>
      <c r="D905" t="s">
        <v>74</v>
      </c>
      <c r="E905" t="s">
        <v>74</v>
      </c>
      <c r="F905" t="s">
        <v>16618</v>
      </c>
      <c r="G905" t="s">
        <v>74</v>
      </c>
      <c r="H905" t="s">
        <v>74</v>
      </c>
      <c r="I905" t="s">
        <v>16619</v>
      </c>
      <c r="J905" t="s">
        <v>13838</v>
      </c>
      <c r="K905" t="s">
        <v>74</v>
      </c>
      <c r="L905" t="s">
        <v>74</v>
      </c>
      <c r="M905" t="s">
        <v>78</v>
      </c>
      <c r="N905" t="s">
        <v>79</v>
      </c>
      <c r="O905" t="s">
        <v>74</v>
      </c>
      <c r="P905" t="s">
        <v>74</v>
      </c>
      <c r="Q905" t="s">
        <v>74</v>
      </c>
      <c r="R905" t="s">
        <v>74</v>
      </c>
      <c r="S905" t="s">
        <v>74</v>
      </c>
      <c r="T905" t="s">
        <v>74</v>
      </c>
      <c r="U905" t="s">
        <v>16620</v>
      </c>
      <c r="V905" t="s">
        <v>16621</v>
      </c>
      <c r="W905" t="s">
        <v>16622</v>
      </c>
      <c r="X905" t="s">
        <v>16623</v>
      </c>
      <c r="Y905" t="s">
        <v>16624</v>
      </c>
      <c r="Z905" t="s">
        <v>16625</v>
      </c>
      <c r="AA905" t="s">
        <v>16626</v>
      </c>
      <c r="AB905" t="s">
        <v>16627</v>
      </c>
      <c r="AC905" t="s">
        <v>16628</v>
      </c>
      <c r="AD905" t="s">
        <v>16629</v>
      </c>
      <c r="AE905" t="s">
        <v>16630</v>
      </c>
      <c r="AF905" t="s">
        <v>74</v>
      </c>
      <c r="AG905">
        <v>33</v>
      </c>
      <c r="AH905">
        <v>27</v>
      </c>
      <c r="AI905">
        <v>31</v>
      </c>
      <c r="AJ905">
        <v>1</v>
      </c>
      <c r="AK905">
        <v>20</v>
      </c>
      <c r="AL905" t="s">
        <v>1111</v>
      </c>
      <c r="AM905" t="s">
        <v>1112</v>
      </c>
      <c r="AN905" t="s">
        <v>1113</v>
      </c>
      <c r="AO905" t="s">
        <v>13846</v>
      </c>
      <c r="AP905" t="s">
        <v>13847</v>
      </c>
      <c r="AQ905" t="s">
        <v>74</v>
      </c>
      <c r="AR905" t="s">
        <v>13848</v>
      </c>
      <c r="AS905" t="s">
        <v>13849</v>
      </c>
      <c r="AT905" t="s">
        <v>74</v>
      </c>
      <c r="AU905">
        <v>2012</v>
      </c>
      <c r="AV905">
        <v>58</v>
      </c>
      <c r="AW905">
        <v>208</v>
      </c>
      <c r="AX905" t="s">
        <v>74</v>
      </c>
      <c r="AY905" t="s">
        <v>74</v>
      </c>
      <c r="AZ905" t="s">
        <v>74</v>
      </c>
      <c r="BA905" t="s">
        <v>74</v>
      </c>
      <c r="BB905">
        <v>399</v>
      </c>
      <c r="BC905">
        <v>406</v>
      </c>
      <c r="BD905" t="s">
        <v>74</v>
      </c>
      <c r="BE905" t="s">
        <v>16631</v>
      </c>
      <c r="BF905" t="str">
        <f>HYPERLINK("http://dx.doi.org/10.3189/2012JoG11J176","http://dx.doi.org/10.3189/2012JoG11J176")</f>
        <v>http://dx.doi.org/10.3189/2012JoG11J176</v>
      </c>
      <c r="BG905" t="s">
        <v>74</v>
      </c>
      <c r="BH905" t="s">
        <v>74</v>
      </c>
      <c r="BI905">
        <v>8</v>
      </c>
      <c r="BJ905" t="s">
        <v>943</v>
      </c>
      <c r="BK905" t="s">
        <v>99</v>
      </c>
      <c r="BL905" t="s">
        <v>944</v>
      </c>
      <c r="BM905" t="s">
        <v>16586</v>
      </c>
      <c r="BN905" t="s">
        <v>74</v>
      </c>
      <c r="BO905" t="s">
        <v>217</v>
      </c>
      <c r="BP905" t="s">
        <v>74</v>
      </c>
      <c r="BQ905" t="s">
        <v>74</v>
      </c>
      <c r="BR905" t="s">
        <v>101</v>
      </c>
      <c r="BS905" t="s">
        <v>16632</v>
      </c>
      <c r="BT905" t="str">
        <f>HYPERLINK("https%3A%2F%2Fwww.webofscience.com%2Fwos%2Fwoscc%2Ffull-record%2FWOS:000303782900018","View Full Record in Web of Science")</f>
        <v>View Full Record in Web of Science</v>
      </c>
    </row>
    <row r="906" spans="1:72" x14ac:dyDescent="0.15">
      <c r="A906" t="s">
        <v>72</v>
      </c>
      <c r="B906" t="s">
        <v>16633</v>
      </c>
      <c r="C906" t="s">
        <v>74</v>
      </c>
      <c r="D906" t="s">
        <v>74</v>
      </c>
      <c r="E906" t="s">
        <v>74</v>
      </c>
      <c r="F906" t="s">
        <v>16634</v>
      </c>
      <c r="G906" t="s">
        <v>74</v>
      </c>
      <c r="H906" t="s">
        <v>74</v>
      </c>
      <c r="I906" t="s">
        <v>16635</v>
      </c>
      <c r="J906" t="s">
        <v>16636</v>
      </c>
      <c r="K906" t="s">
        <v>74</v>
      </c>
      <c r="L906" t="s">
        <v>74</v>
      </c>
      <c r="M906" t="s">
        <v>78</v>
      </c>
      <c r="N906" t="s">
        <v>79</v>
      </c>
      <c r="O906" t="s">
        <v>74</v>
      </c>
      <c r="P906" t="s">
        <v>74</v>
      </c>
      <c r="Q906" t="s">
        <v>74</v>
      </c>
      <c r="R906" t="s">
        <v>74</v>
      </c>
      <c r="S906" t="s">
        <v>74</v>
      </c>
      <c r="T906" t="s">
        <v>74</v>
      </c>
      <c r="U906" t="s">
        <v>16637</v>
      </c>
      <c r="V906" t="s">
        <v>16638</v>
      </c>
      <c r="W906" t="s">
        <v>16639</v>
      </c>
      <c r="X906" t="s">
        <v>16640</v>
      </c>
      <c r="Y906" t="s">
        <v>16641</v>
      </c>
      <c r="Z906" t="s">
        <v>16642</v>
      </c>
      <c r="AA906" t="s">
        <v>16643</v>
      </c>
      <c r="AB906" t="s">
        <v>16644</v>
      </c>
      <c r="AC906" t="s">
        <v>74</v>
      </c>
      <c r="AD906" t="s">
        <v>74</v>
      </c>
      <c r="AE906" t="s">
        <v>74</v>
      </c>
      <c r="AF906" t="s">
        <v>74</v>
      </c>
      <c r="AG906">
        <v>55</v>
      </c>
      <c r="AH906">
        <v>5</v>
      </c>
      <c r="AI906">
        <v>6</v>
      </c>
      <c r="AJ906">
        <v>1</v>
      </c>
      <c r="AK906">
        <v>11</v>
      </c>
      <c r="AL906" t="s">
        <v>12312</v>
      </c>
      <c r="AM906" t="s">
        <v>12313</v>
      </c>
      <c r="AN906" t="s">
        <v>15912</v>
      </c>
      <c r="AO906" t="s">
        <v>16645</v>
      </c>
      <c r="AP906" t="s">
        <v>74</v>
      </c>
      <c r="AQ906" t="s">
        <v>74</v>
      </c>
      <c r="AR906" t="s">
        <v>16646</v>
      </c>
      <c r="AS906" t="s">
        <v>16647</v>
      </c>
      <c r="AT906" t="s">
        <v>74</v>
      </c>
      <c r="AU906">
        <v>2012</v>
      </c>
      <c r="AV906">
        <v>9</v>
      </c>
      <c r="AW906">
        <v>2</v>
      </c>
      <c r="AX906" t="s">
        <v>74</v>
      </c>
      <c r="AY906" t="s">
        <v>74</v>
      </c>
      <c r="AZ906" t="s">
        <v>74</v>
      </c>
      <c r="BA906" t="s">
        <v>74</v>
      </c>
      <c r="BB906">
        <v>109</v>
      </c>
      <c r="BC906">
        <v>115</v>
      </c>
      <c r="BD906" t="s">
        <v>74</v>
      </c>
      <c r="BE906" t="s">
        <v>16648</v>
      </c>
      <c r="BF906" t="str">
        <f>HYPERLINK("http://dx.doi.org/10.1071/EN10074","http://dx.doi.org/10.1071/EN10074")</f>
        <v>http://dx.doi.org/10.1071/EN10074</v>
      </c>
      <c r="BG906" t="s">
        <v>74</v>
      </c>
      <c r="BH906" t="s">
        <v>74</v>
      </c>
      <c r="BI906">
        <v>7</v>
      </c>
      <c r="BJ906" t="s">
        <v>7773</v>
      </c>
      <c r="BK906" t="s">
        <v>99</v>
      </c>
      <c r="BL906" t="s">
        <v>7774</v>
      </c>
      <c r="BM906" t="s">
        <v>16649</v>
      </c>
      <c r="BN906" t="s">
        <v>74</v>
      </c>
      <c r="BO906" t="s">
        <v>1094</v>
      </c>
      <c r="BP906" t="s">
        <v>74</v>
      </c>
      <c r="BQ906" t="s">
        <v>74</v>
      </c>
      <c r="BR906" t="s">
        <v>101</v>
      </c>
      <c r="BS906" t="s">
        <v>16650</v>
      </c>
      <c r="BT906" t="str">
        <f>HYPERLINK("https%3A%2F%2Fwww.webofscience.com%2Fwos%2Fwoscc%2Ffull-record%2FWOS:000303509300003","View Full Record in Web of Science")</f>
        <v>View Full Record in Web of Science</v>
      </c>
    </row>
    <row r="907" spans="1:72" x14ac:dyDescent="0.15">
      <c r="A907" t="s">
        <v>72</v>
      </c>
      <c r="B907" t="s">
        <v>16651</v>
      </c>
      <c r="C907" t="s">
        <v>74</v>
      </c>
      <c r="D907" t="s">
        <v>74</v>
      </c>
      <c r="E907" t="s">
        <v>74</v>
      </c>
      <c r="F907" t="s">
        <v>16652</v>
      </c>
      <c r="G907" t="s">
        <v>74</v>
      </c>
      <c r="H907" t="s">
        <v>74</v>
      </c>
      <c r="I907" t="s">
        <v>16653</v>
      </c>
      <c r="J907" t="s">
        <v>13628</v>
      </c>
      <c r="K907" t="s">
        <v>74</v>
      </c>
      <c r="L907" t="s">
        <v>74</v>
      </c>
      <c r="M907" t="s">
        <v>78</v>
      </c>
      <c r="N907" t="s">
        <v>79</v>
      </c>
      <c r="O907" t="s">
        <v>74</v>
      </c>
      <c r="P907" t="s">
        <v>74</v>
      </c>
      <c r="Q907" t="s">
        <v>74</v>
      </c>
      <c r="R907" t="s">
        <v>74</v>
      </c>
      <c r="S907" t="s">
        <v>74</v>
      </c>
      <c r="T907" t="s">
        <v>16654</v>
      </c>
      <c r="U907" t="s">
        <v>16655</v>
      </c>
      <c r="V907" t="s">
        <v>16656</v>
      </c>
      <c r="W907" t="s">
        <v>16657</v>
      </c>
      <c r="X907" t="s">
        <v>16658</v>
      </c>
      <c r="Y907" t="s">
        <v>16659</v>
      </c>
      <c r="Z907" t="s">
        <v>16660</v>
      </c>
      <c r="AA907" t="s">
        <v>16661</v>
      </c>
      <c r="AB907" t="s">
        <v>16662</v>
      </c>
      <c r="AC907" t="s">
        <v>16663</v>
      </c>
      <c r="AD907" t="s">
        <v>16664</v>
      </c>
      <c r="AE907" t="s">
        <v>16665</v>
      </c>
      <c r="AF907" t="s">
        <v>74</v>
      </c>
      <c r="AG907">
        <v>103</v>
      </c>
      <c r="AH907">
        <v>62</v>
      </c>
      <c r="AI907">
        <v>67</v>
      </c>
      <c r="AJ907">
        <v>2</v>
      </c>
      <c r="AK907">
        <v>75</v>
      </c>
      <c r="AL907" t="s">
        <v>13640</v>
      </c>
      <c r="AM907" t="s">
        <v>13641</v>
      </c>
      <c r="AN907" t="s">
        <v>13642</v>
      </c>
      <c r="AO907" t="s">
        <v>13643</v>
      </c>
      <c r="AP907" t="s">
        <v>13644</v>
      </c>
      <c r="AQ907" t="s">
        <v>74</v>
      </c>
      <c r="AR907" t="s">
        <v>13645</v>
      </c>
      <c r="AS907" t="s">
        <v>13646</v>
      </c>
      <c r="AT907" t="s">
        <v>74</v>
      </c>
      <c r="AU907">
        <v>2012</v>
      </c>
      <c r="AV907">
        <v>453</v>
      </c>
      <c r="AW907" t="s">
        <v>74</v>
      </c>
      <c r="AX907" t="s">
        <v>74</v>
      </c>
      <c r="AY907" t="s">
        <v>74</v>
      </c>
      <c r="AZ907" t="s">
        <v>74</v>
      </c>
      <c r="BA907" t="s">
        <v>74</v>
      </c>
      <c r="BB907">
        <v>279</v>
      </c>
      <c r="BC907">
        <v>296</v>
      </c>
      <c r="BD907" t="s">
        <v>74</v>
      </c>
      <c r="BE907" t="s">
        <v>16666</v>
      </c>
      <c r="BF907" t="str">
        <f>HYPERLINK("http://dx.doi.org/10.3354/meps09649","http://dx.doi.org/10.3354/meps09649")</f>
        <v>http://dx.doi.org/10.3354/meps09649</v>
      </c>
      <c r="BG907" t="s">
        <v>74</v>
      </c>
      <c r="BH907" t="s">
        <v>74</v>
      </c>
      <c r="BI907">
        <v>18</v>
      </c>
      <c r="BJ907" t="s">
        <v>13648</v>
      </c>
      <c r="BK907" t="s">
        <v>99</v>
      </c>
      <c r="BL907" t="s">
        <v>13649</v>
      </c>
      <c r="BM907" t="s">
        <v>16667</v>
      </c>
      <c r="BN907" t="s">
        <v>74</v>
      </c>
      <c r="BO907" t="s">
        <v>217</v>
      </c>
      <c r="BP907" t="s">
        <v>74</v>
      </c>
      <c r="BQ907" t="s">
        <v>74</v>
      </c>
      <c r="BR907" t="s">
        <v>101</v>
      </c>
      <c r="BS907" t="s">
        <v>16668</v>
      </c>
      <c r="BT907" t="str">
        <f>HYPERLINK("https%3A%2F%2Fwww.webofscience.com%2Fwos%2Fwoscc%2Ffull-record%2FWOS:000303670200016","View Full Record in Web of Science")</f>
        <v>View Full Record in Web of Science</v>
      </c>
    </row>
    <row r="908" spans="1:72" x14ac:dyDescent="0.15">
      <c r="A908" t="s">
        <v>72</v>
      </c>
      <c r="B908" t="s">
        <v>16669</v>
      </c>
      <c r="C908" t="s">
        <v>74</v>
      </c>
      <c r="D908" t="s">
        <v>74</v>
      </c>
      <c r="E908" t="s">
        <v>74</v>
      </c>
      <c r="F908" t="s">
        <v>16670</v>
      </c>
      <c r="G908" t="s">
        <v>74</v>
      </c>
      <c r="H908" t="s">
        <v>74</v>
      </c>
      <c r="I908" t="s">
        <v>16671</v>
      </c>
      <c r="J908" t="s">
        <v>1009</v>
      </c>
      <c r="K908" t="s">
        <v>74</v>
      </c>
      <c r="L908" t="s">
        <v>74</v>
      </c>
      <c r="M908" t="s">
        <v>78</v>
      </c>
      <c r="N908" t="s">
        <v>79</v>
      </c>
      <c r="O908" t="s">
        <v>74</v>
      </c>
      <c r="P908" t="s">
        <v>74</v>
      </c>
      <c r="Q908" t="s">
        <v>74</v>
      </c>
      <c r="R908" t="s">
        <v>74</v>
      </c>
      <c r="S908" t="s">
        <v>74</v>
      </c>
      <c r="T908" t="s">
        <v>16672</v>
      </c>
      <c r="U908" t="s">
        <v>16673</v>
      </c>
      <c r="V908" t="s">
        <v>16674</v>
      </c>
      <c r="W908" t="s">
        <v>16675</v>
      </c>
      <c r="X908" t="s">
        <v>16676</v>
      </c>
      <c r="Y908" t="s">
        <v>16677</v>
      </c>
      <c r="Z908" t="s">
        <v>388</v>
      </c>
      <c r="AA908" t="s">
        <v>74</v>
      </c>
      <c r="AB908" t="s">
        <v>74</v>
      </c>
      <c r="AC908" t="s">
        <v>74</v>
      </c>
      <c r="AD908" t="s">
        <v>74</v>
      </c>
      <c r="AE908" t="s">
        <v>74</v>
      </c>
      <c r="AF908" t="s">
        <v>74</v>
      </c>
      <c r="AG908">
        <v>52</v>
      </c>
      <c r="AH908">
        <v>12</v>
      </c>
      <c r="AI908">
        <v>13</v>
      </c>
      <c r="AJ908">
        <v>0</v>
      </c>
      <c r="AK908">
        <v>11</v>
      </c>
      <c r="AL908" t="s">
        <v>1022</v>
      </c>
      <c r="AM908" t="s">
        <v>1023</v>
      </c>
      <c r="AN908" t="s">
        <v>1024</v>
      </c>
      <c r="AO908" t="s">
        <v>1025</v>
      </c>
      <c r="AP908" t="s">
        <v>1026</v>
      </c>
      <c r="AQ908" t="s">
        <v>74</v>
      </c>
      <c r="AR908" t="s">
        <v>1009</v>
      </c>
      <c r="AS908" t="s">
        <v>1027</v>
      </c>
      <c r="AT908" t="s">
        <v>74</v>
      </c>
      <c r="AU908">
        <v>2012</v>
      </c>
      <c r="AV908" t="s">
        <v>74</v>
      </c>
      <c r="AW908" t="s">
        <v>74</v>
      </c>
      <c r="AX908" t="s">
        <v>74</v>
      </c>
      <c r="AY908">
        <v>141</v>
      </c>
      <c r="AZ908" t="s">
        <v>74</v>
      </c>
      <c r="BA908" t="s">
        <v>74</v>
      </c>
      <c r="BB908">
        <v>201</v>
      </c>
      <c r="BC908">
        <v>236</v>
      </c>
      <c r="BD908" t="s">
        <v>74</v>
      </c>
      <c r="BE908" t="s">
        <v>74</v>
      </c>
      <c r="BF908" t="s">
        <v>74</v>
      </c>
      <c r="BG908" t="s">
        <v>74</v>
      </c>
      <c r="BH908" t="s">
        <v>74</v>
      </c>
      <c r="BI908">
        <v>36</v>
      </c>
      <c r="BJ908" t="s">
        <v>396</v>
      </c>
      <c r="BK908" t="s">
        <v>99</v>
      </c>
      <c r="BL908" t="s">
        <v>396</v>
      </c>
      <c r="BM908" t="s">
        <v>16678</v>
      </c>
      <c r="BN908" t="s">
        <v>74</v>
      </c>
      <c r="BO908" t="s">
        <v>74</v>
      </c>
      <c r="BP908" t="s">
        <v>74</v>
      </c>
      <c r="BQ908" t="s">
        <v>74</v>
      </c>
      <c r="BR908" t="s">
        <v>101</v>
      </c>
      <c r="BS908" t="s">
        <v>16679</v>
      </c>
      <c r="BT908" t="str">
        <f>HYPERLINK("https%3A%2F%2Fwww.webofscience.com%2Fwos%2Fwoscc%2Ffull-record%2FWOS:000301990400014","View Full Record in Web of Science")</f>
        <v>View Full Record in Web of Science</v>
      </c>
    </row>
    <row r="909" spans="1:72" x14ac:dyDescent="0.15">
      <c r="A909" t="s">
        <v>12134</v>
      </c>
      <c r="B909" t="s">
        <v>16680</v>
      </c>
      <c r="C909" t="s">
        <v>74</v>
      </c>
      <c r="D909" t="s">
        <v>16681</v>
      </c>
      <c r="E909" t="s">
        <v>74</v>
      </c>
      <c r="F909" t="s">
        <v>16682</v>
      </c>
      <c r="G909" t="s">
        <v>74</v>
      </c>
      <c r="H909" t="s">
        <v>74</v>
      </c>
      <c r="I909" t="s">
        <v>16683</v>
      </c>
      <c r="J909" t="s">
        <v>16684</v>
      </c>
      <c r="K909" t="s">
        <v>16685</v>
      </c>
      <c r="L909" t="s">
        <v>74</v>
      </c>
      <c r="M909" t="s">
        <v>78</v>
      </c>
      <c r="N909" t="s">
        <v>12141</v>
      </c>
      <c r="O909" t="s">
        <v>74</v>
      </c>
      <c r="P909" t="s">
        <v>74</v>
      </c>
      <c r="Q909" t="s">
        <v>74</v>
      </c>
      <c r="R909" t="s">
        <v>74</v>
      </c>
      <c r="S909" t="s">
        <v>74</v>
      </c>
      <c r="T909" t="s">
        <v>16686</v>
      </c>
      <c r="U909" t="s">
        <v>16687</v>
      </c>
      <c r="V909" t="s">
        <v>16688</v>
      </c>
      <c r="W909" t="s">
        <v>16689</v>
      </c>
      <c r="X909" t="s">
        <v>16690</v>
      </c>
      <c r="Y909" t="s">
        <v>16691</v>
      </c>
      <c r="Z909" t="s">
        <v>74</v>
      </c>
      <c r="AA909" t="s">
        <v>16692</v>
      </c>
      <c r="AB909" t="s">
        <v>16693</v>
      </c>
      <c r="AC909" t="s">
        <v>74</v>
      </c>
      <c r="AD909" t="s">
        <v>74</v>
      </c>
      <c r="AE909" t="s">
        <v>74</v>
      </c>
      <c r="AF909" t="s">
        <v>74</v>
      </c>
      <c r="AG909">
        <v>19</v>
      </c>
      <c r="AH909">
        <v>12</v>
      </c>
      <c r="AI909">
        <v>12</v>
      </c>
      <c r="AJ909">
        <v>0</v>
      </c>
      <c r="AK909">
        <v>9</v>
      </c>
      <c r="AL909" t="s">
        <v>16694</v>
      </c>
      <c r="AM909" t="s">
        <v>16695</v>
      </c>
      <c r="AN909" t="s">
        <v>16696</v>
      </c>
      <c r="AO909" t="s">
        <v>16697</v>
      </c>
      <c r="AP909" t="s">
        <v>74</v>
      </c>
      <c r="AQ909" t="s">
        <v>16698</v>
      </c>
      <c r="AR909" t="s">
        <v>16699</v>
      </c>
      <c r="AS909" t="s">
        <v>16700</v>
      </c>
      <c r="AT909" t="s">
        <v>74</v>
      </c>
      <c r="AU909">
        <v>2012</v>
      </c>
      <c r="AV909">
        <v>824</v>
      </c>
      <c r="AW909" t="s">
        <v>74</v>
      </c>
      <c r="AX909" t="s">
        <v>74</v>
      </c>
      <c r="AY909" t="s">
        <v>74</v>
      </c>
      <c r="AZ909" t="s">
        <v>74</v>
      </c>
      <c r="BA909" t="s">
        <v>74</v>
      </c>
      <c r="BB909">
        <v>203</v>
      </c>
      <c r="BC909">
        <v>218</v>
      </c>
      <c r="BD909" t="s">
        <v>74</v>
      </c>
      <c r="BE909" t="s">
        <v>16701</v>
      </c>
      <c r="BF909" t="str">
        <f>HYPERLINK("http://dx.doi.org/10.1007/978-1-61779-433-9_10","http://dx.doi.org/10.1007/978-1-61779-433-9_10")</f>
        <v>http://dx.doi.org/10.1007/978-1-61779-433-9_10</v>
      </c>
      <c r="BG909" t="s">
        <v>16702</v>
      </c>
      <c r="BH909" t="s">
        <v>74</v>
      </c>
      <c r="BI909">
        <v>16</v>
      </c>
      <c r="BJ909" t="s">
        <v>16703</v>
      </c>
      <c r="BK909" t="s">
        <v>12155</v>
      </c>
      <c r="BL909" t="s">
        <v>16041</v>
      </c>
      <c r="BM909" t="s">
        <v>16704</v>
      </c>
      <c r="BN909">
        <v>22160900</v>
      </c>
      <c r="BO909" t="s">
        <v>74</v>
      </c>
      <c r="BP909" t="s">
        <v>74</v>
      </c>
      <c r="BQ909" t="s">
        <v>74</v>
      </c>
      <c r="BR909" t="s">
        <v>101</v>
      </c>
      <c r="BS909" t="s">
        <v>16705</v>
      </c>
      <c r="BT909" t="str">
        <f>HYPERLINK("https%3A%2F%2Fwww.webofscience.com%2Fwos%2Fwoscc%2Ffull-record%2FWOS:000303413800010","View Full Record in Web of Science")</f>
        <v>View Full Record in Web of Science</v>
      </c>
    </row>
    <row r="910" spans="1:72" x14ac:dyDescent="0.15">
      <c r="A910" t="s">
        <v>12134</v>
      </c>
      <c r="B910" t="s">
        <v>16706</v>
      </c>
      <c r="C910" t="s">
        <v>74</v>
      </c>
      <c r="D910" t="s">
        <v>16681</v>
      </c>
      <c r="E910" t="s">
        <v>74</v>
      </c>
      <c r="F910" t="s">
        <v>16707</v>
      </c>
      <c r="G910" t="s">
        <v>74</v>
      </c>
      <c r="H910" t="s">
        <v>74</v>
      </c>
      <c r="I910" t="s">
        <v>16708</v>
      </c>
      <c r="J910" t="s">
        <v>16684</v>
      </c>
      <c r="K910" t="s">
        <v>16685</v>
      </c>
      <c r="L910" t="s">
        <v>74</v>
      </c>
      <c r="M910" t="s">
        <v>78</v>
      </c>
      <c r="N910" t="s">
        <v>12141</v>
      </c>
      <c r="O910" t="s">
        <v>74</v>
      </c>
      <c r="P910" t="s">
        <v>74</v>
      </c>
      <c r="Q910" t="s">
        <v>74</v>
      </c>
      <c r="R910" t="s">
        <v>74</v>
      </c>
      <c r="S910" t="s">
        <v>74</v>
      </c>
      <c r="T910" t="s">
        <v>16709</v>
      </c>
      <c r="U910" t="s">
        <v>16710</v>
      </c>
      <c r="V910" t="s">
        <v>16711</v>
      </c>
      <c r="W910" t="s">
        <v>16712</v>
      </c>
      <c r="X910" t="s">
        <v>16690</v>
      </c>
      <c r="Y910" t="s">
        <v>16713</v>
      </c>
      <c r="Z910" t="s">
        <v>74</v>
      </c>
      <c r="AA910" t="s">
        <v>16714</v>
      </c>
      <c r="AB910" t="s">
        <v>16715</v>
      </c>
      <c r="AC910" t="s">
        <v>74</v>
      </c>
      <c r="AD910" t="s">
        <v>74</v>
      </c>
      <c r="AE910" t="s">
        <v>74</v>
      </c>
      <c r="AF910" t="s">
        <v>74</v>
      </c>
      <c r="AG910">
        <v>19</v>
      </c>
      <c r="AH910">
        <v>15</v>
      </c>
      <c r="AI910">
        <v>15</v>
      </c>
      <c r="AJ910">
        <v>0</v>
      </c>
      <c r="AK910">
        <v>6</v>
      </c>
      <c r="AL910" t="s">
        <v>16694</v>
      </c>
      <c r="AM910" t="s">
        <v>16695</v>
      </c>
      <c r="AN910" t="s">
        <v>16696</v>
      </c>
      <c r="AO910" t="s">
        <v>16697</v>
      </c>
      <c r="AP910" t="s">
        <v>16716</v>
      </c>
      <c r="AQ910" t="s">
        <v>16717</v>
      </c>
      <c r="AR910" t="s">
        <v>16699</v>
      </c>
      <c r="AS910" t="s">
        <v>16700</v>
      </c>
      <c r="AT910" t="s">
        <v>74</v>
      </c>
      <c r="AU910">
        <v>2012</v>
      </c>
      <c r="AV910">
        <v>824</v>
      </c>
      <c r="AW910" t="s">
        <v>74</v>
      </c>
      <c r="AX910" t="s">
        <v>74</v>
      </c>
      <c r="AY910" t="s">
        <v>74</v>
      </c>
      <c r="AZ910" t="s">
        <v>74</v>
      </c>
      <c r="BA910" t="s">
        <v>74</v>
      </c>
      <c r="BB910">
        <v>219</v>
      </c>
      <c r="BC910">
        <v>233</v>
      </c>
      <c r="BD910" t="s">
        <v>74</v>
      </c>
      <c r="BE910" t="s">
        <v>16718</v>
      </c>
      <c r="BF910" t="str">
        <f>HYPERLINK("http://dx.doi.org/10.1007/978-1-61779-433-9_11","http://dx.doi.org/10.1007/978-1-61779-433-9_11")</f>
        <v>http://dx.doi.org/10.1007/978-1-61779-433-9_11</v>
      </c>
      <c r="BG910" t="s">
        <v>16702</v>
      </c>
      <c r="BH910" t="s">
        <v>74</v>
      </c>
      <c r="BI910">
        <v>15</v>
      </c>
      <c r="BJ910" t="s">
        <v>16703</v>
      </c>
      <c r="BK910" t="s">
        <v>12155</v>
      </c>
      <c r="BL910" t="s">
        <v>16041</v>
      </c>
      <c r="BM910" t="s">
        <v>16704</v>
      </c>
      <c r="BN910">
        <v>22160901</v>
      </c>
      <c r="BO910" t="s">
        <v>74</v>
      </c>
      <c r="BP910" t="s">
        <v>74</v>
      </c>
      <c r="BQ910" t="s">
        <v>74</v>
      </c>
      <c r="BR910" t="s">
        <v>101</v>
      </c>
      <c r="BS910" t="s">
        <v>16719</v>
      </c>
      <c r="BT910" t="str">
        <f>HYPERLINK("https%3A%2F%2Fwww.webofscience.com%2Fwos%2Fwoscc%2Ffull-record%2FWOS:000303413800011","View Full Record in Web of Science")</f>
        <v>View Full Record in Web of Science</v>
      </c>
    </row>
    <row r="911" spans="1:72" x14ac:dyDescent="0.15">
      <c r="A911" t="s">
        <v>72</v>
      </c>
      <c r="B911" t="s">
        <v>16720</v>
      </c>
      <c r="C911" t="s">
        <v>74</v>
      </c>
      <c r="D911" t="s">
        <v>74</v>
      </c>
      <c r="E911" t="s">
        <v>74</v>
      </c>
      <c r="F911" t="s">
        <v>16721</v>
      </c>
      <c r="G911" t="s">
        <v>74</v>
      </c>
      <c r="H911" t="s">
        <v>74</v>
      </c>
      <c r="I911" t="s">
        <v>16722</v>
      </c>
      <c r="J911" t="s">
        <v>13981</v>
      </c>
      <c r="K911" t="s">
        <v>74</v>
      </c>
      <c r="L911" t="s">
        <v>74</v>
      </c>
      <c r="M911" t="s">
        <v>78</v>
      </c>
      <c r="N911" t="s">
        <v>79</v>
      </c>
      <c r="O911" t="s">
        <v>74</v>
      </c>
      <c r="P911" t="s">
        <v>74</v>
      </c>
      <c r="Q911" t="s">
        <v>74</v>
      </c>
      <c r="R911" t="s">
        <v>74</v>
      </c>
      <c r="S911" t="s">
        <v>74</v>
      </c>
      <c r="T911" t="s">
        <v>16723</v>
      </c>
      <c r="U911" t="s">
        <v>16724</v>
      </c>
      <c r="V911" t="s">
        <v>16725</v>
      </c>
      <c r="W911" t="s">
        <v>16726</v>
      </c>
      <c r="X911" t="s">
        <v>16727</v>
      </c>
      <c r="Y911" t="s">
        <v>16728</v>
      </c>
      <c r="Z911" t="s">
        <v>16729</v>
      </c>
      <c r="AA911" t="s">
        <v>74</v>
      </c>
      <c r="AB911" t="s">
        <v>16730</v>
      </c>
      <c r="AC911" t="s">
        <v>74</v>
      </c>
      <c r="AD911" t="s">
        <v>74</v>
      </c>
      <c r="AE911" t="s">
        <v>74</v>
      </c>
      <c r="AF911" t="s">
        <v>74</v>
      </c>
      <c r="AG911">
        <v>70</v>
      </c>
      <c r="AH911">
        <v>21</v>
      </c>
      <c r="AI911">
        <v>21</v>
      </c>
      <c r="AJ911">
        <v>2</v>
      </c>
      <c r="AK911">
        <v>32</v>
      </c>
      <c r="AL911" t="s">
        <v>13640</v>
      </c>
      <c r="AM911" t="s">
        <v>13641</v>
      </c>
      <c r="AN911" t="s">
        <v>13642</v>
      </c>
      <c r="AO911" t="s">
        <v>13994</v>
      </c>
      <c r="AP911" t="s">
        <v>13995</v>
      </c>
      <c r="AQ911" t="s">
        <v>74</v>
      </c>
      <c r="AR911" t="s">
        <v>13996</v>
      </c>
      <c r="AS911" t="s">
        <v>13997</v>
      </c>
      <c r="AT911" t="s">
        <v>74</v>
      </c>
      <c r="AU911">
        <v>2012</v>
      </c>
      <c r="AV911">
        <v>15</v>
      </c>
      <c r="AW911">
        <v>1</v>
      </c>
      <c r="AX911" t="s">
        <v>74</v>
      </c>
      <c r="AY911" t="s">
        <v>74</v>
      </c>
      <c r="AZ911" t="s">
        <v>74</v>
      </c>
      <c r="BA911" t="s">
        <v>74</v>
      </c>
      <c r="BB911">
        <v>11</v>
      </c>
      <c r="BC911">
        <v>25</v>
      </c>
      <c r="BD911" t="s">
        <v>74</v>
      </c>
      <c r="BE911" t="s">
        <v>16731</v>
      </c>
      <c r="BF911" t="str">
        <f>HYPERLINK("http://dx.doi.org/10.3354/ab00396","http://dx.doi.org/10.3354/ab00396")</f>
        <v>http://dx.doi.org/10.3354/ab00396</v>
      </c>
      <c r="BG911" t="s">
        <v>74</v>
      </c>
      <c r="BH911" t="s">
        <v>74</v>
      </c>
      <c r="BI911">
        <v>15</v>
      </c>
      <c r="BJ911" t="s">
        <v>588</v>
      </c>
      <c r="BK911" t="s">
        <v>99</v>
      </c>
      <c r="BL911" t="s">
        <v>588</v>
      </c>
      <c r="BM911" t="s">
        <v>16732</v>
      </c>
      <c r="BN911" t="s">
        <v>74</v>
      </c>
      <c r="BO911" t="s">
        <v>217</v>
      </c>
      <c r="BP911" t="s">
        <v>74</v>
      </c>
      <c r="BQ911" t="s">
        <v>74</v>
      </c>
      <c r="BR911" t="s">
        <v>101</v>
      </c>
      <c r="BS911" t="s">
        <v>16733</v>
      </c>
      <c r="BT911" t="str">
        <f>HYPERLINK("https%3A%2F%2Fwww.webofscience.com%2Fwos%2Fwoscc%2Ffull-record%2FWOS:000303206400002","View Full Record in Web of Science")</f>
        <v>View Full Record in Web of Science</v>
      </c>
    </row>
    <row r="912" spans="1:72" x14ac:dyDescent="0.15">
      <c r="A912" t="s">
        <v>72</v>
      </c>
      <c r="B912" t="s">
        <v>16734</v>
      </c>
      <c r="C912" t="s">
        <v>74</v>
      </c>
      <c r="D912" t="s">
        <v>74</v>
      </c>
      <c r="E912" t="s">
        <v>74</v>
      </c>
      <c r="F912" t="s">
        <v>16735</v>
      </c>
      <c r="G912" t="s">
        <v>74</v>
      </c>
      <c r="H912" t="s">
        <v>74</v>
      </c>
      <c r="I912" t="s">
        <v>16736</v>
      </c>
      <c r="J912" t="s">
        <v>16737</v>
      </c>
      <c r="K912" t="s">
        <v>74</v>
      </c>
      <c r="L912" t="s">
        <v>74</v>
      </c>
      <c r="M912" t="s">
        <v>78</v>
      </c>
      <c r="N912" t="s">
        <v>1073</v>
      </c>
      <c r="O912" t="s">
        <v>74</v>
      </c>
      <c r="P912" t="s">
        <v>74</v>
      </c>
      <c r="Q912" t="s">
        <v>74</v>
      </c>
      <c r="R912" t="s">
        <v>74</v>
      </c>
      <c r="S912" t="s">
        <v>74</v>
      </c>
      <c r="T912" t="s">
        <v>16738</v>
      </c>
      <c r="U912" t="s">
        <v>16739</v>
      </c>
      <c r="V912" t="s">
        <v>16740</v>
      </c>
      <c r="W912" t="s">
        <v>16741</v>
      </c>
      <c r="X912" t="s">
        <v>16742</v>
      </c>
      <c r="Y912" t="s">
        <v>16743</v>
      </c>
      <c r="Z912" t="s">
        <v>16744</v>
      </c>
      <c r="AA912" t="s">
        <v>74</v>
      </c>
      <c r="AB912" t="s">
        <v>74</v>
      </c>
      <c r="AC912" t="s">
        <v>16745</v>
      </c>
      <c r="AD912" t="s">
        <v>16746</v>
      </c>
      <c r="AE912" t="s">
        <v>16747</v>
      </c>
      <c r="AF912" t="s">
        <v>74</v>
      </c>
      <c r="AG912">
        <v>135</v>
      </c>
      <c r="AH912">
        <v>91</v>
      </c>
      <c r="AI912">
        <v>109</v>
      </c>
      <c r="AJ912">
        <v>1</v>
      </c>
      <c r="AK912">
        <v>73</v>
      </c>
      <c r="AL912" t="s">
        <v>14681</v>
      </c>
      <c r="AM912" t="s">
        <v>14682</v>
      </c>
      <c r="AN912" t="s">
        <v>14683</v>
      </c>
      <c r="AO912" t="s">
        <v>16748</v>
      </c>
      <c r="AP912" t="s">
        <v>16749</v>
      </c>
      <c r="AQ912" t="s">
        <v>74</v>
      </c>
      <c r="AR912" t="s">
        <v>16750</v>
      </c>
      <c r="AS912" t="s">
        <v>16751</v>
      </c>
      <c r="AT912" t="s">
        <v>74</v>
      </c>
      <c r="AU912">
        <v>2012</v>
      </c>
      <c r="AV912">
        <v>29</v>
      </c>
      <c r="AW912">
        <v>4</v>
      </c>
      <c r="AX912" t="s">
        <v>74</v>
      </c>
      <c r="AY912" t="s">
        <v>74</v>
      </c>
      <c r="AZ912" t="s">
        <v>74</v>
      </c>
      <c r="BA912" t="s">
        <v>74</v>
      </c>
      <c r="BB912">
        <v>379</v>
      </c>
      <c r="BC912">
        <v>394</v>
      </c>
      <c r="BD912" t="s">
        <v>74</v>
      </c>
      <c r="BE912" t="s">
        <v>16752</v>
      </c>
      <c r="BF912" t="str">
        <f>HYPERLINK("http://dx.doi.org/10.3109/07420528.2012.668997","http://dx.doi.org/10.3109/07420528.2012.668997")</f>
        <v>http://dx.doi.org/10.3109/07420528.2012.668997</v>
      </c>
      <c r="BG912" t="s">
        <v>74</v>
      </c>
      <c r="BH912" t="s">
        <v>74</v>
      </c>
      <c r="BI912">
        <v>16</v>
      </c>
      <c r="BJ912" t="s">
        <v>16753</v>
      </c>
      <c r="BK912" t="s">
        <v>99</v>
      </c>
      <c r="BL912" t="s">
        <v>16754</v>
      </c>
      <c r="BM912" t="s">
        <v>16755</v>
      </c>
      <c r="BN912">
        <v>22497433</v>
      </c>
      <c r="BO912" t="s">
        <v>328</v>
      </c>
      <c r="BP912" t="s">
        <v>74</v>
      </c>
      <c r="BQ912" t="s">
        <v>74</v>
      </c>
      <c r="BR912" t="s">
        <v>101</v>
      </c>
      <c r="BS912" t="s">
        <v>16756</v>
      </c>
      <c r="BT912" t="str">
        <f>HYPERLINK("https%3A%2F%2Fwww.webofscience.com%2Fwos%2Fwoscc%2Ffull-record%2FWOS:000303246400001","View Full Record in Web of Science")</f>
        <v>View Full Record in Web of Science</v>
      </c>
    </row>
    <row r="913" spans="1:72" x14ac:dyDescent="0.15">
      <c r="A913" t="s">
        <v>12256</v>
      </c>
      <c r="B913" t="s">
        <v>16757</v>
      </c>
      <c r="C913" t="s">
        <v>74</v>
      </c>
      <c r="D913" t="s">
        <v>16758</v>
      </c>
      <c r="E913" t="s">
        <v>74</v>
      </c>
      <c r="F913" t="s">
        <v>16759</v>
      </c>
      <c r="G913" t="s">
        <v>74</v>
      </c>
      <c r="H913" t="s">
        <v>74</v>
      </c>
      <c r="I913" t="s">
        <v>16760</v>
      </c>
      <c r="J913" t="s">
        <v>16761</v>
      </c>
      <c r="K913" t="s">
        <v>16762</v>
      </c>
      <c r="L913" t="s">
        <v>74</v>
      </c>
      <c r="M913" t="s">
        <v>78</v>
      </c>
      <c r="N913" t="s">
        <v>12141</v>
      </c>
      <c r="O913" t="s">
        <v>74</v>
      </c>
      <c r="P913" t="s">
        <v>74</v>
      </c>
      <c r="Q913" t="s">
        <v>74</v>
      </c>
      <c r="R913" t="s">
        <v>74</v>
      </c>
      <c r="S913" t="s">
        <v>74</v>
      </c>
      <c r="T913" t="s">
        <v>16763</v>
      </c>
      <c r="U913" t="s">
        <v>16764</v>
      </c>
      <c r="V913" t="s">
        <v>16765</v>
      </c>
      <c r="W913" t="s">
        <v>16766</v>
      </c>
      <c r="X913" t="s">
        <v>16767</v>
      </c>
      <c r="Y913" t="s">
        <v>16768</v>
      </c>
      <c r="Z913" t="s">
        <v>16769</v>
      </c>
      <c r="AA913" t="s">
        <v>74</v>
      </c>
      <c r="AB913" t="s">
        <v>16770</v>
      </c>
      <c r="AC913" t="s">
        <v>74</v>
      </c>
      <c r="AD913" t="s">
        <v>74</v>
      </c>
      <c r="AE913" t="s">
        <v>74</v>
      </c>
      <c r="AF913" t="s">
        <v>74</v>
      </c>
      <c r="AG913">
        <v>131</v>
      </c>
      <c r="AH913">
        <v>0</v>
      </c>
      <c r="AI913">
        <v>0</v>
      </c>
      <c r="AJ913">
        <v>4</v>
      </c>
      <c r="AK913">
        <v>24</v>
      </c>
      <c r="AL913" t="s">
        <v>14418</v>
      </c>
      <c r="AM913" t="s">
        <v>2733</v>
      </c>
      <c r="AN913" t="s">
        <v>14419</v>
      </c>
      <c r="AO913" t="s">
        <v>74</v>
      </c>
      <c r="AP913" t="s">
        <v>74</v>
      </c>
      <c r="AQ913" t="s">
        <v>16771</v>
      </c>
      <c r="AR913" t="s">
        <v>16772</v>
      </c>
      <c r="AS913" t="s">
        <v>74</v>
      </c>
      <c r="AT913" t="s">
        <v>74</v>
      </c>
      <c r="AU913">
        <v>2012</v>
      </c>
      <c r="AV913" t="s">
        <v>74</v>
      </c>
      <c r="AW913" t="s">
        <v>74</v>
      </c>
      <c r="AX913" t="s">
        <v>74</v>
      </c>
      <c r="AY913" t="s">
        <v>74</v>
      </c>
      <c r="AZ913" t="s">
        <v>74</v>
      </c>
      <c r="BA913" t="s">
        <v>74</v>
      </c>
      <c r="BB913">
        <v>163</v>
      </c>
      <c r="BC913">
        <v>191</v>
      </c>
      <c r="BD913" t="s">
        <v>74</v>
      </c>
      <c r="BE913" t="s">
        <v>16773</v>
      </c>
      <c r="BF913" t="str">
        <f>HYPERLINK("http://dx.doi.org/10.1007/978-94-007-1591-2_5","http://dx.doi.org/10.1007/978-94-007-1591-2_5")</f>
        <v>http://dx.doi.org/10.1007/978-94-007-1591-2_5</v>
      </c>
      <c r="BG913" t="s">
        <v>16774</v>
      </c>
      <c r="BH913" t="s">
        <v>74</v>
      </c>
      <c r="BI913">
        <v>29</v>
      </c>
      <c r="BJ913" t="s">
        <v>1258</v>
      </c>
      <c r="BK913" t="s">
        <v>12155</v>
      </c>
      <c r="BL913" t="s">
        <v>1259</v>
      </c>
      <c r="BM913" t="s">
        <v>16775</v>
      </c>
      <c r="BN913" t="s">
        <v>74</v>
      </c>
      <c r="BO913" t="s">
        <v>74</v>
      </c>
      <c r="BP913" t="s">
        <v>74</v>
      </c>
      <c r="BQ913" t="s">
        <v>74</v>
      </c>
      <c r="BR913" t="s">
        <v>101</v>
      </c>
      <c r="BS913" t="s">
        <v>16776</v>
      </c>
      <c r="BT913" t="str">
        <f>HYPERLINK("https%3A%2F%2Fwww.webofscience.com%2Fwos%2Fwoscc%2Ffull-record%2FWOS:000302879400005","View Full Record in Web of Science")</f>
        <v>View Full Record in Web of Science</v>
      </c>
    </row>
    <row r="914" spans="1:72" x14ac:dyDescent="0.15">
      <c r="A914" t="s">
        <v>72</v>
      </c>
      <c r="B914" t="s">
        <v>16777</v>
      </c>
      <c r="C914" t="s">
        <v>74</v>
      </c>
      <c r="D914" t="s">
        <v>74</v>
      </c>
      <c r="E914" t="s">
        <v>74</v>
      </c>
      <c r="F914" t="s">
        <v>16778</v>
      </c>
      <c r="G914" t="s">
        <v>74</v>
      </c>
      <c r="H914" t="s">
        <v>74</v>
      </c>
      <c r="I914" t="s">
        <v>16779</v>
      </c>
      <c r="J914" t="s">
        <v>13628</v>
      </c>
      <c r="K914" t="s">
        <v>74</v>
      </c>
      <c r="L914" t="s">
        <v>74</v>
      </c>
      <c r="M914" t="s">
        <v>78</v>
      </c>
      <c r="N914" t="s">
        <v>79</v>
      </c>
      <c r="O914" t="s">
        <v>74</v>
      </c>
      <c r="P914" t="s">
        <v>74</v>
      </c>
      <c r="Q914" t="s">
        <v>74</v>
      </c>
      <c r="R914" t="s">
        <v>74</v>
      </c>
      <c r="S914" t="s">
        <v>74</v>
      </c>
      <c r="T914" t="s">
        <v>16780</v>
      </c>
      <c r="U914" t="s">
        <v>16781</v>
      </c>
      <c r="V914" t="s">
        <v>16782</v>
      </c>
      <c r="W914" t="s">
        <v>16783</v>
      </c>
      <c r="X914" t="s">
        <v>16784</v>
      </c>
      <c r="Y914" t="s">
        <v>16785</v>
      </c>
      <c r="Z914" t="s">
        <v>16786</v>
      </c>
      <c r="AA914" t="s">
        <v>74</v>
      </c>
      <c r="AB914" t="s">
        <v>74</v>
      </c>
      <c r="AC914" t="s">
        <v>16787</v>
      </c>
      <c r="AD914" t="s">
        <v>16788</v>
      </c>
      <c r="AE914" t="s">
        <v>16789</v>
      </c>
      <c r="AF914" t="s">
        <v>74</v>
      </c>
      <c r="AG914">
        <v>50</v>
      </c>
      <c r="AH914">
        <v>20</v>
      </c>
      <c r="AI914">
        <v>22</v>
      </c>
      <c r="AJ914">
        <v>0</v>
      </c>
      <c r="AK914">
        <v>46</v>
      </c>
      <c r="AL914" t="s">
        <v>13640</v>
      </c>
      <c r="AM914" t="s">
        <v>13641</v>
      </c>
      <c r="AN914" t="s">
        <v>13642</v>
      </c>
      <c r="AO914" t="s">
        <v>13643</v>
      </c>
      <c r="AP914" t="s">
        <v>74</v>
      </c>
      <c r="AQ914" t="s">
        <v>74</v>
      </c>
      <c r="AR914" t="s">
        <v>13645</v>
      </c>
      <c r="AS914" t="s">
        <v>13646</v>
      </c>
      <c r="AT914" t="s">
        <v>74</v>
      </c>
      <c r="AU914">
        <v>2012</v>
      </c>
      <c r="AV914">
        <v>452</v>
      </c>
      <c r="AW914" t="s">
        <v>74</v>
      </c>
      <c r="AX914" t="s">
        <v>74</v>
      </c>
      <c r="AY914" t="s">
        <v>74</v>
      </c>
      <c r="AZ914" t="s">
        <v>74</v>
      </c>
      <c r="BA914" t="s">
        <v>74</v>
      </c>
      <c r="BB914">
        <v>27</v>
      </c>
      <c r="BC914">
        <v>43</v>
      </c>
      <c r="BD914" t="s">
        <v>74</v>
      </c>
      <c r="BE914" t="s">
        <v>16790</v>
      </c>
      <c r="BF914" t="str">
        <f>HYPERLINK("http://dx.doi.org/10.3354/meps09409","http://dx.doi.org/10.3354/meps09409")</f>
        <v>http://dx.doi.org/10.3354/meps09409</v>
      </c>
      <c r="BG914" t="s">
        <v>74</v>
      </c>
      <c r="BH914" t="s">
        <v>74</v>
      </c>
      <c r="BI914">
        <v>17</v>
      </c>
      <c r="BJ914" t="s">
        <v>13648</v>
      </c>
      <c r="BK914" t="s">
        <v>99</v>
      </c>
      <c r="BL914" t="s">
        <v>13649</v>
      </c>
      <c r="BM914" t="s">
        <v>16791</v>
      </c>
      <c r="BN914" t="s">
        <v>74</v>
      </c>
      <c r="BO914" t="s">
        <v>217</v>
      </c>
      <c r="BP914" t="s">
        <v>74</v>
      </c>
      <c r="BQ914" t="s">
        <v>74</v>
      </c>
      <c r="BR914" t="s">
        <v>101</v>
      </c>
      <c r="BS914" t="s">
        <v>16792</v>
      </c>
      <c r="BT914" t="str">
        <f>HYPERLINK("https%3A%2F%2Fwww.webofscience.com%2Fwos%2Fwoscc%2Ffull-record%2FWOS:000303213900003","View Full Record in Web of Science")</f>
        <v>View Full Record in Web of Science</v>
      </c>
    </row>
    <row r="915" spans="1:72" x14ac:dyDescent="0.15">
      <c r="A915" t="s">
        <v>72</v>
      </c>
      <c r="B915" t="s">
        <v>16793</v>
      </c>
      <c r="C915" t="s">
        <v>74</v>
      </c>
      <c r="D915" t="s">
        <v>74</v>
      </c>
      <c r="E915" t="s">
        <v>74</v>
      </c>
      <c r="F915" t="s">
        <v>16794</v>
      </c>
      <c r="G915" t="s">
        <v>74</v>
      </c>
      <c r="H915" t="s">
        <v>74</v>
      </c>
      <c r="I915" t="s">
        <v>16795</v>
      </c>
      <c r="J915" t="s">
        <v>13628</v>
      </c>
      <c r="K915" t="s">
        <v>74</v>
      </c>
      <c r="L915" t="s">
        <v>74</v>
      </c>
      <c r="M915" t="s">
        <v>78</v>
      </c>
      <c r="N915" t="s">
        <v>79</v>
      </c>
      <c r="O915" t="s">
        <v>74</v>
      </c>
      <c r="P915" t="s">
        <v>74</v>
      </c>
      <c r="Q915" t="s">
        <v>74</v>
      </c>
      <c r="R915" t="s">
        <v>74</v>
      </c>
      <c r="S915" t="s">
        <v>74</v>
      </c>
      <c r="T915" t="s">
        <v>16796</v>
      </c>
      <c r="U915" t="s">
        <v>16797</v>
      </c>
      <c r="V915" t="s">
        <v>16798</v>
      </c>
      <c r="W915" t="s">
        <v>16799</v>
      </c>
      <c r="X915" t="s">
        <v>16800</v>
      </c>
      <c r="Y915" t="s">
        <v>16801</v>
      </c>
      <c r="Z915" t="s">
        <v>16802</v>
      </c>
      <c r="AA915" t="s">
        <v>74</v>
      </c>
      <c r="AB915" t="s">
        <v>16803</v>
      </c>
      <c r="AC915" t="s">
        <v>16804</v>
      </c>
      <c r="AD915" t="s">
        <v>16805</v>
      </c>
      <c r="AE915" t="s">
        <v>16806</v>
      </c>
      <c r="AF915" t="s">
        <v>74</v>
      </c>
      <c r="AG915">
        <v>76</v>
      </c>
      <c r="AH915">
        <v>25</v>
      </c>
      <c r="AI915">
        <v>27</v>
      </c>
      <c r="AJ915">
        <v>2</v>
      </c>
      <c r="AK915">
        <v>33</v>
      </c>
      <c r="AL915" t="s">
        <v>13640</v>
      </c>
      <c r="AM915" t="s">
        <v>13641</v>
      </c>
      <c r="AN915" t="s">
        <v>13642</v>
      </c>
      <c r="AO915" t="s">
        <v>13643</v>
      </c>
      <c r="AP915" t="s">
        <v>13644</v>
      </c>
      <c r="AQ915" t="s">
        <v>74</v>
      </c>
      <c r="AR915" t="s">
        <v>13645</v>
      </c>
      <c r="AS915" t="s">
        <v>13646</v>
      </c>
      <c r="AT915" t="s">
        <v>74</v>
      </c>
      <c r="AU915">
        <v>2012</v>
      </c>
      <c r="AV915">
        <v>452</v>
      </c>
      <c r="AW915" t="s">
        <v>74</v>
      </c>
      <c r="AX915" t="s">
        <v>74</v>
      </c>
      <c r="AY915" t="s">
        <v>74</v>
      </c>
      <c r="AZ915" t="s">
        <v>74</v>
      </c>
      <c r="BA915" t="s">
        <v>74</v>
      </c>
      <c r="BB915">
        <v>45</v>
      </c>
      <c r="BC915">
        <v>61</v>
      </c>
      <c r="BD915" t="s">
        <v>74</v>
      </c>
      <c r="BE915" t="s">
        <v>16807</v>
      </c>
      <c r="BF915" t="str">
        <f>HYPERLINK("http://dx.doi.org/10.3354/meps09704","http://dx.doi.org/10.3354/meps09704")</f>
        <v>http://dx.doi.org/10.3354/meps09704</v>
      </c>
      <c r="BG915" t="s">
        <v>74</v>
      </c>
      <c r="BH915" t="s">
        <v>74</v>
      </c>
      <c r="BI915">
        <v>17</v>
      </c>
      <c r="BJ915" t="s">
        <v>13648</v>
      </c>
      <c r="BK915" t="s">
        <v>99</v>
      </c>
      <c r="BL915" t="s">
        <v>13649</v>
      </c>
      <c r="BM915" t="s">
        <v>16791</v>
      </c>
      <c r="BN915" t="s">
        <v>74</v>
      </c>
      <c r="BO915" t="s">
        <v>217</v>
      </c>
      <c r="BP915" t="s">
        <v>74</v>
      </c>
      <c r="BQ915" t="s">
        <v>74</v>
      </c>
      <c r="BR915" t="s">
        <v>101</v>
      </c>
      <c r="BS915" t="s">
        <v>16808</v>
      </c>
      <c r="BT915" t="str">
        <f>HYPERLINK("https%3A%2F%2Fwww.webofscience.com%2Fwos%2Fwoscc%2Ffull-record%2FWOS:000303213900004","View Full Record in Web of Science")</f>
        <v>View Full Record in Web of Science</v>
      </c>
    </row>
    <row r="916" spans="1:72" x14ac:dyDescent="0.15">
      <c r="A916" t="s">
        <v>72</v>
      </c>
      <c r="B916" t="s">
        <v>16809</v>
      </c>
      <c r="C916" t="s">
        <v>74</v>
      </c>
      <c r="D916" t="s">
        <v>74</v>
      </c>
      <c r="E916" t="s">
        <v>74</v>
      </c>
      <c r="F916" t="s">
        <v>16810</v>
      </c>
      <c r="G916" t="s">
        <v>74</v>
      </c>
      <c r="H916" t="s">
        <v>74</v>
      </c>
      <c r="I916" t="s">
        <v>16811</v>
      </c>
      <c r="J916" t="s">
        <v>13628</v>
      </c>
      <c r="K916" t="s">
        <v>74</v>
      </c>
      <c r="L916" t="s">
        <v>74</v>
      </c>
      <c r="M916" t="s">
        <v>78</v>
      </c>
      <c r="N916" t="s">
        <v>79</v>
      </c>
      <c r="O916" t="s">
        <v>74</v>
      </c>
      <c r="P916" t="s">
        <v>74</v>
      </c>
      <c r="Q916" t="s">
        <v>74</v>
      </c>
      <c r="R916" t="s">
        <v>74</v>
      </c>
      <c r="S916" t="s">
        <v>74</v>
      </c>
      <c r="T916" t="s">
        <v>16812</v>
      </c>
      <c r="U916" t="s">
        <v>16813</v>
      </c>
      <c r="V916" t="s">
        <v>16814</v>
      </c>
      <c r="W916" t="s">
        <v>16815</v>
      </c>
      <c r="X916" t="s">
        <v>16816</v>
      </c>
      <c r="Y916" t="s">
        <v>16817</v>
      </c>
      <c r="Z916" t="s">
        <v>16818</v>
      </c>
      <c r="AA916" t="s">
        <v>16819</v>
      </c>
      <c r="AB916" t="s">
        <v>16820</v>
      </c>
      <c r="AC916" t="s">
        <v>16821</v>
      </c>
      <c r="AD916" t="s">
        <v>16822</v>
      </c>
      <c r="AE916" t="s">
        <v>16823</v>
      </c>
      <c r="AF916" t="s">
        <v>74</v>
      </c>
      <c r="AG916">
        <v>85</v>
      </c>
      <c r="AH916">
        <v>25</v>
      </c>
      <c r="AI916">
        <v>31</v>
      </c>
      <c r="AJ916">
        <v>2</v>
      </c>
      <c r="AK916">
        <v>41</v>
      </c>
      <c r="AL916" t="s">
        <v>13640</v>
      </c>
      <c r="AM916" t="s">
        <v>13641</v>
      </c>
      <c r="AN916" t="s">
        <v>13642</v>
      </c>
      <c r="AO916" t="s">
        <v>13643</v>
      </c>
      <c r="AP916" t="s">
        <v>13644</v>
      </c>
      <c r="AQ916" t="s">
        <v>74</v>
      </c>
      <c r="AR916" t="s">
        <v>13645</v>
      </c>
      <c r="AS916" t="s">
        <v>13646</v>
      </c>
      <c r="AT916" t="s">
        <v>74</v>
      </c>
      <c r="AU916">
        <v>2012</v>
      </c>
      <c r="AV916">
        <v>452</v>
      </c>
      <c r="AW916" t="s">
        <v>74</v>
      </c>
      <c r="AX916" t="s">
        <v>74</v>
      </c>
      <c r="AY916" t="s">
        <v>74</v>
      </c>
      <c r="AZ916" t="s">
        <v>74</v>
      </c>
      <c r="BA916" t="s">
        <v>74</v>
      </c>
      <c r="BB916">
        <v>63</v>
      </c>
      <c r="BC916">
        <v>80</v>
      </c>
      <c r="BD916" t="s">
        <v>74</v>
      </c>
      <c r="BE916" t="s">
        <v>16824</v>
      </c>
      <c r="BF916" t="str">
        <f>HYPERLINK("http://dx.doi.org/10.3354/meps09626","http://dx.doi.org/10.3354/meps09626")</f>
        <v>http://dx.doi.org/10.3354/meps09626</v>
      </c>
      <c r="BG916" t="s">
        <v>74</v>
      </c>
      <c r="BH916" t="s">
        <v>74</v>
      </c>
      <c r="BI916">
        <v>18</v>
      </c>
      <c r="BJ916" t="s">
        <v>13648</v>
      </c>
      <c r="BK916" t="s">
        <v>99</v>
      </c>
      <c r="BL916" t="s">
        <v>13649</v>
      </c>
      <c r="BM916" t="s">
        <v>16791</v>
      </c>
      <c r="BN916" t="s">
        <v>74</v>
      </c>
      <c r="BO916" t="s">
        <v>777</v>
      </c>
      <c r="BP916" t="s">
        <v>74</v>
      </c>
      <c r="BQ916" t="s">
        <v>74</v>
      </c>
      <c r="BR916" t="s">
        <v>101</v>
      </c>
      <c r="BS916" t="s">
        <v>16825</v>
      </c>
      <c r="BT916" t="str">
        <f>HYPERLINK("https%3A%2F%2Fwww.webofscience.com%2Fwos%2Fwoscc%2Ffull-record%2FWOS:000303213900005","View Full Record in Web of Science")</f>
        <v>View Full Record in Web of Science</v>
      </c>
    </row>
    <row r="917" spans="1:72" x14ac:dyDescent="0.15">
      <c r="A917" t="s">
        <v>72</v>
      </c>
      <c r="B917" t="s">
        <v>16826</v>
      </c>
      <c r="C917" t="s">
        <v>74</v>
      </c>
      <c r="D917" t="s">
        <v>74</v>
      </c>
      <c r="E917" t="s">
        <v>74</v>
      </c>
      <c r="F917" t="s">
        <v>16827</v>
      </c>
      <c r="G917" t="s">
        <v>74</v>
      </c>
      <c r="H917" t="s">
        <v>74</v>
      </c>
      <c r="I917" t="s">
        <v>16828</v>
      </c>
      <c r="J917" t="s">
        <v>13628</v>
      </c>
      <c r="K917" t="s">
        <v>74</v>
      </c>
      <c r="L917" t="s">
        <v>74</v>
      </c>
      <c r="M917" t="s">
        <v>78</v>
      </c>
      <c r="N917" t="s">
        <v>79</v>
      </c>
      <c r="O917" t="s">
        <v>74</v>
      </c>
      <c r="P917" t="s">
        <v>74</v>
      </c>
      <c r="Q917" t="s">
        <v>74</v>
      </c>
      <c r="R917" t="s">
        <v>74</v>
      </c>
      <c r="S917" t="s">
        <v>74</v>
      </c>
      <c r="T917" t="s">
        <v>16829</v>
      </c>
      <c r="U917" t="s">
        <v>16830</v>
      </c>
      <c r="V917" t="s">
        <v>16831</v>
      </c>
      <c r="W917" t="s">
        <v>16832</v>
      </c>
      <c r="X917" t="s">
        <v>16833</v>
      </c>
      <c r="Y917" t="s">
        <v>16834</v>
      </c>
      <c r="Z917" t="s">
        <v>16835</v>
      </c>
      <c r="AA917" t="s">
        <v>16836</v>
      </c>
      <c r="AB917" t="s">
        <v>16837</v>
      </c>
      <c r="AC917" t="s">
        <v>16838</v>
      </c>
      <c r="AD917" t="s">
        <v>16839</v>
      </c>
      <c r="AE917" t="s">
        <v>16840</v>
      </c>
      <c r="AF917" t="s">
        <v>74</v>
      </c>
      <c r="AG917">
        <v>70</v>
      </c>
      <c r="AH917">
        <v>46</v>
      </c>
      <c r="AI917">
        <v>52</v>
      </c>
      <c r="AJ917">
        <v>0</v>
      </c>
      <c r="AK917">
        <v>38</v>
      </c>
      <c r="AL917" t="s">
        <v>13640</v>
      </c>
      <c r="AM917" t="s">
        <v>13641</v>
      </c>
      <c r="AN917" t="s">
        <v>13642</v>
      </c>
      <c r="AO917" t="s">
        <v>13643</v>
      </c>
      <c r="AP917" t="s">
        <v>13644</v>
      </c>
      <c r="AQ917" t="s">
        <v>74</v>
      </c>
      <c r="AR917" t="s">
        <v>13645</v>
      </c>
      <c r="AS917" t="s">
        <v>13646</v>
      </c>
      <c r="AT917" t="s">
        <v>74</v>
      </c>
      <c r="AU917">
        <v>2012</v>
      </c>
      <c r="AV917">
        <v>452</v>
      </c>
      <c r="AW917" t="s">
        <v>74</v>
      </c>
      <c r="AX917" t="s">
        <v>74</v>
      </c>
      <c r="AY917" t="s">
        <v>74</v>
      </c>
      <c r="AZ917" t="s">
        <v>74</v>
      </c>
      <c r="BA917" t="s">
        <v>74</v>
      </c>
      <c r="BB917">
        <v>253</v>
      </c>
      <c r="BC917">
        <v>267</v>
      </c>
      <c r="BD917" t="s">
        <v>74</v>
      </c>
      <c r="BE917" t="s">
        <v>16841</v>
      </c>
      <c r="BF917" t="str">
        <f>HYPERLINK("http://dx.doi.org/10.3354/meps09618","http://dx.doi.org/10.3354/meps09618")</f>
        <v>http://dx.doi.org/10.3354/meps09618</v>
      </c>
      <c r="BG917" t="s">
        <v>74</v>
      </c>
      <c r="BH917" t="s">
        <v>74</v>
      </c>
      <c r="BI917">
        <v>15</v>
      </c>
      <c r="BJ917" t="s">
        <v>13648</v>
      </c>
      <c r="BK917" t="s">
        <v>99</v>
      </c>
      <c r="BL917" t="s">
        <v>13649</v>
      </c>
      <c r="BM917" t="s">
        <v>16791</v>
      </c>
      <c r="BN917" t="s">
        <v>74</v>
      </c>
      <c r="BO917" t="s">
        <v>777</v>
      </c>
      <c r="BP917" t="s">
        <v>74</v>
      </c>
      <c r="BQ917" t="s">
        <v>74</v>
      </c>
      <c r="BR917" t="s">
        <v>101</v>
      </c>
      <c r="BS917" t="s">
        <v>16842</v>
      </c>
      <c r="BT917" t="str">
        <f>HYPERLINK("https%3A%2F%2Fwww.webofscience.com%2Fwos%2Fwoscc%2Ffull-record%2FWOS:000303213900019","View Full Record in Web of Science")</f>
        <v>View Full Record in Web of Science</v>
      </c>
    </row>
    <row r="918" spans="1:72" x14ac:dyDescent="0.15">
      <c r="A918" t="s">
        <v>72</v>
      </c>
      <c r="B918" t="s">
        <v>16843</v>
      </c>
      <c r="C918" t="s">
        <v>74</v>
      </c>
      <c r="D918" t="s">
        <v>74</v>
      </c>
      <c r="E918" t="s">
        <v>74</v>
      </c>
      <c r="F918" t="s">
        <v>16844</v>
      </c>
      <c r="G918" t="s">
        <v>74</v>
      </c>
      <c r="H918" t="s">
        <v>74</v>
      </c>
      <c r="I918" t="s">
        <v>16845</v>
      </c>
      <c r="J918" t="s">
        <v>16846</v>
      </c>
      <c r="K918" t="s">
        <v>74</v>
      </c>
      <c r="L918" t="s">
        <v>74</v>
      </c>
      <c r="M918" t="s">
        <v>16847</v>
      </c>
      <c r="N918" t="s">
        <v>16848</v>
      </c>
      <c r="O918" t="s">
        <v>74</v>
      </c>
      <c r="P918" t="s">
        <v>74</v>
      </c>
      <c r="Q918" t="s">
        <v>74</v>
      </c>
      <c r="R918" t="s">
        <v>74</v>
      </c>
      <c r="S918" t="s">
        <v>74</v>
      </c>
      <c r="T918" t="s">
        <v>74</v>
      </c>
      <c r="U918" t="s">
        <v>74</v>
      </c>
      <c r="V918" t="s">
        <v>74</v>
      </c>
      <c r="W918" t="s">
        <v>74</v>
      </c>
      <c r="X918" t="s">
        <v>74</v>
      </c>
      <c r="Y918" t="s">
        <v>74</v>
      </c>
      <c r="Z918" t="s">
        <v>74</v>
      </c>
      <c r="AA918" t="s">
        <v>74</v>
      </c>
      <c r="AB918" t="s">
        <v>74</v>
      </c>
      <c r="AC918" t="s">
        <v>74</v>
      </c>
      <c r="AD918" t="s">
        <v>74</v>
      </c>
      <c r="AE918" t="s">
        <v>74</v>
      </c>
      <c r="AF918" t="s">
        <v>74</v>
      </c>
      <c r="AG918">
        <v>1</v>
      </c>
      <c r="AH918">
        <v>0</v>
      </c>
      <c r="AI918">
        <v>0</v>
      </c>
      <c r="AJ918">
        <v>0</v>
      </c>
      <c r="AK918">
        <v>0</v>
      </c>
      <c r="AL918" t="s">
        <v>16849</v>
      </c>
      <c r="AM918" t="s">
        <v>16850</v>
      </c>
      <c r="AN918" t="s">
        <v>16851</v>
      </c>
      <c r="AO918" t="s">
        <v>16852</v>
      </c>
      <c r="AP918" t="s">
        <v>74</v>
      </c>
      <c r="AQ918" t="s">
        <v>74</v>
      </c>
      <c r="AR918" t="s">
        <v>16853</v>
      </c>
      <c r="AS918" t="s">
        <v>16854</v>
      </c>
      <c r="AT918" t="s">
        <v>16855</v>
      </c>
      <c r="AU918">
        <v>2012</v>
      </c>
      <c r="AV918">
        <v>56</v>
      </c>
      <c r="AW918">
        <v>1</v>
      </c>
      <c r="AX918" t="s">
        <v>74</v>
      </c>
      <c r="AY918" t="s">
        <v>74</v>
      </c>
      <c r="AZ918" t="s">
        <v>74</v>
      </c>
      <c r="BA918" t="s">
        <v>74</v>
      </c>
      <c r="BB918">
        <v>135</v>
      </c>
      <c r="BC918">
        <v>135</v>
      </c>
      <c r="BD918" t="s">
        <v>74</v>
      </c>
      <c r="BE918" t="s">
        <v>74</v>
      </c>
      <c r="BF918" t="s">
        <v>74</v>
      </c>
      <c r="BG918" t="s">
        <v>74</v>
      </c>
      <c r="BH918" t="s">
        <v>74</v>
      </c>
      <c r="BI918">
        <v>1</v>
      </c>
      <c r="BJ918" t="s">
        <v>16856</v>
      </c>
      <c r="BK918" t="s">
        <v>16857</v>
      </c>
      <c r="BL918" t="s">
        <v>16858</v>
      </c>
      <c r="BM918" t="s">
        <v>16859</v>
      </c>
      <c r="BN918" t="s">
        <v>74</v>
      </c>
      <c r="BO918" t="s">
        <v>74</v>
      </c>
      <c r="BP918" t="s">
        <v>74</v>
      </c>
      <c r="BQ918" t="s">
        <v>74</v>
      </c>
      <c r="BR918" t="s">
        <v>101</v>
      </c>
      <c r="BS918" t="s">
        <v>16860</v>
      </c>
      <c r="BT918" t="str">
        <f>HYPERLINK("https%3A%2F%2Fwww.webofscience.com%2Fwos%2Fwoscc%2Ffull-record%2FWOS:000303270000061","View Full Record in Web of Science")</f>
        <v>View Full Record in Web of Science</v>
      </c>
    </row>
    <row r="919" spans="1:72" x14ac:dyDescent="0.15">
      <c r="A919" t="s">
        <v>72</v>
      </c>
      <c r="B919" t="s">
        <v>16861</v>
      </c>
      <c r="C919" t="s">
        <v>74</v>
      </c>
      <c r="D919" t="s">
        <v>74</v>
      </c>
      <c r="E919" t="s">
        <v>74</v>
      </c>
      <c r="F919" t="s">
        <v>16862</v>
      </c>
      <c r="G919" t="s">
        <v>74</v>
      </c>
      <c r="H919" t="s">
        <v>74</v>
      </c>
      <c r="I919" t="s">
        <v>16863</v>
      </c>
      <c r="J919" t="s">
        <v>13816</v>
      </c>
      <c r="K919" t="s">
        <v>74</v>
      </c>
      <c r="L919" t="s">
        <v>74</v>
      </c>
      <c r="M919" t="s">
        <v>78</v>
      </c>
      <c r="N919" t="s">
        <v>79</v>
      </c>
      <c r="O919" t="s">
        <v>74</v>
      </c>
      <c r="P919" t="s">
        <v>74</v>
      </c>
      <c r="Q919" t="s">
        <v>74</v>
      </c>
      <c r="R919" t="s">
        <v>74</v>
      </c>
      <c r="S919" t="s">
        <v>74</v>
      </c>
      <c r="T919" t="s">
        <v>74</v>
      </c>
      <c r="U919" t="s">
        <v>16864</v>
      </c>
      <c r="V919" t="s">
        <v>16865</v>
      </c>
      <c r="W919" t="s">
        <v>16866</v>
      </c>
      <c r="X919" t="s">
        <v>16867</v>
      </c>
      <c r="Y919" t="s">
        <v>16868</v>
      </c>
      <c r="Z919" t="s">
        <v>16869</v>
      </c>
      <c r="AA919" t="s">
        <v>16870</v>
      </c>
      <c r="AB919" t="s">
        <v>16871</v>
      </c>
      <c r="AC919" t="s">
        <v>16872</v>
      </c>
      <c r="AD919" t="s">
        <v>16873</v>
      </c>
      <c r="AE919" t="s">
        <v>16874</v>
      </c>
      <c r="AF919" t="s">
        <v>74</v>
      </c>
      <c r="AG919">
        <v>44</v>
      </c>
      <c r="AH919">
        <v>0</v>
      </c>
      <c r="AI919">
        <v>0</v>
      </c>
      <c r="AJ919">
        <v>0</v>
      </c>
      <c r="AK919">
        <v>2</v>
      </c>
      <c r="AL919" t="s">
        <v>13270</v>
      </c>
      <c r="AM919" t="s">
        <v>13271</v>
      </c>
      <c r="AN919" t="s">
        <v>13272</v>
      </c>
      <c r="AO919" t="s">
        <v>13828</v>
      </c>
      <c r="AP919" t="s">
        <v>13829</v>
      </c>
      <c r="AQ919" t="s">
        <v>74</v>
      </c>
      <c r="AR919" t="s">
        <v>13830</v>
      </c>
      <c r="AS919" t="s">
        <v>13831</v>
      </c>
      <c r="AT919" t="s">
        <v>74</v>
      </c>
      <c r="AU919">
        <v>2012</v>
      </c>
      <c r="AV919">
        <v>12</v>
      </c>
      <c r="AW919">
        <v>7</v>
      </c>
      <c r="AX919" t="s">
        <v>74</v>
      </c>
      <c r="AY919" t="s">
        <v>74</v>
      </c>
      <c r="AZ919" t="s">
        <v>74</v>
      </c>
      <c r="BA919" t="s">
        <v>74</v>
      </c>
      <c r="BB919">
        <v>3205</v>
      </c>
      <c r="BC919">
        <v>3217</v>
      </c>
      <c r="BD919" t="s">
        <v>74</v>
      </c>
      <c r="BE919" t="s">
        <v>16875</v>
      </c>
      <c r="BF919" t="str">
        <f>HYPERLINK("http://dx.doi.org/10.5194/acp-12-3205-2012","http://dx.doi.org/10.5194/acp-12-3205-2012")</f>
        <v>http://dx.doi.org/10.5194/acp-12-3205-2012</v>
      </c>
      <c r="BG919" t="s">
        <v>74</v>
      </c>
      <c r="BH919" t="s">
        <v>74</v>
      </c>
      <c r="BI919">
        <v>13</v>
      </c>
      <c r="BJ919" t="s">
        <v>1758</v>
      </c>
      <c r="BK919" t="s">
        <v>99</v>
      </c>
      <c r="BL919" t="s">
        <v>1759</v>
      </c>
      <c r="BM919" t="s">
        <v>16876</v>
      </c>
      <c r="BN919" t="s">
        <v>74</v>
      </c>
      <c r="BO919" t="s">
        <v>3496</v>
      </c>
      <c r="BP919" t="s">
        <v>74</v>
      </c>
      <c r="BQ919" t="s">
        <v>74</v>
      </c>
      <c r="BR919" t="s">
        <v>101</v>
      </c>
      <c r="BS919" t="s">
        <v>16877</v>
      </c>
      <c r="BT919" t="str">
        <f>HYPERLINK("https%3A%2F%2Fwww.webofscience.com%2Fwos%2Fwoscc%2Ffull-record%2FWOS:000302806700005","View Full Record in Web of Science")</f>
        <v>View Full Record in Web of Science</v>
      </c>
    </row>
    <row r="920" spans="1:72" x14ac:dyDescent="0.15">
      <c r="A920" t="s">
        <v>72</v>
      </c>
      <c r="B920" t="s">
        <v>16878</v>
      </c>
      <c r="C920" t="s">
        <v>74</v>
      </c>
      <c r="D920" t="s">
        <v>74</v>
      </c>
      <c r="E920" t="s">
        <v>74</v>
      </c>
      <c r="F920" t="s">
        <v>16879</v>
      </c>
      <c r="G920" t="s">
        <v>74</v>
      </c>
      <c r="H920" t="s">
        <v>74</v>
      </c>
      <c r="I920" t="s">
        <v>16880</v>
      </c>
      <c r="J920" t="s">
        <v>16881</v>
      </c>
      <c r="K920" t="s">
        <v>74</v>
      </c>
      <c r="L920" t="s">
        <v>74</v>
      </c>
      <c r="M920" t="s">
        <v>595</v>
      </c>
      <c r="N920" t="s">
        <v>79</v>
      </c>
      <c r="O920" t="s">
        <v>74</v>
      </c>
      <c r="P920" t="s">
        <v>74</v>
      </c>
      <c r="Q920" t="s">
        <v>74</v>
      </c>
      <c r="R920" t="s">
        <v>74</v>
      </c>
      <c r="S920" t="s">
        <v>74</v>
      </c>
      <c r="T920" t="s">
        <v>16882</v>
      </c>
      <c r="U920" t="s">
        <v>16883</v>
      </c>
      <c r="V920" t="s">
        <v>74</v>
      </c>
      <c r="W920" t="s">
        <v>16884</v>
      </c>
      <c r="X920" t="s">
        <v>74</v>
      </c>
      <c r="Y920" t="s">
        <v>16885</v>
      </c>
      <c r="Z920" t="s">
        <v>16886</v>
      </c>
      <c r="AA920" t="s">
        <v>74</v>
      </c>
      <c r="AB920" t="s">
        <v>74</v>
      </c>
      <c r="AC920" t="s">
        <v>74</v>
      </c>
      <c r="AD920" t="s">
        <v>74</v>
      </c>
      <c r="AE920" t="s">
        <v>74</v>
      </c>
      <c r="AF920" t="s">
        <v>74</v>
      </c>
      <c r="AG920">
        <v>9</v>
      </c>
      <c r="AH920">
        <v>0</v>
      </c>
      <c r="AI920">
        <v>0</v>
      </c>
      <c r="AJ920">
        <v>0</v>
      </c>
      <c r="AK920">
        <v>0</v>
      </c>
      <c r="AL920" t="s">
        <v>16887</v>
      </c>
      <c r="AM920" t="s">
        <v>604</v>
      </c>
      <c r="AN920" t="s">
        <v>16888</v>
      </c>
      <c r="AO920" t="s">
        <v>16889</v>
      </c>
      <c r="AP920" t="s">
        <v>74</v>
      </c>
      <c r="AQ920" t="s">
        <v>74</v>
      </c>
      <c r="AR920" t="s">
        <v>16890</v>
      </c>
      <c r="AS920" t="s">
        <v>16891</v>
      </c>
      <c r="AT920" t="s">
        <v>74</v>
      </c>
      <c r="AU920">
        <v>2012</v>
      </c>
      <c r="AV920">
        <v>57</v>
      </c>
      <c r="AW920">
        <v>2</v>
      </c>
      <c r="AX920" t="s">
        <v>74</v>
      </c>
      <c r="AY920" t="s">
        <v>74</v>
      </c>
      <c r="AZ920" t="s">
        <v>74</v>
      </c>
      <c r="BA920" t="s">
        <v>74</v>
      </c>
      <c r="BB920">
        <v>74</v>
      </c>
      <c r="BC920">
        <v>78</v>
      </c>
      <c r="BD920" t="s">
        <v>74</v>
      </c>
      <c r="BE920" t="s">
        <v>74</v>
      </c>
      <c r="BF920" t="s">
        <v>74</v>
      </c>
      <c r="BG920" t="s">
        <v>74</v>
      </c>
      <c r="BH920" t="s">
        <v>74</v>
      </c>
      <c r="BI920">
        <v>5</v>
      </c>
      <c r="BJ920" t="s">
        <v>16892</v>
      </c>
      <c r="BK920" t="s">
        <v>99</v>
      </c>
      <c r="BL920" t="s">
        <v>6941</v>
      </c>
      <c r="BM920" t="s">
        <v>16893</v>
      </c>
      <c r="BN920" t="s">
        <v>74</v>
      </c>
      <c r="BO920" t="s">
        <v>74</v>
      </c>
      <c r="BP920" t="s">
        <v>74</v>
      </c>
      <c r="BQ920" t="s">
        <v>74</v>
      </c>
      <c r="BR920" t="s">
        <v>101</v>
      </c>
      <c r="BS920" t="s">
        <v>16894</v>
      </c>
      <c r="BT920" t="str">
        <f>HYPERLINK("https%3A%2F%2Fwww.webofscience.com%2Fwos%2Fwoscc%2Ffull-record%2FWOS:000302892600003","View Full Record in Web of Science")</f>
        <v>View Full Record in Web of Science</v>
      </c>
    </row>
    <row r="921" spans="1:72" x14ac:dyDescent="0.15">
      <c r="A921" t="s">
        <v>72</v>
      </c>
      <c r="B921" t="s">
        <v>16895</v>
      </c>
      <c r="C921" t="s">
        <v>74</v>
      </c>
      <c r="D921" t="s">
        <v>74</v>
      </c>
      <c r="E921" t="s">
        <v>74</v>
      </c>
      <c r="F921" t="s">
        <v>16896</v>
      </c>
      <c r="G921" t="s">
        <v>74</v>
      </c>
      <c r="H921" t="s">
        <v>74</v>
      </c>
      <c r="I921" t="s">
        <v>16897</v>
      </c>
      <c r="J921" t="s">
        <v>16898</v>
      </c>
      <c r="K921" t="s">
        <v>74</v>
      </c>
      <c r="L921" t="s">
        <v>74</v>
      </c>
      <c r="M921" t="s">
        <v>78</v>
      </c>
      <c r="N921" t="s">
        <v>79</v>
      </c>
      <c r="O921" t="s">
        <v>74</v>
      </c>
      <c r="P921" t="s">
        <v>74</v>
      </c>
      <c r="Q921" t="s">
        <v>74</v>
      </c>
      <c r="R921" t="s">
        <v>74</v>
      </c>
      <c r="S921" t="s">
        <v>74</v>
      </c>
      <c r="T921" t="s">
        <v>74</v>
      </c>
      <c r="U921" t="s">
        <v>16899</v>
      </c>
      <c r="V921" t="s">
        <v>16900</v>
      </c>
      <c r="W921" t="s">
        <v>16901</v>
      </c>
      <c r="X921" t="s">
        <v>16902</v>
      </c>
      <c r="Y921" t="s">
        <v>9088</v>
      </c>
      <c r="Z921" t="s">
        <v>16903</v>
      </c>
      <c r="AA921" t="s">
        <v>16904</v>
      </c>
      <c r="AB921" t="s">
        <v>16905</v>
      </c>
      <c r="AC921" t="s">
        <v>16906</v>
      </c>
      <c r="AD921" t="s">
        <v>16907</v>
      </c>
      <c r="AE921" t="s">
        <v>16908</v>
      </c>
      <c r="AF921" t="s">
        <v>74</v>
      </c>
      <c r="AG921">
        <v>73</v>
      </c>
      <c r="AH921">
        <v>101</v>
      </c>
      <c r="AI921">
        <v>110</v>
      </c>
      <c r="AJ921">
        <v>2</v>
      </c>
      <c r="AK921">
        <v>150</v>
      </c>
      <c r="AL921" t="s">
        <v>7766</v>
      </c>
      <c r="AM921" t="s">
        <v>1112</v>
      </c>
      <c r="AN921" t="s">
        <v>7767</v>
      </c>
      <c r="AO921" t="s">
        <v>16909</v>
      </c>
      <c r="AP921" t="s">
        <v>16910</v>
      </c>
      <c r="AQ921" t="s">
        <v>74</v>
      </c>
      <c r="AR921" t="s">
        <v>16911</v>
      </c>
      <c r="AS921" t="s">
        <v>16912</v>
      </c>
      <c r="AT921" t="s">
        <v>74</v>
      </c>
      <c r="AU921">
        <v>2012</v>
      </c>
      <c r="AV921">
        <v>3</v>
      </c>
      <c r="AW921">
        <v>5</v>
      </c>
      <c r="AX921" t="s">
        <v>74</v>
      </c>
      <c r="AY921" t="s">
        <v>74</v>
      </c>
      <c r="AZ921" t="s">
        <v>74</v>
      </c>
      <c r="BA921" t="s">
        <v>74</v>
      </c>
      <c r="BB921">
        <v>1408</v>
      </c>
      <c r="BC921">
        <v>1416</v>
      </c>
      <c r="BD921" t="s">
        <v>74</v>
      </c>
      <c r="BE921" t="s">
        <v>16913</v>
      </c>
      <c r="BF921" t="str">
        <f>HYPERLINK("http://dx.doi.org/10.1039/c2sc00885h","http://dx.doi.org/10.1039/c2sc00885h")</f>
        <v>http://dx.doi.org/10.1039/c2sc00885h</v>
      </c>
      <c r="BG921" t="s">
        <v>74</v>
      </c>
      <c r="BH921" t="s">
        <v>74</v>
      </c>
      <c r="BI921">
        <v>9</v>
      </c>
      <c r="BJ921" t="s">
        <v>16914</v>
      </c>
      <c r="BK921" t="s">
        <v>99</v>
      </c>
      <c r="BL921" t="s">
        <v>287</v>
      </c>
      <c r="BM921" t="s">
        <v>16915</v>
      </c>
      <c r="BN921" t="s">
        <v>74</v>
      </c>
      <c r="BO921" t="s">
        <v>74</v>
      </c>
      <c r="BP921" t="s">
        <v>74</v>
      </c>
      <c r="BQ921" t="s">
        <v>74</v>
      </c>
      <c r="BR921" t="s">
        <v>101</v>
      </c>
      <c r="BS921" t="s">
        <v>16916</v>
      </c>
      <c r="BT921" t="str">
        <f>HYPERLINK("https%3A%2F%2Fwww.webofscience.com%2Fwos%2Fwoscc%2Ffull-record%2FWOS:000302319000005","View Full Record in Web of Science")</f>
        <v>View Full Record in Web of Science</v>
      </c>
    </row>
    <row r="922" spans="1:72" x14ac:dyDescent="0.15">
      <c r="A922" t="s">
        <v>72</v>
      </c>
      <c r="B922" t="s">
        <v>16917</v>
      </c>
      <c r="C922" t="s">
        <v>74</v>
      </c>
      <c r="D922" t="s">
        <v>74</v>
      </c>
      <c r="E922" t="s">
        <v>74</v>
      </c>
      <c r="F922" t="s">
        <v>16918</v>
      </c>
      <c r="G922" t="s">
        <v>74</v>
      </c>
      <c r="H922" t="s">
        <v>74</v>
      </c>
      <c r="I922" t="s">
        <v>16919</v>
      </c>
      <c r="J922" t="s">
        <v>16920</v>
      </c>
      <c r="K922" t="s">
        <v>74</v>
      </c>
      <c r="L922" t="s">
        <v>74</v>
      </c>
      <c r="M922" t="s">
        <v>78</v>
      </c>
      <c r="N922" t="s">
        <v>79</v>
      </c>
      <c r="O922" t="s">
        <v>74</v>
      </c>
      <c r="P922" t="s">
        <v>74</v>
      </c>
      <c r="Q922" t="s">
        <v>74</v>
      </c>
      <c r="R922" t="s">
        <v>74</v>
      </c>
      <c r="S922" t="s">
        <v>74</v>
      </c>
      <c r="T922" t="s">
        <v>16921</v>
      </c>
      <c r="U922" t="s">
        <v>74</v>
      </c>
      <c r="V922" t="s">
        <v>16922</v>
      </c>
      <c r="W922" t="s">
        <v>16923</v>
      </c>
      <c r="X922" t="s">
        <v>16924</v>
      </c>
      <c r="Y922" t="s">
        <v>16925</v>
      </c>
      <c r="Z922" t="s">
        <v>16926</v>
      </c>
      <c r="AA922" t="s">
        <v>74</v>
      </c>
      <c r="AB922" t="s">
        <v>74</v>
      </c>
      <c r="AC922" t="s">
        <v>16927</v>
      </c>
      <c r="AD922" t="s">
        <v>16928</v>
      </c>
      <c r="AE922" t="s">
        <v>16929</v>
      </c>
      <c r="AF922" t="s">
        <v>74</v>
      </c>
      <c r="AG922">
        <v>21</v>
      </c>
      <c r="AH922">
        <v>71</v>
      </c>
      <c r="AI922">
        <v>76</v>
      </c>
      <c r="AJ922">
        <v>1</v>
      </c>
      <c r="AK922">
        <v>23</v>
      </c>
      <c r="AL922" t="s">
        <v>16930</v>
      </c>
      <c r="AM922" t="s">
        <v>12984</v>
      </c>
      <c r="AN922" t="s">
        <v>16931</v>
      </c>
      <c r="AO922" t="s">
        <v>16932</v>
      </c>
      <c r="AP922" t="s">
        <v>74</v>
      </c>
      <c r="AQ922" t="s">
        <v>74</v>
      </c>
      <c r="AR922" t="s">
        <v>16933</v>
      </c>
      <c r="AS922" t="s">
        <v>16934</v>
      </c>
      <c r="AT922" t="s">
        <v>16935</v>
      </c>
      <c r="AU922">
        <v>2012</v>
      </c>
      <c r="AV922">
        <v>7</v>
      </c>
      <c r="AW922">
        <v>1</v>
      </c>
      <c r="AX922" t="s">
        <v>74</v>
      </c>
      <c r="AY922" t="s">
        <v>74</v>
      </c>
      <c r="AZ922" t="s">
        <v>74</v>
      </c>
      <c r="BA922" t="s">
        <v>74</v>
      </c>
      <c r="BB922" t="s">
        <v>74</v>
      </c>
      <c r="BC922" t="s">
        <v>74</v>
      </c>
      <c r="BD922">
        <v>14006</v>
      </c>
      <c r="BE922" t="s">
        <v>16936</v>
      </c>
      <c r="BF922" t="str">
        <f>HYPERLINK("http://dx.doi.org/10.1088/1748-9326/7/1/014006","http://dx.doi.org/10.1088/1748-9326/7/1/014006")</f>
        <v>http://dx.doi.org/10.1088/1748-9326/7/1/014006</v>
      </c>
      <c r="BG922" t="s">
        <v>74</v>
      </c>
      <c r="BH922" t="s">
        <v>74</v>
      </c>
      <c r="BI922">
        <v>12</v>
      </c>
      <c r="BJ922" t="s">
        <v>1758</v>
      </c>
      <c r="BK922" t="s">
        <v>99</v>
      </c>
      <c r="BL922" t="s">
        <v>1759</v>
      </c>
      <c r="BM922" t="s">
        <v>16937</v>
      </c>
      <c r="BN922" t="s">
        <v>74</v>
      </c>
      <c r="BO922" t="s">
        <v>7430</v>
      </c>
      <c r="BP922" t="s">
        <v>74</v>
      </c>
      <c r="BQ922" t="s">
        <v>74</v>
      </c>
      <c r="BR922" t="s">
        <v>101</v>
      </c>
      <c r="BS922" t="s">
        <v>16938</v>
      </c>
      <c r="BT922" t="str">
        <f>HYPERLINK("https%3A%2F%2Fwww.webofscience.com%2Fwos%2Fwoscc%2Ffull-record%2FWOS:000302580600016","View Full Record in Web of Science")</f>
        <v>View Full Record in Web of Science</v>
      </c>
    </row>
    <row r="923" spans="1:72" x14ac:dyDescent="0.15">
      <c r="A923" t="s">
        <v>72</v>
      </c>
      <c r="B923" t="s">
        <v>16939</v>
      </c>
      <c r="C923" t="s">
        <v>74</v>
      </c>
      <c r="D923" t="s">
        <v>74</v>
      </c>
      <c r="E923" t="s">
        <v>74</v>
      </c>
      <c r="F923" t="s">
        <v>16940</v>
      </c>
      <c r="G923" t="s">
        <v>74</v>
      </c>
      <c r="H923" t="s">
        <v>74</v>
      </c>
      <c r="I923" t="s">
        <v>16941</v>
      </c>
      <c r="J923" t="s">
        <v>15724</v>
      </c>
      <c r="K923" t="s">
        <v>74</v>
      </c>
      <c r="L923" t="s">
        <v>74</v>
      </c>
      <c r="M923" t="s">
        <v>78</v>
      </c>
      <c r="N923" t="s">
        <v>79</v>
      </c>
      <c r="O923" t="s">
        <v>74</v>
      </c>
      <c r="P923" t="s">
        <v>74</v>
      </c>
      <c r="Q923" t="s">
        <v>74</v>
      </c>
      <c r="R923" t="s">
        <v>74</v>
      </c>
      <c r="S923" t="s">
        <v>74</v>
      </c>
      <c r="T923" t="s">
        <v>74</v>
      </c>
      <c r="U923" t="s">
        <v>16942</v>
      </c>
      <c r="V923" t="s">
        <v>16943</v>
      </c>
      <c r="W923" t="s">
        <v>16944</v>
      </c>
      <c r="X923" t="s">
        <v>16945</v>
      </c>
      <c r="Y923" t="s">
        <v>16946</v>
      </c>
      <c r="Z923" t="s">
        <v>16947</v>
      </c>
      <c r="AA923" t="s">
        <v>74</v>
      </c>
      <c r="AB923" t="s">
        <v>74</v>
      </c>
      <c r="AC923" t="s">
        <v>16948</v>
      </c>
      <c r="AD923" t="s">
        <v>16949</v>
      </c>
      <c r="AE923" t="s">
        <v>16950</v>
      </c>
      <c r="AF923" t="s">
        <v>74</v>
      </c>
      <c r="AG923">
        <v>61</v>
      </c>
      <c r="AH923">
        <v>15</v>
      </c>
      <c r="AI923">
        <v>23</v>
      </c>
      <c r="AJ923">
        <v>1</v>
      </c>
      <c r="AK923">
        <v>31</v>
      </c>
      <c r="AL923" t="s">
        <v>761</v>
      </c>
      <c r="AM923" t="s">
        <v>762</v>
      </c>
      <c r="AN923" t="s">
        <v>763</v>
      </c>
      <c r="AO923" t="s">
        <v>15733</v>
      </c>
      <c r="AP923" t="s">
        <v>15734</v>
      </c>
      <c r="AQ923" t="s">
        <v>74</v>
      </c>
      <c r="AR923" t="s">
        <v>15735</v>
      </c>
      <c r="AS923" t="s">
        <v>15736</v>
      </c>
      <c r="AT923" t="s">
        <v>74</v>
      </c>
      <c r="AU923">
        <v>2012</v>
      </c>
      <c r="AV923">
        <v>33</v>
      </c>
      <c r="AW923">
        <v>6</v>
      </c>
      <c r="AX923" t="s">
        <v>74</v>
      </c>
      <c r="AY923" t="s">
        <v>74</v>
      </c>
      <c r="AZ923" t="s">
        <v>74</v>
      </c>
      <c r="BA923" t="s">
        <v>74</v>
      </c>
      <c r="BB923">
        <v>1799</v>
      </c>
      <c r="BC923">
        <v>1822</v>
      </c>
      <c r="BD923" t="s">
        <v>74</v>
      </c>
      <c r="BE923" t="s">
        <v>16951</v>
      </c>
      <c r="BF923" t="str">
        <f>HYPERLINK("http://dx.doi.org/10.1080/01431161.2011.602128","http://dx.doi.org/10.1080/01431161.2011.602128")</f>
        <v>http://dx.doi.org/10.1080/01431161.2011.602128</v>
      </c>
      <c r="BG923" t="s">
        <v>74</v>
      </c>
      <c r="BH923" t="s">
        <v>74</v>
      </c>
      <c r="BI923">
        <v>24</v>
      </c>
      <c r="BJ923" t="s">
        <v>15738</v>
      </c>
      <c r="BK923" t="s">
        <v>99</v>
      </c>
      <c r="BL923" t="s">
        <v>15738</v>
      </c>
      <c r="BM923" t="s">
        <v>16952</v>
      </c>
      <c r="BN923" t="s">
        <v>74</v>
      </c>
      <c r="BO923" t="s">
        <v>74</v>
      </c>
      <c r="BP923" t="s">
        <v>74</v>
      </c>
      <c r="BQ923" t="s">
        <v>74</v>
      </c>
      <c r="BR923" t="s">
        <v>101</v>
      </c>
      <c r="BS923" t="s">
        <v>16953</v>
      </c>
      <c r="BT923" t="str">
        <f>HYPERLINK("https%3A%2F%2Fwww.webofscience.com%2Fwos%2Fwoscc%2Ffull-record%2FWOS:000302162000008","View Full Record in Web of Science")</f>
        <v>View Full Record in Web of Science</v>
      </c>
    </row>
    <row r="924" spans="1:72" x14ac:dyDescent="0.15">
      <c r="A924" t="s">
        <v>72</v>
      </c>
      <c r="B924" t="s">
        <v>16954</v>
      </c>
      <c r="C924" t="s">
        <v>74</v>
      </c>
      <c r="D924" t="s">
        <v>74</v>
      </c>
      <c r="E924" t="s">
        <v>74</v>
      </c>
      <c r="F924" t="s">
        <v>16955</v>
      </c>
      <c r="G924" t="s">
        <v>74</v>
      </c>
      <c r="H924" t="s">
        <v>74</v>
      </c>
      <c r="I924" t="s">
        <v>16956</v>
      </c>
      <c r="J924" t="s">
        <v>14816</v>
      </c>
      <c r="K924" t="s">
        <v>74</v>
      </c>
      <c r="L924" t="s">
        <v>74</v>
      </c>
      <c r="M924" t="s">
        <v>78</v>
      </c>
      <c r="N924" t="s">
        <v>79</v>
      </c>
      <c r="O924" t="s">
        <v>74</v>
      </c>
      <c r="P924" t="s">
        <v>74</v>
      </c>
      <c r="Q924" t="s">
        <v>74</v>
      </c>
      <c r="R924" t="s">
        <v>74</v>
      </c>
      <c r="S924" t="s">
        <v>74</v>
      </c>
      <c r="T924" t="s">
        <v>16957</v>
      </c>
      <c r="U924" t="s">
        <v>16958</v>
      </c>
      <c r="V924" t="s">
        <v>16959</v>
      </c>
      <c r="W924" t="s">
        <v>16960</v>
      </c>
      <c r="X924" t="s">
        <v>16961</v>
      </c>
      <c r="Y924" t="s">
        <v>16962</v>
      </c>
      <c r="Z924" t="s">
        <v>16963</v>
      </c>
      <c r="AA924" t="s">
        <v>74</v>
      </c>
      <c r="AB924" t="s">
        <v>14824</v>
      </c>
      <c r="AC924" t="s">
        <v>16964</v>
      </c>
      <c r="AD924" t="s">
        <v>16965</v>
      </c>
      <c r="AE924" t="s">
        <v>16966</v>
      </c>
      <c r="AF924" t="s">
        <v>74</v>
      </c>
      <c r="AG924">
        <v>53</v>
      </c>
      <c r="AH924">
        <v>33</v>
      </c>
      <c r="AI924">
        <v>34</v>
      </c>
      <c r="AJ924">
        <v>0</v>
      </c>
      <c r="AK924">
        <v>11</v>
      </c>
      <c r="AL924" t="s">
        <v>14828</v>
      </c>
      <c r="AM924" t="s">
        <v>14829</v>
      </c>
      <c r="AN924" t="s">
        <v>14830</v>
      </c>
      <c r="AO924" t="s">
        <v>14831</v>
      </c>
      <c r="AP924" t="s">
        <v>74</v>
      </c>
      <c r="AQ924" t="s">
        <v>74</v>
      </c>
      <c r="AR924" t="s">
        <v>14833</v>
      </c>
      <c r="AS924" t="s">
        <v>14834</v>
      </c>
      <c r="AT924" t="s">
        <v>74</v>
      </c>
      <c r="AU924">
        <v>2012</v>
      </c>
      <c r="AV924">
        <v>8</v>
      </c>
      <c r="AW924">
        <v>4</v>
      </c>
      <c r="AX924" t="s">
        <v>74</v>
      </c>
      <c r="AY924" t="s">
        <v>74</v>
      </c>
      <c r="AZ924" t="s">
        <v>74</v>
      </c>
      <c r="BA924" t="s">
        <v>74</v>
      </c>
      <c r="BB924">
        <v>341</v>
      </c>
      <c r="BC924">
        <v>353</v>
      </c>
      <c r="BD924" t="s">
        <v>74</v>
      </c>
      <c r="BE924" t="s">
        <v>16967</v>
      </c>
      <c r="BF924" t="str">
        <f>HYPERLINK("http://dx.doi.org/10.1080/17451000.2011.627922","http://dx.doi.org/10.1080/17451000.2011.627922")</f>
        <v>http://dx.doi.org/10.1080/17451000.2011.627922</v>
      </c>
      <c r="BG924" t="s">
        <v>74</v>
      </c>
      <c r="BH924" t="s">
        <v>74</v>
      </c>
      <c r="BI924">
        <v>13</v>
      </c>
      <c r="BJ924" t="s">
        <v>9179</v>
      </c>
      <c r="BK924" t="s">
        <v>99</v>
      </c>
      <c r="BL924" t="s">
        <v>1145</v>
      </c>
      <c r="BM924" t="s">
        <v>16968</v>
      </c>
      <c r="BN924" t="s">
        <v>74</v>
      </c>
      <c r="BO924" t="s">
        <v>328</v>
      </c>
      <c r="BP924" t="s">
        <v>74</v>
      </c>
      <c r="BQ924" t="s">
        <v>74</v>
      </c>
      <c r="BR924" t="s">
        <v>101</v>
      </c>
      <c r="BS924" t="s">
        <v>16969</v>
      </c>
      <c r="BT924" t="str">
        <f>HYPERLINK("https%3A%2F%2Fwww.webofscience.com%2Fwos%2Fwoscc%2Ffull-record%2FWOS:000302439700004","View Full Record in Web of Science")</f>
        <v>View Full Record in Web of Science</v>
      </c>
    </row>
    <row r="925" spans="1:72" x14ac:dyDescent="0.15">
      <c r="A925" t="s">
        <v>12086</v>
      </c>
      <c r="B925" t="s">
        <v>16970</v>
      </c>
      <c r="C925" t="s">
        <v>74</v>
      </c>
      <c r="D925" t="s">
        <v>16971</v>
      </c>
      <c r="E925" t="s">
        <v>74</v>
      </c>
      <c r="F925" t="s">
        <v>16972</v>
      </c>
      <c r="G925" t="s">
        <v>74</v>
      </c>
      <c r="H925" t="s">
        <v>16973</v>
      </c>
      <c r="I925" t="s">
        <v>16974</v>
      </c>
      <c r="J925" t="s">
        <v>16975</v>
      </c>
      <c r="K925" t="s">
        <v>16976</v>
      </c>
      <c r="L925" t="s">
        <v>74</v>
      </c>
      <c r="M925" t="s">
        <v>78</v>
      </c>
      <c r="N925" t="s">
        <v>12093</v>
      </c>
      <c r="O925" t="s">
        <v>16977</v>
      </c>
      <c r="P925" t="s">
        <v>16978</v>
      </c>
      <c r="Q925" t="s">
        <v>12695</v>
      </c>
      <c r="R925" t="s">
        <v>74</v>
      </c>
      <c r="S925" t="s">
        <v>74</v>
      </c>
      <c r="T925" t="s">
        <v>16979</v>
      </c>
      <c r="U925" t="s">
        <v>16980</v>
      </c>
      <c r="V925" t="s">
        <v>16981</v>
      </c>
      <c r="W925" t="s">
        <v>16982</v>
      </c>
      <c r="X925" t="s">
        <v>16983</v>
      </c>
      <c r="Y925" t="s">
        <v>16984</v>
      </c>
      <c r="Z925" t="s">
        <v>16985</v>
      </c>
      <c r="AA925" t="s">
        <v>16986</v>
      </c>
      <c r="AB925" t="s">
        <v>16987</v>
      </c>
      <c r="AC925" t="s">
        <v>16988</v>
      </c>
      <c r="AD925" t="s">
        <v>16989</v>
      </c>
      <c r="AE925" t="s">
        <v>16990</v>
      </c>
      <c r="AF925" t="s">
        <v>74</v>
      </c>
      <c r="AG925">
        <v>21</v>
      </c>
      <c r="AH925">
        <v>13</v>
      </c>
      <c r="AI925">
        <v>14</v>
      </c>
      <c r="AJ925">
        <v>2</v>
      </c>
      <c r="AK925">
        <v>15</v>
      </c>
      <c r="AL925" t="s">
        <v>655</v>
      </c>
      <c r="AM925" t="s">
        <v>1442</v>
      </c>
      <c r="AN925" t="s">
        <v>15564</v>
      </c>
      <c r="AO925" t="s">
        <v>74</v>
      </c>
      <c r="AP925" t="s">
        <v>74</v>
      </c>
      <c r="AQ925" t="s">
        <v>16991</v>
      </c>
      <c r="AR925" t="s">
        <v>16992</v>
      </c>
      <c r="AS925" t="s">
        <v>74</v>
      </c>
      <c r="AT925" t="s">
        <v>74</v>
      </c>
      <c r="AU925">
        <v>2012</v>
      </c>
      <c r="AV925">
        <v>31</v>
      </c>
      <c r="AW925" t="s">
        <v>74</v>
      </c>
      <c r="AX925" t="s">
        <v>74</v>
      </c>
      <c r="AY925" t="s">
        <v>74</v>
      </c>
      <c r="AZ925" t="s">
        <v>74</v>
      </c>
      <c r="BA925" t="s">
        <v>74</v>
      </c>
      <c r="BB925">
        <v>43</v>
      </c>
      <c r="BC925" t="s">
        <v>1734</v>
      </c>
      <c r="BD925" t="s">
        <v>74</v>
      </c>
      <c r="BE925" t="s">
        <v>16993</v>
      </c>
      <c r="BF925" t="str">
        <f>HYPERLINK("http://dx.doi.org/10.1007/978-94-007-2162-3_4","http://dx.doi.org/10.1007/978-94-007-2162-3_4")</f>
        <v>http://dx.doi.org/10.1007/978-94-007-2162-3_4</v>
      </c>
      <c r="BG925" t="s">
        <v>74</v>
      </c>
      <c r="BH925" t="s">
        <v>74</v>
      </c>
      <c r="BI925">
        <v>4</v>
      </c>
      <c r="BJ925" t="s">
        <v>195</v>
      </c>
      <c r="BK925" t="s">
        <v>12109</v>
      </c>
      <c r="BL925" t="s">
        <v>195</v>
      </c>
      <c r="BM925" t="s">
        <v>16994</v>
      </c>
      <c r="BN925" t="s">
        <v>74</v>
      </c>
      <c r="BO925" t="s">
        <v>74</v>
      </c>
      <c r="BP925" t="s">
        <v>74</v>
      </c>
      <c r="BQ925" t="s">
        <v>74</v>
      </c>
      <c r="BR925" t="s">
        <v>101</v>
      </c>
      <c r="BS925" t="s">
        <v>16995</v>
      </c>
      <c r="BT925" t="str">
        <f>HYPERLINK("https%3A%2F%2Fwww.webofscience.com%2Fwos%2Fwoscc%2Ffull-record%2FWOS:000302282300004","View Full Record in Web of Science")</f>
        <v>View Full Record in Web of Science</v>
      </c>
    </row>
    <row r="926" spans="1:72" x14ac:dyDescent="0.15">
      <c r="A926" t="s">
        <v>72</v>
      </c>
      <c r="B926" t="s">
        <v>16996</v>
      </c>
      <c r="C926" t="s">
        <v>74</v>
      </c>
      <c r="D926" t="s">
        <v>74</v>
      </c>
      <c r="E926" t="s">
        <v>74</v>
      </c>
      <c r="F926" t="s">
        <v>16997</v>
      </c>
      <c r="G926" t="s">
        <v>74</v>
      </c>
      <c r="H926" t="s">
        <v>74</v>
      </c>
      <c r="I926" t="s">
        <v>16998</v>
      </c>
      <c r="J926" t="s">
        <v>16999</v>
      </c>
      <c r="K926" t="s">
        <v>74</v>
      </c>
      <c r="L926" t="s">
        <v>74</v>
      </c>
      <c r="M926" t="s">
        <v>78</v>
      </c>
      <c r="N926" t="s">
        <v>887</v>
      </c>
      <c r="O926" t="s">
        <v>74</v>
      </c>
      <c r="P926" t="s">
        <v>74</v>
      </c>
      <c r="Q926" t="s">
        <v>74</v>
      </c>
      <c r="R926" t="s">
        <v>74</v>
      </c>
      <c r="S926" t="s">
        <v>74</v>
      </c>
      <c r="T926" t="s">
        <v>74</v>
      </c>
      <c r="U926" t="s">
        <v>74</v>
      </c>
      <c r="V926" t="s">
        <v>74</v>
      </c>
      <c r="W926" t="s">
        <v>74</v>
      </c>
      <c r="X926" t="s">
        <v>74</v>
      </c>
      <c r="Y926" t="s">
        <v>74</v>
      </c>
      <c r="Z926" t="s">
        <v>74</v>
      </c>
      <c r="AA926" t="s">
        <v>74</v>
      </c>
      <c r="AB926" t="s">
        <v>74</v>
      </c>
      <c r="AC926" t="s">
        <v>74</v>
      </c>
      <c r="AD926" t="s">
        <v>74</v>
      </c>
      <c r="AE926" t="s">
        <v>74</v>
      </c>
      <c r="AF926" t="s">
        <v>74</v>
      </c>
      <c r="AG926">
        <v>0</v>
      </c>
      <c r="AH926">
        <v>0</v>
      </c>
      <c r="AI926">
        <v>0</v>
      </c>
      <c r="AJ926">
        <v>0</v>
      </c>
      <c r="AK926">
        <v>0</v>
      </c>
      <c r="AL926" t="s">
        <v>12983</v>
      </c>
      <c r="AM926" t="s">
        <v>12984</v>
      </c>
      <c r="AN926" t="s">
        <v>16931</v>
      </c>
      <c r="AO926" t="s">
        <v>17000</v>
      </c>
      <c r="AP926" t="s">
        <v>74</v>
      </c>
      <c r="AQ926" t="s">
        <v>74</v>
      </c>
      <c r="AR926" t="s">
        <v>17001</v>
      </c>
      <c r="AS926" t="s">
        <v>17002</v>
      </c>
      <c r="AT926" t="s">
        <v>17003</v>
      </c>
      <c r="AU926">
        <v>2012</v>
      </c>
      <c r="AV926">
        <v>25</v>
      </c>
      <c r="AW926">
        <v>1</v>
      </c>
      <c r="AX926" t="s">
        <v>74</v>
      </c>
      <c r="AY926" t="s">
        <v>74</v>
      </c>
      <c r="AZ926" t="s">
        <v>74</v>
      </c>
      <c r="BA926" t="s">
        <v>74</v>
      </c>
      <c r="BB926">
        <v>9</v>
      </c>
      <c r="BC926">
        <v>9</v>
      </c>
      <c r="BD926" t="s">
        <v>74</v>
      </c>
      <c r="BE926" t="s">
        <v>74</v>
      </c>
      <c r="BF926" t="s">
        <v>74</v>
      </c>
      <c r="BG926" t="s">
        <v>74</v>
      </c>
      <c r="BH926" t="s">
        <v>74</v>
      </c>
      <c r="BI926">
        <v>1</v>
      </c>
      <c r="BJ926" t="s">
        <v>3677</v>
      </c>
      <c r="BK926" t="s">
        <v>99</v>
      </c>
      <c r="BL926" t="s">
        <v>3678</v>
      </c>
      <c r="BM926" t="s">
        <v>17004</v>
      </c>
      <c r="BN926" t="s">
        <v>74</v>
      </c>
      <c r="BO926" t="s">
        <v>74</v>
      </c>
      <c r="BP926" t="s">
        <v>74</v>
      </c>
      <c r="BQ926" t="s">
        <v>74</v>
      </c>
      <c r="BR926" t="s">
        <v>101</v>
      </c>
      <c r="BS926" t="s">
        <v>17005</v>
      </c>
      <c r="BT926" t="str">
        <f>HYPERLINK("https%3A%2F%2Fwww.webofscience.com%2Fwos%2Fwoscc%2Ffull-record%2FWOS:000299596600012","View Full Record in Web of Science")</f>
        <v>View Full Record in Web of Science</v>
      </c>
    </row>
    <row r="927" spans="1:72" x14ac:dyDescent="0.15">
      <c r="A927" t="s">
        <v>72</v>
      </c>
      <c r="B927" t="s">
        <v>17006</v>
      </c>
      <c r="C927" t="s">
        <v>74</v>
      </c>
      <c r="D927" t="s">
        <v>74</v>
      </c>
      <c r="E927" t="s">
        <v>74</v>
      </c>
      <c r="F927" t="s">
        <v>17007</v>
      </c>
      <c r="G927" t="s">
        <v>74</v>
      </c>
      <c r="H927" t="s">
        <v>74</v>
      </c>
      <c r="I927" t="s">
        <v>17008</v>
      </c>
      <c r="J927" t="s">
        <v>17009</v>
      </c>
      <c r="K927" t="s">
        <v>74</v>
      </c>
      <c r="L927" t="s">
        <v>74</v>
      </c>
      <c r="M927" t="s">
        <v>78</v>
      </c>
      <c r="N927" t="s">
        <v>79</v>
      </c>
      <c r="O927" t="s">
        <v>74</v>
      </c>
      <c r="P927" t="s">
        <v>74</v>
      </c>
      <c r="Q927" t="s">
        <v>74</v>
      </c>
      <c r="R927" t="s">
        <v>74</v>
      </c>
      <c r="S927" t="s">
        <v>74</v>
      </c>
      <c r="T927" t="s">
        <v>17010</v>
      </c>
      <c r="U927" t="s">
        <v>17011</v>
      </c>
      <c r="V927" t="s">
        <v>17012</v>
      </c>
      <c r="W927" t="s">
        <v>17013</v>
      </c>
      <c r="X927" t="s">
        <v>17014</v>
      </c>
      <c r="Y927" t="s">
        <v>17015</v>
      </c>
      <c r="Z927" t="s">
        <v>17016</v>
      </c>
      <c r="AA927" t="s">
        <v>74</v>
      </c>
      <c r="AB927" t="s">
        <v>17017</v>
      </c>
      <c r="AC927" t="s">
        <v>17018</v>
      </c>
      <c r="AD927" t="s">
        <v>17019</v>
      </c>
      <c r="AE927" t="s">
        <v>17020</v>
      </c>
      <c r="AF927" t="s">
        <v>74</v>
      </c>
      <c r="AG927">
        <v>44</v>
      </c>
      <c r="AH927">
        <v>14</v>
      </c>
      <c r="AI927">
        <v>14</v>
      </c>
      <c r="AJ927">
        <v>0</v>
      </c>
      <c r="AK927">
        <v>2</v>
      </c>
      <c r="AL927" t="s">
        <v>761</v>
      </c>
      <c r="AM927" t="s">
        <v>762</v>
      </c>
      <c r="AN927" t="s">
        <v>10609</v>
      </c>
      <c r="AO927" t="s">
        <v>17021</v>
      </c>
      <c r="AP927" t="s">
        <v>74</v>
      </c>
      <c r="AQ927" t="s">
        <v>74</v>
      </c>
      <c r="AR927" t="s">
        <v>17009</v>
      </c>
      <c r="AS927" t="s">
        <v>17022</v>
      </c>
      <c r="AT927" t="s">
        <v>74</v>
      </c>
      <c r="AU927">
        <v>2012</v>
      </c>
      <c r="AV927">
        <v>36</v>
      </c>
      <c r="AW927">
        <v>1</v>
      </c>
      <c r="AX927" t="s">
        <v>74</v>
      </c>
      <c r="AY927" t="s">
        <v>74</v>
      </c>
      <c r="AZ927" t="s">
        <v>74</v>
      </c>
      <c r="BA927" t="s">
        <v>74</v>
      </c>
      <c r="BB927">
        <v>35</v>
      </c>
      <c r="BC927">
        <v>45</v>
      </c>
      <c r="BD927" t="s">
        <v>74</v>
      </c>
      <c r="BE927" t="s">
        <v>17023</v>
      </c>
      <c r="BF927" t="str">
        <f>HYPERLINK("http://dx.doi.org/10.1080/03115518.2011.576541","http://dx.doi.org/10.1080/03115518.2011.576541")</f>
        <v>http://dx.doi.org/10.1080/03115518.2011.576541</v>
      </c>
      <c r="BG927" t="s">
        <v>74</v>
      </c>
      <c r="BH927" t="s">
        <v>74</v>
      </c>
      <c r="BI927">
        <v>11</v>
      </c>
      <c r="BJ927" t="s">
        <v>5138</v>
      </c>
      <c r="BK927" t="s">
        <v>99</v>
      </c>
      <c r="BL927" t="s">
        <v>5138</v>
      </c>
      <c r="BM927" t="s">
        <v>17024</v>
      </c>
      <c r="BN927" t="s">
        <v>74</v>
      </c>
      <c r="BO927" t="s">
        <v>74</v>
      </c>
      <c r="BP927" t="s">
        <v>74</v>
      </c>
      <c r="BQ927" t="s">
        <v>74</v>
      </c>
      <c r="BR927" t="s">
        <v>101</v>
      </c>
      <c r="BS927" t="s">
        <v>17025</v>
      </c>
      <c r="BT927" t="str">
        <f>HYPERLINK("https%3A%2F%2Fwww.webofscience.com%2Fwos%2Fwoscc%2Ffull-record%2FWOS:000301707400004","View Full Record in Web of Science")</f>
        <v>View Full Record in Web of Science</v>
      </c>
    </row>
    <row r="928" spans="1:72" x14ac:dyDescent="0.15">
      <c r="A928" t="s">
        <v>72</v>
      </c>
      <c r="B928" t="s">
        <v>17026</v>
      </c>
      <c r="C928" t="s">
        <v>74</v>
      </c>
      <c r="D928" t="s">
        <v>74</v>
      </c>
      <c r="E928" t="s">
        <v>74</v>
      </c>
      <c r="F928" t="s">
        <v>17027</v>
      </c>
      <c r="G928" t="s">
        <v>74</v>
      </c>
      <c r="H928" t="s">
        <v>74</v>
      </c>
      <c r="I928" t="s">
        <v>17028</v>
      </c>
      <c r="J928" t="s">
        <v>13816</v>
      </c>
      <c r="K928" t="s">
        <v>74</v>
      </c>
      <c r="L928" t="s">
        <v>74</v>
      </c>
      <c r="M928" t="s">
        <v>78</v>
      </c>
      <c r="N928" t="s">
        <v>79</v>
      </c>
      <c r="O928" t="s">
        <v>74</v>
      </c>
      <c r="P928" t="s">
        <v>74</v>
      </c>
      <c r="Q928" t="s">
        <v>74</v>
      </c>
      <c r="R928" t="s">
        <v>74</v>
      </c>
      <c r="S928" t="s">
        <v>74</v>
      </c>
      <c r="T928" t="s">
        <v>74</v>
      </c>
      <c r="U928" t="s">
        <v>17029</v>
      </c>
      <c r="V928" t="s">
        <v>17030</v>
      </c>
      <c r="W928" t="s">
        <v>17031</v>
      </c>
      <c r="X928" t="s">
        <v>17032</v>
      </c>
      <c r="Y928" t="s">
        <v>17033</v>
      </c>
      <c r="Z928" t="s">
        <v>17034</v>
      </c>
      <c r="AA928" t="s">
        <v>17035</v>
      </c>
      <c r="AB928" t="s">
        <v>17036</v>
      </c>
      <c r="AC928" t="s">
        <v>17037</v>
      </c>
      <c r="AD928" t="s">
        <v>17038</v>
      </c>
      <c r="AE928" t="s">
        <v>17039</v>
      </c>
      <c r="AF928" t="s">
        <v>74</v>
      </c>
      <c r="AG928">
        <v>55</v>
      </c>
      <c r="AH928">
        <v>11</v>
      </c>
      <c r="AI928">
        <v>12</v>
      </c>
      <c r="AJ928">
        <v>1</v>
      </c>
      <c r="AK928">
        <v>9</v>
      </c>
      <c r="AL928" t="s">
        <v>13270</v>
      </c>
      <c r="AM928" t="s">
        <v>13271</v>
      </c>
      <c r="AN928" t="s">
        <v>13272</v>
      </c>
      <c r="AO928" t="s">
        <v>13828</v>
      </c>
      <c r="AP928" t="s">
        <v>74</v>
      </c>
      <c r="AQ928" t="s">
        <v>74</v>
      </c>
      <c r="AR928" t="s">
        <v>13830</v>
      </c>
      <c r="AS928" t="s">
        <v>13831</v>
      </c>
      <c r="AT928" t="s">
        <v>74</v>
      </c>
      <c r="AU928">
        <v>2012</v>
      </c>
      <c r="AV928">
        <v>12</v>
      </c>
      <c r="AW928">
        <v>6</v>
      </c>
      <c r="AX928" t="s">
        <v>74</v>
      </c>
      <c r="AY928" t="s">
        <v>74</v>
      </c>
      <c r="AZ928" t="s">
        <v>74</v>
      </c>
      <c r="BA928" t="s">
        <v>74</v>
      </c>
      <c r="BB928">
        <v>2865</v>
      </c>
      <c r="BC928">
        <v>2879</v>
      </c>
      <c r="BD928" t="s">
        <v>74</v>
      </c>
      <c r="BE928" t="s">
        <v>17040</v>
      </c>
      <c r="BF928" t="str">
        <f>HYPERLINK("http://dx.doi.org/10.5194/acp-12-2865-2012","http://dx.doi.org/10.5194/acp-12-2865-2012")</f>
        <v>http://dx.doi.org/10.5194/acp-12-2865-2012</v>
      </c>
      <c r="BG928" t="s">
        <v>74</v>
      </c>
      <c r="BH928" t="s">
        <v>74</v>
      </c>
      <c r="BI928">
        <v>15</v>
      </c>
      <c r="BJ928" t="s">
        <v>1758</v>
      </c>
      <c r="BK928" t="s">
        <v>99</v>
      </c>
      <c r="BL928" t="s">
        <v>1759</v>
      </c>
      <c r="BM928" t="s">
        <v>17041</v>
      </c>
      <c r="BN928" t="s">
        <v>74</v>
      </c>
      <c r="BO928" t="s">
        <v>7430</v>
      </c>
      <c r="BP928" t="s">
        <v>74</v>
      </c>
      <c r="BQ928" t="s">
        <v>74</v>
      </c>
      <c r="BR928" t="s">
        <v>101</v>
      </c>
      <c r="BS928" t="s">
        <v>17042</v>
      </c>
      <c r="BT928" t="str">
        <f>HYPERLINK("https%3A%2F%2Fwww.webofscience.com%2Fwos%2Fwoscc%2Ffull-record%2FWOS:000302178000004","View Full Record in Web of Science")</f>
        <v>View Full Record in Web of Science</v>
      </c>
    </row>
    <row r="929" spans="1:72" x14ac:dyDescent="0.15">
      <c r="A929" t="s">
        <v>72</v>
      </c>
      <c r="B929" t="s">
        <v>17043</v>
      </c>
      <c r="C929" t="s">
        <v>74</v>
      </c>
      <c r="D929" t="s">
        <v>74</v>
      </c>
      <c r="E929" t="s">
        <v>74</v>
      </c>
      <c r="F929" t="s">
        <v>17044</v>
      </c>
      <c r="G929" t="s">
        <v>74</v>
      </c>
      <c r="H929" t="s">
        <v>74</v>
      </c>
      <c r="I929" t="s">
        <v>17045</v>
      </c>
      <c r="J929" t="s">
        <v>13816</v>
      </c>
      <c r="K929" t="s">
        <v>74</v>
      </c>
      <c r="L929" t="s">
        <v>74</v>
      </c>
      <c r="M929" t="s">
        <v>78</v>
      </c>
      <c r="N929" t="s">
        <v>79</v>
      </c>
      <c r="O929" t="s">
        <v>74</v>
      </c>
      <c r="P929" t="s">
        <v>74</v>
      </c>
      <c r="Q929" t="s">
        <v>74</v>
      </c>
      <c r="R929" t="s">
        <v>74</v>
      </c>
      <c r="S929" t="s">
        <v>74</v>
      </c>
      <c r="T929" t="s">
        <v>74</v>
      </c>
      <c r="U929" t="s">
        <v>17046</v>
      </c>
      <c r="V929" t="s">
        <v>17047</v>
      </c>
      <c r="W929" t="s">
        <v>17048</v>
      </c>
      <c r="X929" t="s">
        <v>17049</v>
      </c>
      <c r="Y929" t="s">
        <v>17050</v>
      </c>
      <c r="Z929" t="s">
        <v>17051</v>
      </c>
      <c r="AA929" t="s">
        <v>17052</v>
      </c>
      <c r="AB929" t="s">
        <v>17053</v>
      </c>
      <c r="AC929" t="s">
        <v>17054</v>
      </c>
      <c r="AD929" t="s">
        <v>17055</v>
      </c>
      <c r="AE929" t="s">
        <v>17056</v>
      </c>
      <c r="AF929" t="s">
        <v>74</v>
      </c>
      <c r="AG929">
        <v>119</v>
      </c>
      <c r="AH929">
        <v>39</v>
      </c>
      <c r="AI929">
        <v>40</v>
      </c>
      <c r="AJ929">
        <v>0</v>
      </c>
      <c r="AK929">
        <v>9</v>
      </c>
      <c r="AL929" t="s">
        <v>13270</v>
      </c>
      <c r="AM929" t="s">
        <v>13271</v>
      </c>
      <c r="AN929" t="s">
        <v>13272</v>
      </c>
      <c r="AO929" t="s">
        <v>13828</v>
      </c>
      <c r="AP929" t="s">
        <v>13829</v>
      </c>
      <c r="AQ929" t="s">
        <v>74</v>
      </c>
      <c r="AR929" t="s">
        <v>13830</v>
      </c>
      <c r="AS929" t="s">
        <v>13831</v>
      </c>
      <c r="AT929" t="s">
        <v>74</v>
      </c>
      <c r="AU929">
        <v>2012</v>
      </c>
      <c r="AV929">
        <v>12</v>
      </c>
      <c r="AW929">
        <v>6</v>
      </c>
      <c r="AX929" t="s">
        <v>74</v>
      </c>
      <c r="AY929" t="s">
        <v>74</v>
      </c>
      <c r="AZ929" t="s">
        <v>74</v>
      </c>
      <c r="BA929" t="s">
        <v>74</v>
      </c>
      <c r="BB929">
        <v>2899</v>
      </c>
      <c r="BC929">
        <v>2931</v>
      </c>
      <c r="BD929" t="s">
        <v>74</v>
      </c>
      <c r="BE929" t="s">
        <v>17057</v>
      </c>
      <c r="BF929" t="str">
        <f>HYPERLINK("http://dx.doi.org/10.5194/acp-12-2899-2012","http://dx.doi.org/10.5194/acp-12-2899-2012")</f>
        <v>http://dx.doi.org/10.5194/acp-12-2899-2012</v>
      </c>
      <c r="BG929" t="s">
        <v>74</v>
      </c>
      <c r="BH929" t="s">
        <v>74</v>
      </c>
      <c r="BI929">
        <v>33</v>
      </c>
      <c r="BJ929" t="s">
        <v>1758</v>
      </c>
      <c r="BK929" t="s">
        <v>99</v>
      </c>
      <c r="BL929" t="s">
        <v>1759</v>
      </c>
      <c r="BM929" t="s">
        <v>17041</v>
      </c>
      <c r="BN929" t="s">
        <v>74</v>
      </c>
      <c r="BO929" t="s">
        <v>3496</v>
      </c>
      <c r="BP929" t="s">
        <v>74</v>
      </c>
      <c r="BQ929" t="s">
        <v>74</v>
      </c>
      <c r="BR929" t="s">
        <v>101</v>
      </c>
      <c r="BS929" t="s">
        <v>17058</v>
      </c>
      <c r="BT929" t="str">
        <f>HYPERLINK("https%3A%2F%2Fwww.webofscience.com%2Fwos%2Fwoscc%2Ffull-record%2FWOS:000302178000006","View Full Record in Web of Science")</f>
        <v>View Full Record in Web of Science</v>
      </c>
    </row>
    <row r="930" spans="1:72" x14ac:dyDescent="0.15">
      <c r="A930" t="s">
        <v>72</v>
      </c>
      <c r="B930" t="s">
        <v>17059</v>
      </c>
      <c r="C930" t="s">
        <v>74</v>
      </c>
      <c r="D930" t="s">
        <v>74</v>
      </c>
      <c r="E930" t="s">
        <v>74</v>
      </c>
      <c r="F930" t="s">
        <v>17060</v>
      </c>
      <c r="G930" t="s">
        <v>74</v>
      </c>
      <c r="H930" t="s">
        <v>74</v>
      </c>
      <c r="I930" t="s">
        <v>17061</v>
      </c>
      <c r="J930" t="s">
        <v>17062</v>
      </c>
      <c r="K930" t="s">
        <v>74</v>
      </c>
      <c r="L930" t="s">
        <v>74</v>
      </c>
      <c r="M930" t="s">
        <v>78</v>
      </c>
      <c r="N930" t="s">
        <v>16848</v>
      </c>
      <c r="O930" t="s">
        <v>74</v>
      </c>
      <c r="P930" t="s">
        <v>74</v>
      </c>
      <c r="Q930" t="s">
        <v>74</v>
      </c>
      <c r="R930" t="s">
        <v>74</v>
      </c>
      <c r="S930" t="s">
        <v>74</v>
      </c>
      <c r="T930" t="s">
        <v>74</v>
      </c>
      <c r="U930" t="s">
        <v>74</v>
      </c>
      <c r="V930" t="s">
        <v>74</v>
      </c>
      <c r="W930" t="s">
        <v>17063</v>
      </c>
      <c r="X930" t="s">
        <v>17064</v>
      </c>
      <c r="Y930" t="s">
        <v>17065</v>
      </c>
      <c r="Z930" t="s">
        <v>74</v>
      </c>
      <c r="AA930" t="s">
        <v>74</v>
      </c>
      <c r="AB930" t="s">
        <v>74</v>
      </c>
      <c r="AC930" t="s">
        <v>74</v>
      </c>
      <c r="AD930" t="s">
        <v>74</v>
      </c>
      <c r="AE930" t="s">
        <v>74</v>
      </c>
      <c r="AF930" t="s">
        <v>74</v>
      </c>
      <c r="AG930">
        <v>1</v>
      </c>
      <c r="AH930">
        <v>0</v>
      </c>
      <c r="AI930">
        <v>0</v>
      </c>
      <c r="AJ930">
        <v>1</v>
      </c>
      <c r="AK930">
        <v>1</v>
      </c>
      <c r="AL930" t="s">
        <v>761</v>
      </c>
      <c r="AM930" t="s">
        <v>762</v>
      </c>
      <c r="AN930" t="s">
        <v>10609</v>
      </c>
      <c r="AO930" t="s">
        <v>17066</v>
      </c>
      <c r="AP930" t="s">
        <v>74</v>
      </c>
      <c r="AQ930" t="s">
        <v>74</v>
      </c>
      <c r="AR930" t="s">
        <v>17067</v>
      </c>
      <c r="AS930" t="s">
        <v>17068</v>
      </c>
      <c r="AT930" t="s">
        <v>74</v>
      </c>
      <c r="AU930">
        <v>2012</v>
      </c>
      <c r="AV930">
        <v>36</v>
      </c>
      <c r="AW930">
        <v>1</v>
      </c>
      <c r="AX930" t="s">
        <v>74</v>
      </c>
      <c r="AY930" t="s">
        <v>74</v>
      </c>
      <c r="AZ930" t="s">
        <v>74</v>
      </c>
      <c r="BA930" t="s">
        <v>74</v>
      </c>
      <c r="BB930">
        <v>128</v>
      </c>
      <c r="BC930">
        <v>130</v>
      </c>
      <c r="BD930" t="s">
        <v>74</v>
      </c>
      <c r="BE930" t="s">
        <v>17069</v>
      </c>
      <c r="BF930" t="str">
        <f>HYPERLINK("http://dx.doi.org/10.1080/03087298.2012.638128","http://dx.doi.org/10.1080/03087298.2012.638128")</f>
        <v>http://dx.doi.org/10.1080/03087298.2012.638128</v>
      </c>
      <c r="BG930" t="s">
        <v>74</v>
      </c>
      <c r="BH930" t="s">
        <v>74</v>
      </c>
      <c r="BI930">
        <v>4</v>
      </c>
      <c r="BJ930" t="s">
        <v>17070</v>
      </c>
      <c r="BK930" t="s">
        <v>16857</v>
      </c>
      <c r="BL930" t="s">
        <v>17070</v>
      </c>
      <c r="BM930" t="s">
        <v>17071</v>
      </c>
      <c r="BN930" t="s">
        <v>74</v>
      </c>
      <c r="BO930" t="s">
        <v>74</v>
      </c>
      <c r="BP930" t="s">
        <v>74</v>
      </c>
      <c r="BQ930" t="s">
        <v>74</v>
      </c>
      <c r="BR930" t="s">
        <v>101</v>
      </c>
      <c r="BS930" t="s">
        <v>17072</v>
      </c>
      <c r="BT930" t="str">
        <f>HYPERLINK("https%3A%2F%2Fwww.webofscience.com%2Fwos%2Fwoscc%2Ffull-record%2FWOS:000301942200014","View Full Record in Web of Science")</f>
        <v>View Full Record in Web of Science</v>
      </c>
    </row>
    <row r="931" spans="1:72" x14ac:dyDescent="0.15">
      <c r="A931" t="s">
        <v>72</v>
      </c>
      <c r="B931" t="s">
        <v>17073</v>
      </c>
      <c r="C931" t="s">
        <v>74</v>
      </c>
      <c r="D931" t="s">
        <v>74</v>
      </c>
      <c r="E931" t="s">
        <v>74</v>
      </c>
      <c r="F931" t="s">
        <v>17074</v>
      </c>
      <c r="G931" t="s">
        <v>74</v>
      </c>
      <c r="H931" t="s">
        <v>74</v>
      </c>
      <c r="I931" t="s">
        <v>17075</v>
      </c>
      <c r="J931" t="s">
        <v>15724</v>
      </c>
      <c r="K931" t="s">
        <v>74</v>
      </c>
      <c r="L931" t="s">
        <v>74</v>
      </c>
      <c r="M931" t="s">
        <v>78</v>
      </c>
      <c r="N931" t="s">
        <v>79</v>
      </c>
      <c r="O931" t="s">
        <v>74</v>
      </c>
      <c r="P931" t="s">
        <v>74</v>
      </c>
      <c r="Q931" t="s">
        <v>74</v>
      </c>
      <c r="R931" t="s">
        <v>74</v>
      </c>
      <c r="S931" t="s">
        <v>74</v>
      </c>
      <c r="T931" t="s">
        <v>74</v>
      </c>
      <c r="U931" t="s">
        <v>17076</v>
      </c>
      <c r="V931" t="s">
        <v>17077</v>
      </c>
      <c r="W931" t="s">
        <v>17078</v>
      </c>
      <c r="X931" t="s">
        <v>17079</v>
      </c>
      <c r="Y931" t="s">
        <v>17080</v>
      </c>
      <c r="Z931" t="s">
        <v>17081</v>
      </c>
      <c r="AA931" t="s">
        <v>17082</v>
      </c>
      <c r="AB931" t="s">
        <v>17083</v>
      </c>
      <c r="AC931" t="s">
        <v>74</v>
      </c>
      <c r="AD931" t="s">
        <v>74</v>
      </c>
      <c r="AE931" t="s">
        <v>74</v>
      </c>
      <c r="AF931" t="s">
        <v>74</v>
      </c>
      <c r="AG931">
        <v>40</v>
      </c>
      <c r="AH931">
        <v>6</v>
      </c>
      <c r="AI931">
        <v>6</v>
      </c>
      <c r="AJ931">
        <v>1</v>
      </c>
      <c r="AK931">
        <v>7</v>
      </c>
      <c r="AL931" t="s">
        <v>761</v>
      </c>
      <c r="AM931" t="s">
        <v>762</v>
      </c>
      <c r="AN931" t="s">
        <v>763</v>
      </c>
      <c r="AO931" t="s">
        <v>15733</v>
      </c>
      <c r="AP931" t="s">
        <v>15734</v>
      </c>
      <c r="AQ931" t="s">
        <v>74</v>
      </c>
      <c r="AR931" t="s">
        <v>15735</v>
      </c>
      <c r="AS931" t="s">
        <v>15736</v>
      </c>
      <c r="AT931" t="s">
        <v>74</v>
      </c>
      <c r="AU931">
        <v>2012</v>
      </c>
      <c r="AV931">
        <v>33</v>
      </c>
      <c r="AW931">
        <v>4</v>
      </c>
      <c r="AX931" t="s">
        <v>74</v>
      </c>
      <c r="AY931" t="s">
        <v>74</v>
      </c>
      <c r="AZ931" t="s">
        <v>74</v>
      </c>
      <c r="BA931" t="s">
        <v>74</v>
      </c>
      <c r="BB931">
        <v>962</v>
      </c>
      <c r="BC931">
        <v>978</v>
      </c>
      <c r="BD931" t="s">
        <v>74</v>
      </c>
      <c r="BE931" t="s">
        <v>17084</v>
      </c>
      <c r="BF931" t="str">
        <f>HYPERLINK("http://dx.doi.org/10.1080/01431161.2010.542206","http://dx.doi.org/10.1080/01431161.2010.542206")</f>
        <v>http://dx.doi.org/10.1080/01431161.2010.542206</v>
      </c>
      <c r="BG931" t="s">
        <v>74</v>
      </c>
      <c r="BH931" t="s">
        <v>74</v>
      </c>
      <c r="BI931">
        <v>17</v>
      </c>
      <c r="BJ931" t="s">
        <v>15738</v>
      </c>
      <c r="BK931" t="s">
        <v>99</v>
      </c>
      <c r="BL931" t="s">
        <v>15738</v>
      </c>
      <c r="BM931" t="s">
        <v>17085</v>
      </c>
      <c r="BN931" t="s">
        <v>74</v>
      </c>
      <c r="BO931" t="s">
        <v>74</v>
      </c>
      <c r="BP931" t="s">
        <v>74</v>
      </c>
      <c r="BQ931" t="s">
        <v>74</v>
      </c>
      <c r="BR931" t="s">
        <v>101</v>
      </c>
      <c r="BS931" t="s">
        <v>17086</v>
      </c>
      <c r="BT931" t="str">
        <f>HYPERLINK("https%3A%2F%2Fwww.webofscience.com%2Fwos%2Fwoscc%2Ffull-record%2FWOS:000302161100005","View Full Record in Web of Science")</f>
        <v>View Full Record in Web of Science</v>
      </c>
    </row>
    <row r="932" spans="1:72" x14ac:dyDescent="0.15">
      <c r="A932" t="s">
        <v>72</v>
      </c>
      <c r="B932" t="s">
        <v>17087</v>
      </c>
      <c r="C932" t="s">
        <v>74</v>
      </c>
      <c r="D932" t="s">
        <v>74</v>
      </c>
      <c r="E932" t="s">
        <v>74</v>
      </c>
      <c r="F932" t="s">
        <v>17088</v>
      </c>
      <c r="G932" t="s">
        <v>74</v>
      </c>
      <c r="H932" t="s">
        <v>74</v>
      </c>
      <c r="I932" t="s">
        <v>17089</v>
      </c>
      <c r="J932" t="s">
        <v>1583</v>
      </c>
      <c r="K932" t="s">
        <v>74</v>
      </c>
      <c r="L932" t="s">
        <v>74</v>
      </c>
      <c r="M932" t="s">
        <v>78</v>
      </c>
      <c r="N932" t="s">
        <v>79</v>
      </c>
      <c r="O932" t="s">
        <v>74</v>
      </c>
      <c r="P932" t="s">
        <v>74</v>
      </c>
      <c r="Q932" t="s">
        <v>74</v>
      </c>
      <c r="R932" t="s">
        <v>74</v>
      </c>
      <c r="S932" t="s">
        <v>74</v>
      </c>
      <c r="T932" t="s">
        <v>17090</v>
      </c>
      <c r="U932" t="s">
        <v>17091</v>
      </c>
      <c r="V932" t="s">
        <v>17092</v>
      </c>
      <c r="W932" t="s">
        <v>17093</v>
      </c>
      <c r="X932" t="s">
        <v>17094</v>
      </c>
      <c r="Y932" t="s">
        <v>17095</v>
      </c>
      <c r="Z932" t="s">
        <v>17096</v>
      </c>
      <c r="AA932" t="s">
        <v>17097</v>
      </c>
      <c r="AB932" t="s">
        <v>17098</v>
      </c>
      <c r="AC932" t="s">
        <v>17099</v>
      </c>
      <c r="AD932" t="s">
        <v>17100</v>
      </c>
      <c r="AE932" t="s">
        <v>74</v>
      </c>
      <c r="AF932" t="s">
        <v>74</v>
      </c>
      <c r="AG932">
        <v>32</v>
      </c>
      <c r="AH932">
        <v>50</v>
      </c>
      <c r="AI932">
        <v>52</v>
      </c>
      <c r="AJ932">
        <v>0</v>
      </c>
      <c r="AK932">
        <v>19</v>
      </c>
      <c r="AL932" t="s">
        <v>1595</v>
      </c>
      <c r="AM932" t="s">
        <v>278</v>
      </c>
      <c r="AN932" t="s">
        <v>1596</v>
      </c>
      <c r="AO932" t="s">
        <v>1597</v>
      </c>
      <c r="AP932" t="s">
        <v>17101</v>
      </c>
      <c r="AQ932" t="s">
        <v>74</v>
      </c>
      <c r="AR932" t="s">
        <v>1598</v>
      </c>
      <c r="AS932" t="s">
        <v>1599</v>
      </c>
      <c r="AT932" t="s">
        <v>74</v>
      </c>
      <c r="AU932">
        <v>2012</v>
      </c>
      <c r="AV932" t="s">
        <v>17102</v>
      </c>
      <c r="AW932" t="s">
        <v>74</v>
      </c>
      <c r="AX932" t="s">
        <v>74</v>
      </c>
      <c r="AY932" t="s">
        <v>74</v>
      </c>
      <c r="AZ932" t="s">
        <v>74</v>
      </c>
      <c r="BA932" t="s">
        <v>74</v>
      </c>
      <c r="BB932">
        <v>14</v>
      </c>
      <c r="BC932">
        <v>26</v>
      </c>
      <c r="BD932" t="s">
        <v>74</v>
      </c>
      <c r="BE932" t="s">
        <v>17103</v>
      </c>
      <c r="BF932" t="str">
        <f>HYPERLINK("http://dx.doi.org/10.1016/j.ocemod.2011.12.001","http://dx.doi.org/10.1016/j.ocemod.2011.12.001")</f>
        <v>http://dx.doi.org/10.1016/j.ocemod.2011.12.001</v>
      </c>
      <c r="BG932" t="s">
        <v>74</v>
      </c>
      <c r="BH932" t="s">
        <v>74</v>
      </c>
      <c r="BI932">
        <v>13</v>
      </c>
      <c r="BJ932" t="s">
        <v>1601</v>
      </c>
      <c r="BK932" t="s">
        <v>99</v>
      </c>
      <c r="BL932" t="s">
        <v>1601</v>
      </c>
      <c r="BM932" t="s">
        <v>17104</v>
      </c>
      <c r="BN932" t="s">
        <v>74</v>
      </c>
      <c r="BO932" t="s">
        <v>328</v>
      </c>
      <c r="BP932" t="s">
        <v>74</v>
      </c>
      <c r="BQ932" t="s">
        <v>74</v>
      </c>
      <c r="BR932" t="s">
        <v>101</v>
      </c>
      <c r="BS932" t="s">
        <v>17105</v>
      </c>
      <c r="BT932" t="str">
        <f>HYPERLINK("https%3A%2F%2Fwww.webofscience.com%2Fwos%2Fwoscc%2Ffull-record%2FWOS:000302187700002","View Full Record in Web of Science")</f>
        <v>View Full Record in Web of Science</v>
      </c>
    </row>
    <row r="933" spans="1:72" x14ac:dyDescent="0.15">
      <c r="A933" t="s">
        <v>72</v>
      </c>
      <c r="B933" t="s">
        <v>17106</v>
      </c>
      <c r="C933" t="s">
        <v>74</v>
      </c>
      <c r="D933" t="s">
        <v>74</v>
      </c>
      <c r="E933" t="s">
        <v>74</v>
      </c>
      <c r="F933" t="s">
        <v>17107</v>
      </c>
      <c r="G933" t="s">
        <v>74</v>
      </c>
      <c r="H933" t="s">
        <v>74</v>
      </c>
      <c r="I933" t="s">
        <v>17108</v>
      </c>
      <c r="J933" t="s">
        <v>14591</v>
      </c>
      <c r="K933" t="s">
        <v>74</v>
      </c>
      <c r="L933" t="s">
        <v>74</v>
      </c>
      <c r="M933" t="s">
        <v>78</v>
      </c>
      <c r="N933" t="s">
        <v>79</v>
      </c>
      <c r="O933" t="s">
        <v>74</v>
      </c>
      <c r="P933" t="s">
        <v>74</v>
      </c>
      <c r="Q933" t="s">
        <v>74</v>
      </c>
      <c r="R933" t="s">
        <v>74</v>
      </c>
      <c r="S933" t="s">
        <v>74</v>
      </c>
      <c r="T933" t="s">
        <v>17109</v>
      </c>
      <c r="U933" t="s">
        <v>17110</v>
      </c>
      <c r="V933" t="s">
        <v>17111</v>
      </c>
      <c r="W933" t="s">
        <v>17112</v>
      </c>
      <c r="X933" t="s">
        <v>17113</v>
      </c>
      <c r="Y933" t="s">
        <v>17114</v>
      </c>
      <c r="Z933" t="s">
        <v>17115</v>
      </c>
      <c r="AA933" t="s">
        <v>74</v>
      </c>
      <c r="AB933" t="s">
        <v>74</v>
      </c>
      <c r="AC933" t="s">
        <v>74</v>
      </c>
      <c r="AD933" t="s">
        <v>74</v>
      </c>
      <c r="AE933" t="s">
        <v>74</v>
      </c>
      <c r="AF933" t="s">
        <v>74</v>
      </c>
      <c r="AG933">
        <v>27</v>
      </c>
      <c r="AH933">
        <v>16</v>
      </c>
      <c r="AI933">
        <v>18</v>
      </c>
      <c r="AJ933">
        <v>0</v>
      </c>
      <c r="AK933">
        <v>4</v>
      </c>
      <c r="AL933" t="s">
        <v>14642</v>
      </c>
      <c r="AM933" t="s">
        <v>9392</v>
      </c>
      <c r="AN933" t="s">
        <v>14643</v>
      </c>
      <c r="AO933" t="s">
        <v>14603</v>
      </c>
      <c r="AP933" t="s">
        <v>74</v>
      </c>
      <c r="AQ933" t="s">
        <v>74</v>
      </c>
      <c r="AR933" t="s">
        <v>14605</v>
      </c>
      <c r="AS933" t="s">
        <v>14606</v>
      </c>
      <c r="AT933" t="s">
        <v>74</v>
      </c>
      <c r="AU933">
        <v>2012</v>
      </c>
      <c r="AV933">
        <v>33</v>
      </c>
      <c r="AW933">
        <v>1</v>
      </c>
      <c r="AX933" t="s">
        <v>74</v>
      </c>
      <c r="AY933" t="s">
        <v>74</v>
      </c>
      <c r="AZ933" t="s">
        <v>74</v>
      </c>
      <c r="BA933" t="s">
        <v>74</v>
      </c>
      <c r="BB933">
        <v>41</v>
      </c>
      <c r="BC933">
        <v>62</v>
      </c>
      <c r="BD933" t="s">
        <v>74</v>
      </c>
      <c r="BE933" t="s">
        <v>17116</v>
      </c>
      <c r="BF933" t="str">
        <f>HYPERLINK("http://dx.doi.org/10.2478/v10183-012-0002-7","http://dx.doi.org/10.2478/v10183-012-0002-7")</f>
        <v>http://dx.doi.org/10.2478/v10183-012-0002-7</v>
      </c>
      <c r="BG933" t="s">
        <v>74</v>
      </c>
      <c r="BH933" t="s">
        <v>74</v>
      </c>
      <c r="BI933">
        <v>22</v>
      </c>
      <c r="BJ933" t="s">
        <v>13277</v>
      </c>
      <c r="BK933" t="s">
        <v>99</v>
      </c>
      <c r="BL933" t="s">
        <v>6665</v>
      </c>
      <c r="BM933" t="s">
        <v>17117</v>
      </c>
      <c r="BN933" t="s">
        <v>74</v>
      </c>
      <c r="BO933" t="s">
        <v>74</v>
      </c>
      <c r="BP933" t="s">
        <v>74</v>
      </c>
      <c r="BQ933" t="s">
        <v>74</v>
      </c>
      <c r="BR933" t="s">
        <v>101</v>
      </c>
      <c r="BS933" t="s">
        <v>17118</v>
      </c>
      <c r="BT933" t="str">
        <f>HYPERLINK("https%3A%2F%2Fwww.webofscience.com%2Fwos%2Fwoscc%2Ffull-record%2FWOS:000302521400004","View Full Record in Web of Science")</f>
        <v>View Full Record in Web of Science</v>
      </c>
    </row>
    <row r="934" spans="1:72" x14ac:dyDescent="0.15">
      <c r="A934" t="s">
        <v>72</v>
      </c>
      <c r="B934" t="s">
        <v>17119</v>
      </c>
      <c r="C934" t="s">
        <v>74</v>
      </c>
      <c r="D934" t="s">
        <v>74</v>
      </c>
      <c r="E934" t="s">
        <v>74</v>
      </c>
      <c r="F934" t="s">
        <v>17120</v>
      </c>
      <c r="G934" t="s">
        <v>74</v>
      </c>
      <c r="H934" t="s">
        <v>74</v>
      </c>
      <c r="I934" t="s">
        <v>17121</v>
      </c>
      <c r="J934" t="s">
        <v>14591</v>
      </c>
      <c r="K934" t="s">
        <v>74</v>
      </c>
      <c r="L934" t="s">
        <v>74</v>
      </c>
      <c r="M934" t="s">
        <v>78</v>
      </c>
      <c r="N934" t="s">
        <v>79</v>
      </c>
      <c r="O934" t="s">
        <v>74</v>
      </c>
      <c r="P934" t="s">
        <v>74</v>
      </c>
      <c r="Q934" t="s">
        <v>74</v>
      </c>
      <c r="R934" t="s">
        <v>74</v>
      </c>
      <c r="S934" t="s">
        <v>74</v>
      </c>
      <c r="T934" t="s">
        <v>17122</v>
      </c>
      <c r="U934" t="s">
        <v>17123</v>
      </c>
      <c r="V934" t="s">
        <v>17124</v>
      </c>
      <c r="W934" t="s">
        <v>17125</v>
      </c>
      <c r="X934" t="s">
        <v>17126</v>
      </c>
      <c r="Y934" t="s">
        <v>17127</v>
      </c>
      <c r="Z934" t="s">
        <v>17128</v>
      </c>
      <c r="AA934" t="s">
        <v>17129</v>
      </c>
      <c r="AB934" t="s">
        <v>17130</v>
      </c>
      <c r="AC934" t="s">
        <v>17131</v>
      </c>
      <c r="AD934" t="s">
        <v>17132</v>
      </c>
      <c r="AE934" t="s">
        <v>17133</v>
      </c>
      <c r="AF934" t="s">
        <v>74</v>
      </c>
      <c r="AG934">
        <v>81</v>
      </c>
      <c r="AH934">
        <v>41</v>
      </c>
      <c r="AI934">
        <v>48</v>
      </c>
      <c r="AJ934">
        <v>4</v>
      </c>
      <c r="AK934">
        <v>70</v>
      </c>
      <c r="AL934" t="s">
        <v>14600</v>
      </c>
      <c r="AM934" t="s">
        <v>14601</v>
      </c>
      <c r="AN934" t="s">
        <v>14602</v>
      </c>
      <c r="AO934" t="s">
        <v>14603</v>
      </c>
      <c r="AP934" t="s">
        <v>14604</v>
      </c>
      <c r="AQ934" t="s">
        <v>74</v>
      </c>
      <c r="AR934" t="s">
        <v>14605</v>
      </c>
      <c r="AS934" t="s">
        <v>14606</v>
      </c>
      <c r="AT934" t="s">
        <v>74</v>
      </c>
      <c r="AU934">
        <v>2012</v>
      </c>
      <c r="AV934">
        <v>33</v>
      </c>
      <c r="AW934">
        <v>1</v>
      </c>
      <c r="AX934" t="s">
        <v>74</v>
      </c>
      <c r="AY934" t="s">
        <v>74</v>
      </c>
      <c r="AZ934" t="s">
        <v>74</v>
      </c>
      <c r="BA934" t="s">
        <v>74</v>
      </c>
      <c r="BB934">
        <v>63</v>
      </c>
      <c r="BC934">
        <v>80</v>
      </c>
      <c r="BD934" t="s">
        <v>74</v>
      </c>
      <c r="BE934" t="s">
        <v>17134</v>
      </c>
      <c r="BF934" t="str">
        <f>HYPERLINK("http://dx.doi.org/10.2478/v10183-012-0004-5","http://dx.doi.org/10.2478/v10183-012-0004-5")</f>
        <v>http://dx.doi.org/10.2478/v10183-012-0004-5</v>
      </c>
      <c r="BG934" t="s">
        <v>74</v>
      </c>
      <c r="BH934" t="s">
        <v>74</v>
      </c>
      <c r="BI934">
        <v>18</v>
      </c>
      <c r="BJ934" t="s">
        <v>13277</v>
      </c>
      <c r="BK934" t="s">
        <v>99</v>
      </c>
      <c r="BL934" t="s">
        <v>6665</v>
      </c>
      <c r="BM934" t="s">
        <v>17117</v>
      </c>
      <c r="BN934" t="s">
        <v>74</v>
      </c>
      <c r="BO934" t="s">
        <v>156</v>
      </c>
      <c r="BP934" t="s">
        <v>74</v>
      </c>
      <c r="BQ934" t="s">
        <v>74</v>
      </c>
      <c r="BR934" t="s">
        <v>101</v>
      </c>
      <c r="BS934" t="s">
        <v>17135</v>
      </c>
      <c r="BT934" t="str">
        <f>HYPERLINK("https%3A%2F%2Fwww.webofscience.com%2Fwos%2Fwoscc%2Ffull-record%2FWOS:000302521400005","View Full Record in Web of Science")</f>
        <v>View Full Record in Web of Science</v>
      </c>
    </row>
    <row r="935" spans="1:72" x14ac:dyDescent="0.15">
      <c r="A935" t="s">
        <v>72</v>
      </c>
      <c r="B935" t="s">
        <v>17136</v>
      </c>
      <c r="C935" t="s">
        <v>74</v>
      </c>
      <c r="D935" t="s">
        <v>74</v>
      </c>
      <c r="E935" t="s">
        <v>74</v>
      </c>
      <c r="F935" t="s">
        <v>17137</v>
      </c>
      <c r="G935" t="s">
        <v>74</v>
      </c>
      <c r="H935" t="s">
        <v>74</v>
      </c>
      <c r="I935" t="s">
        <v>17138</v>
      </c>
      <c r="J935" t="s">
        <v>14591</v>
      </c>
      <c r="K935" t="s">
        <v>74</v>
      </c>
      <c r="L935" t="s">
        <v>74</v>
      </c>
      <c r="M935" t="s">
        <v>78</v>
      </c>
      <c r="N935" t="s">
        <v>79</v>
      </c>
      <c r="O935" t="s">
        <v>74</v>
      </c>
      <c r="P935" t="s">
        <v>74</v>
      </c>
      <c r="Q935" t="s">
        <v>74</v>
      </c>
      <c r="R935" t="s">
        <v>74</v>
      </c>
      <c r="S935" t="s">
        <v>74</v>
      </c>
      <c r="T935" t="s">
        <v>17139</v>
      </c>
      <c r="U935" t="s">
        <v>17140</v>
      </c>
      <c r="V935" t="s">
        <v>17141</v>
      </c>
      <c r="W935" t="s">
        <v>17142</v>
      </c>
      <c r="X935" t="s">
        <v>17143</v>
      </c>
      <c r="Y935" t="s">
        <v>17144</v>
      </c>
      <c r="Z935" t="s">
        <v>17145</v>
      </c>
      <c r="AA935" t="s">
        <v>17146</v>
      </c>
      <c r="AB935" t="s">
        <v>17147</v>
      </c>
      <c r="AC935" t="s">
        <v>74</v>
      </c>
      <c r="AD935" t="s">
        <v>74</v>
      </c>
      <c r="AE935" t="s">
        <v>74</v>
      </c>
      <c r="AF935" t="s">
        <v>74</v>
      </c>
      <c r="AG935">
        <v>34</v>
      </c>
      <c r="AH935">
        <v>10</v>
      </c>
      <c r="AI935">
        <v>11</v>
      </c>
      <c r="AJ935">
        <v>0</v>
      </c>
      <c r="AK935">
        <v>8</v>
      </c>
      <c r="AL935" t="s">
        <v>14642</v>
      </c>
      <c r="AM935" t="s">
        <v>9392</v>
      </c>
      <c r="AN935" t="s">
        <v>14643</v>
      </c>
      <c r="AO935" t="s">
        <v>14603</v>
      </c>
      <c r="AP935" t="s">
        <v>74</v>
      </c>
      <c r="AQ935" t="s">
        <v>74</v>
      </c>
      <c r="AR935" t="s">
        <v>14605</v>
      </c>
      <c r="AS935" t="s">
        <v>14606</v>
      </c>
      <c r="AT935" t="s">
        <v>74</v>
      </c>
      <c r="AU935">
        <v>2012</v>
      </c>
      <c r="AV935">
        <v>33</v>
      </c>
      <c r="AW935">
        <v>1</v>
      </c>
      <c r="AX935" t="s">
        <v>74</v>
      </c>
      <c r="AY935" t="s">
        <v>74</v>
      </c>
      <c r="AZ935" t="s">
        <v>74</v>
      </c>
      <c r="BA935" t="s">
        <v>74</v>
      </c>
      <c r="BB935">
        <v>99</v>
      </c>
      <c r="BC935">
        <v>108</v>
      </c>
      <c r="BD935" t="s">
        <v>74</v>
      </c>
      <c r="BE935" t="s">
        <v>17148</v>
      </c>
      <c r="BF935" t="str">
        <f>HYPERLINK("http://dx.doi.org/10.2478/v10183-012-0005-4","http://dx.doi.org/10.2478/v10183-012-0005-4")</f>
        <v>http://dx.doi.org/10.2478/v10183-012-0005-4</v>
      </c>
      <c r="BG935" t="s">
        <v>74</v>
      </c>
      <c r="BH935" t="s">
        <v>74</v>
      </c>
      <c r="BI935">
        <v>10</v>
      </c>
      <c r="BJ935" t="s">
        <v>13277</v>
      </c>
      <c r="BK935" t="s">
        <v>99</v>
      </c>
      <c r="BL935" t="s">
        <v>6665</v>
      </c>
      <c r="BM935" t="s">
        <v>17117</v>
      </c>
      <c r="BN935" t="s">
        <v>74</v>
      </c>
      <c r="BO935" t="s">
        <v>156</v>
      </c>
      <c r="BP935" t="s">
        <v>74</v>
      </c>
      <c r="BQ935" t="s">
        <v>74</v>
      </c>
      <c r="BR935" t="s">
        <v>101</v>
      </c>
      <c r="BS935" t="s">
        <v>17149</v>
      </c>
      <c r="BT935" t="str">
        <f>HYPERLINK("https%3A%2F%2Fwww.webofscience.com%2Fwos%2Fwoscc%2Ffull-record%2FWOS:000302521400007","View Full Record in Web of Science")</f>
        <v>View Full Record in Web of Science</v>
      </c>
    </row>
    <row r="936" spans="1:72" x14ac:dyDescent="0.15">
      <c r="A936" t="s">
        <v>72</v>
      </c>
      <c r="B936" t="s">
        <v>17150</v>
      </c>
      <c r="C936" t="s">
        <v>74</v>
      </c>
      <c r="D936" t="s">
        <v>74</v>
      </c>
      <c r="E936" t="s">
        <v>74</v>
      </c>
      <c r="F936" t="s">
        <v>17151</v>
      </c>
      <c r="G936" t="s">
        <v>74</v>
      </c>
      <c r="H936" t="s">
        <v>74</v>
      </c>
      <c r="I936" t="s">
        <v>17152</v>
      </c>
      <c r="J936" t="s">
        <v>17153</v>
      </c>
      <c r="K936" t="s">
        <v>74</v>
      </c>
      <c r="L936" t="s">
        <v>74</v>
      </c>
      <c r="M936" t="s">
        <v>78</v>
      </c>
      <c r="N936" t="s">
        <v>79</v>
      </c>
      <c r="O936" t="s">
        <v>74</v>
      </c>
      <c r="P936" t="s">
        <v>74</v>
      </c>
      <c r="Q936" t="s">
        <v>74</v>
      </c>
      <c r="R936" t="s">
        <v>74</v>
      </c>
      <c r="S936" t="s">
        <v>74</v>
      </c>
      <c r="T936" t="s">
        <v>74</v>
      </c>
      <c r="U936" t="s">
        <v>17154</v>
      </c>
      <c r="V936" t="s">
        <v>17155</v>
      </c>
      <c r="W936" t="s">
        <v>17156</v>
      </c>
      <c r="X936" t="s">
        <v>17157</v>
      </c>
      <c r="Y936" t="s">
        <v>17158</v>
      </c>
      <c r="Z936" t="s">
        <v>17159</v>
      </c>
      <c r="AA936" t="s">
        <v>17160</v>
      </c>
      <c r="AB936" t="s">
        <v>17161</v>
      </c>
      <c r="AC936" t="s">
        <v>17162</v>
      </c>
      <c r="AD936" t="s">
        <v>17162</v>
      </c>
      <c r="AE936" t="s">
        <v>17163</v>
      </c>
      <c r="AF936" t="s">
        <v>74</v>
      </c>
      <c r="AG936">
        <v>17</v>
      </c>
      <c r="AH936">
        <v>1</v>
      </c>
      <c r="AI936">
        <v>1</v>
      </c>
      <c r="AJ936">
        <v>0</v>
      </c>
      <c r="AK936">
        <v>19</v>
      </c>
      <c r="AL936" t="s">
        <v>761</v>
      </c>
      <c r="AM936" t="s">
        <v>762</v>
      </c>
      <c r="AN936" t="s">
        <v>763</v>
      </c>
      <c r="AO936" t="s">
        <v>17164</v>
      </c>
      <c r="AP936" t="s">
        <v>17165</v>
      </c>
      <c r="AQ936" t="s">
        <v>74</v>
      </c>
      <c r="AR936" t="s">
        <v>17166</v>
      </c>
      <c r="AS936" t="s">
        <v>17167</v>
      </c>
      <c r="AT936" t="s">
        <v>74</v>
      </c>
      <c r="AU936">
        <v>2012</v>
      </c>
      <c r="AV936">
        <v>3</v>
      </c>
      <c r="AW936">
        <v>4</v>
      </c>
      <c r="AX936" t="s">
        <v>74</v>
      </c>
      <c r="AY936" t="s">
        <v>74</v>
      </c>
      <c r="AZ936" t="s">
        <v>74</v>
      </c>
      <c r="BA936" t="s">
        <v>74</v>
      </c>
      <c r="BB936">
        <v>295</v>
      </c>
      <c r="BC936">
        <v>304</v>
      </c>
      <c r="BD936" t="s">
        <v>74</v>
      </c>
      <c r="BE936" t="s">
        <v>17168</v>
      </c>
      <c r="BF936" t="str">
        <f>HYPERLINK("http://dx.doi.org/10.1080/01431161.2011.583288","http://dx.doi.org/10.1080/01431161.2011.583288")</f>
        <v>http://dx.doi.org/10.1080/01431161.2011.583288</v>
      </c>
      <c r="BG936" t="s">
        <v>74</v>
      </c>
      <c r="BH936" t="s">
        <v>74</v>
      </c>
      <c r="BI936">
        <v>10</v>
      </c>
      <c r="BJ936" t="s">
        <v>15738</v>
      </c>
      <c r="BK936" t="s">
        <v>99</v>
      </c>
      <c r="BL936" t="s">
        <v>15738</v>
      </c>
      <c r="BM936" t="s">
        <v>17169</v>
      </c>
      <c r="BN936" t="s">
        <v>74</v>
      </c>
      <c r="BO936" t="s">
        <v>74</v>
      </c>
      <c r="BP936" t="s">
        <v>74</v>
      </c>
      <c r="BQ936" t="s">
        <v>74</v>
      </c>
      <c r="BR936" t="s">
        <v>101</v>
      </c>
      <c r="BS936" t="s">
        <v>17170</v>
      </c>
      <c r="BT936" t="str">
        <f>HYPERLINK("https%3A%2F%2Fwww.webofscience.com%2Fwos%2Fwoscc%2Ffull-record%2FWOS:000302248200003","View Full Record in Web of Science")</f>
        <v>View Full Record in Web of Science</v>
      </c>
    </row>
    <row r="937" spans="1:72" x14ac:dyDescent="0.15">
      <c r="A937" t="s">
        <v>72</v>
      </c>
      <c r="B937" t="s">
        <v>17171</v>
      </c>
      <c r="C937" t="s">
        <v>74</v>
      </c>
      <c r="D937" t="s">
        <v>74</v>
      </c>
      <c r="E937" t="s">
        <v>74</v>
      </c>
      <c r="F937" t="s">
        <v>17172</v>
      </c>
      <c r="G937" t="s">
        <v>74</v>
      </c>
      <c r="H937" t="s">
        <v>74</v>
      </c>
      <c r="I937" t="s">
        <v>17173</v>
      </c>
      <c r="J937" t="s">
        <v>17153</v>
      </c>
      <c r="K937" t="s">
        <v>74</v>
      </c>
      <c r="L937" t="s">
        <v>74</v>
      </c>
      <c r="M937" t="s">
        <v>78</v>
      </c>
      <c r="N937" t="s">
        <v>79</v>
      </c>
      <c r="O937" t="s">
        <v>74</v>
      </c>
      <c r="P937" t="s">
        <v>74</v>
      </c>
      <c r="Q937" t="s">
        <v>74</v>
      </c>
      <c r="R937" t="s">
        <v>74</v>
      </c>
      <c r="S937" t="s">
        <v>74</v>
      </c>
      <c r="T937" t="s">
        <v>74</v>
      </c>
      <c r="U937" t="s">
        <v>17174</v>
      </c>
      <c r="V937" t="s">
        <v>17175</v>
      </c>
      <c r="W937" t="s">
        <v>17176</v>
      </c>
      <c r="X937" t="s">
        <v>17177</v>
      </c>
      <c r="Y937" t="s">
        <v>17178</v>
      </c>
      <c r="Z937" t="s">
        <v>17179</v>
      </c>
      <c r="AA937" t="s">
        <v>74</v>
      </c>
      <c r="AB937" t="s">
        <v>74</v>
      </c>
      <c r="AC937" t="s">
        <v>74</v>
      </c>
      <c r="AD937" t="s">
        <v>74</v>
      </c>
      <c r="AE937" t="s">
        <v>74</v>
      </c>
      <c r="AF937" t="s">
        <v>74</v>
      </c>
      <c r="AG937">
        <v>10</v>
      </c>
      <c r="AH937">
        <v>7</v>
      </c>
      <c r="AI937">
        <v>10</v>
      </c>
      <c r="AJ937">
        <v>0</v>
      </c>
      <c r="AK937">
        <v>9</v>
      </c>
      <c r="AL937" t="s">
        <v>761</v>
      </c>
      <c r="AM937" t="s">
        <v>762</v>
      </c>
      <c r="AN937" t="s">
        <v>763</v>
      </c>
      <c r="AO937" t="s">
        <v>17164</v>
      </c>
      <c r="AP937" t="s">
        <v>17165</v>
      </c>
      <c r="AQ937" t="s">
        <v>74</v>
      </c>
      <c r="AR937" t="s">
        <v>17166</v>
      </c>
      <c r="AS937" t="s">
        <v>17167</v>
      </c>
      <c r="AT937" t="s">
        <v>74</v>
      </c>
      <c r="AU937">
        <v>2012</v>
      </c>
      <c r="AV937">
        <v>3</v>
      </c>
      <c r="AW937">
        <v>4</v>
      </c>
      <c r="AX937" t="s">
        <v>74</v>
      </c>
      <c r="AY937" t="s">
        <v>74</v>
      </c>
      <c r="AZ937" t="s">
        <v>74</v>
      </c>
      <c r="BA937" t="s">
        <v>74</v>
      </c>
      <c r="BB937">
        <v>305</v>
      </c>
      <c r="BC937">
        <v>313</v>
      </c>
      <c r="BD937" t="s">
        <v>74</v>
      </c>
      <c r="BE937" t="s">
        <v>17180</v>
      </c>
      <c r="BF937" t="str">
        <f>HYPERLINK("http://dx.doi.org/10.1080/01431161.2011.592514","http://dx.doi.org/10.1080/01431161.2011.592514")</f>
        <v>http://dx.doi.org/10.1080/01431161.2011.592514</v>
      </c>
      <c r="BG937" t="s">
        <v>74</v>
      </c>
      <c r="BH937" t="s">
        <v>74</v>
      </c>
      <c r="BI937">
        <v>9</v>
      </c>
      <c r="BJ937" t="s">
        <v>15738</v>
      </c>
      <c r="BK937" t="s">
        <v>99</v>
      </c>
      <c r="BL937" t="s">
        <v>15738</v>
      </c>
      <c r="BM937" t="s">
        <v>17169</v>
      </c>
      <c r="BN937" t="s">
        <v>74</v>
      </c>
      <c r="BO937" t="s">
        <v>74</v>
      </c>
      <c r="BP937" t="s">
        <v>74</v>
      </c>
      <c r="BQ937" t="s">
        <v>74</v>
      </c>
      <c r="BR937" t="s">
        <v>101</v>
      </c>
      <c r="BS937" t="s">
        <v>17181</v>
      </c>
      <c r="BT937" t="str">
        <f>HYPERLINK("https%3A%2F%2Fwww.webofscience.com%2Fwos%2Fwoscc%2Ffull-record%2FWOS:000302248200004","View Full Record in Web of Science")</f>
        <v>View Full Record in Web of Science</v>
      </c>
    </row>
    <row r="938" spans="1:72" x14ac:dyDescent="0.15">
      <c r="A938" t="s">
        <v>72</v>
      </c>
      <c r="B938" t="s">
        <v>17182</v>
      </c>
      <c r="C938" t="s">
        <v>74</v>
      </c>
      <c r="D938" t="s">
        <v>74</v>
      </c>
      <c r="E938" t="s">
        <v>74</v>
      </c>
      <c r="F938" t="s">
        <v>17183</v>
      </c>
      <c r="G938" t="s">
        <v>74</v>
      </c>
      <c r="H938" t="s">
        <v>74</v>
      </c>
      <c r="I938" t="s">
        <v>17184</v>
      </c>
      <c r="J938" t="s">
        <v>16023</v>
      </c>
      <c r="K938" t="s">
        <v>74</v>
      </c>
      <c r="L938" t="s">
        <v>74</v>
      </c>
      <c r="M938" t="s">
        <v>78</v>
      </c>
      <c r="N938" t="s">
        <v>79</v>
      </c>
      <c r="O938" t="s">
        <v>74</v>
      </c>
      <c r="P938" t="s">
        <v>74</v>
      </c>
      <c r="Q938" t="s">
        <v>74</v>
      </c>
      <c r="R938" t="s">
        <v>74</v>
      </c>
      <c r="S938" t="s">
        <v>74</v>
      </c>
      <c r="T938" t="s">
        <v>17185</v>
      </c>
      <c r="U938" t="s">
        <v>17186</v>
      </c>
      <c r="V938" t="s">
        <v>17187</v>
      </c>
      <c r="W938" t="s">
        <v>17188</v>
      </c>
      <c r="X938" t="s">
        <v>17189</v>
      </c>
      <c r="Y938" t="s">
        <v>17190</v>
      </c>
      <c r="Z938" t="s">
        <v>17191</v>
      </c>
      <c r="AA938" t="s">
        <v>17192</v>
      </c>
      <c r="AB938" t="s">
        <v>17193</v>
      </c>
      <c r="AC938" t="s">
        <v>17194</v>
      </c>
      <c r="AD938" t="s">
        <v>17195</v>
      </c>
      <c r="AE938" t="s">
        <v>17196</v>
      </c>
      <c r="AF938" t="s">
        <v>74</v>
      </c>
      <c r="AG938">
        <v>41</v>
      </c>
      <c r="AH938">
        <v>8</v>
      </c>
      <c r="AI938">
        <v>9</v>
      </c>
      <c r="AJ938">
        <v>0</v>
      </c>
      <c r="AK938">
        <v>18</v>
      </c>
      <c r="AL938" t="s">
        <v>16034</v>
      </c>
      <c r="AM938" t="s">
        <v>16035</v>
      </c>
      <c r="AN938" t="s">
        <v>17197</v>
      </c>
      <c r="AO938" t="s">
        <v>16037</v>
      </c>
      <c r="AP938" t="s">
        <v>74</v>
      </c>
      <c r="AQ938" t="s">
        <v>74</v>
      </c>
      <c r="AR938" t="s">
        <v>16038</v>
      </c>
      <c r="AS938" t="s">
        <v>16039</v>
      </c>
      <c r="AT938" t="s">
        <v>74</v>
      </c>
      <c r="AU938">
        <v>2012</v>
      </c>
      <c r="AV938">
        <v>11</v>
      </c>
      <c r="AW938">
        <v>1</v>
      </c>
      <c r="AX938" t="s">
        <v>74</v>
      </c>
      <c r="AY938" t="s">
        <v>74</v>
      </c>
      <c r="AZ938" t="s">
        <v>74</v>
      </c>
      <c r="BA938" t="s">
        <v>74</v>
      </c>
      <c r="BB938">
        <v>229</v>
      </c>
      <c r="BC938">
        <v>243</v>
      </c>
      <c r="BD938" t="s">
        <v>74</v>
      </c>
      <c r="BE938" t="s">
        <v>17198</v>
      </c>
      <c r="BF938" t="str">
        <f>HYPERLINK("http://dx.doi.org/10.4238/2012.February.3.3","http://dx.doi.org/10.4238/2012.February.3.3")</f>
        <v>http://dx.doi.org/10.4238/2012.February.3.3</v>
      </c>
      <c r="BG938" t="s">
        <v>74</v>
      </c>
      <c r="BH938" t="s">
        <v>74</v>
      </c>
      <c r="BI938">
        <v>15</v>
      </c>
      <c r="BJ938" t="s">
        <v>16041</v>
      </c>
      <c r="BK938" t="s">
        <v>99</v>
      </c>
      <c r="BL938" t="s">
        <v>16041</v>
      </c>
      <c r="BM938" t="s">
        <v>17199</v>
      </c>
      <c r="BN938">
        <v>22370890</v>
      </c>
      <c r="BO938" t="s">
        <v>217</v>
      </c>
      <c r="BP938" t="s">
        <v>74</v>
      </c>
      <c r="BQ938" t="s">
        <v>74</v>
      </c>
      <c r="BR938" t="s">
        <v>101</v>
      </c>
      <c r="BS938" t="s">
        <v>17200</v>
      </c>
      <c r="BT938" t="str">
        <f>HYPERLINK("https%3A%2F%2Fwww.webofscience.com%2Fwos%2Fwoscc%2Ffull-record%2FWOS:000301923500025","View Full Record in Web of Science")</f>
        <v>View Full Record in Web of Science</v>
      </c>
    </row>
    <row r="939" spans="1:72" x14ac:dyDescent="0.15">
      <c r="A939" t="s">
        <v>72</v>
      </c>
      <c r="B939" t="s">
        <v>17201</v>
      </c>
      <c r="C939" t="s">
        <v>74</v>
      </c>
      <c r="D939" t="s">
        <v>74</v>
      </c>
      <c r="E939" t="s">
        <v>74</v>
      </c>
      <c r="F939" t="s">
        <v>17202</v>
      </c>
      <c r="G939" t="s">
        <v>74</v>
      </c>
      <c r="H939" t="s">
        <v>74</v>
      </c>
      <c r="I939" t="s">
        <v>17203</v>
      </c>
      <c r="J939" t="s">
        <v>16023</v>
      </c>
      <c r="K939" t="s">
        <v>74</v>
      </c>
      <c r="L939" t="s">
        <v>74</v>
      </c>
      <c r="M939" t="s">
        <v>78</v>
      </c>
      <c r="N939" t="s">
        <v>79</v>
      </c>
      <c r="O939" t="s">
        <v>74</v>
      </c>
      <c r="P939" t="s">
        <v>74</v>
      </c>
      <c r="Q939" t="s">
        <v>74</v>
      </c>
      <c r="R939" t="s">
        <v>74</v>
      </c>
      <c r="S939" t="s">
        <v>74</v>
      </c>
      <c r="T939" t="s">
        <v>17204</v>
      </c>
      <c r="U939" t="s">
        <v>17205</v>
      </c>
      <c r="V939" t="s">
        <v>17206</v>
      </c>
      <c r="W939" t="s">
        <v>17207</v>
      </c>
      <c r="X939" t="s">
        <v>17208</v>
      </c>
      <c r="Y939" t="s">
        <v>17209</v>
      </c>
      <c r="Z939" t="s">
        <v>1436</v>
      </c>
      <c r="AA939" t="s">
        <v>17210</v>
      </c>
      <c r="AB939" t="s">
        <v>17211</v>
      </c>
      <c r="AC939" t="s">
        <v>17212</v>
      </c>
      <c r="AD939" t="s">
        <v>17213</v>
      </c>
      <c r="AE939" t="s">
        <v>17214</v>
      </c>
      <c r="AF939" t="s">
        <v>74</v>
      </c>
      <c r="AG939">
        <v>39</v>
      </c>
      <c r="AH939">
        <v>7</v>
      </c>
      <c r="AI939">
        <v>8</v>
      </c>
      <c r="AJ939">
        <v>0</v>
      </c>
      <c r="AK939">
        <v>31</v>
      </c>
      <c r="AL939" t="s">
        <v>16034</v>
      </c>
      <c r="AM939" t="s">
        <v>16035</v>
      </c>
      <c r="AN939" t="s">
        <v>16036</v>
      </c>
      <c r="AO939" t="s">
        <v>74</v>
      </c>
      <c r="AP939" t="s">
        <v>16037</v>
      </c>
      <c r="AQ939" t="s">
        <v>74</v>
      </c>
      <c r="AR939" t="s">
        <v>16038</v>
      </c>
      <c r="AS939" t="s">
        <v>16039</v>
      </c>
      <c r="AT939" t="s">
        <v>74</v>
      </c>
      <c r="AU939">
        <v>2012</v>
      </c>
      <c r="AV939">
        <v>11</v>
      </c>
      <c r="AW939">
        <v>1</v>
      </c>
      <c r="AX939" t="s">
        <v>74</v>
      </c>
      <c r="AY939" t="s">
        <v>74</v>
      </c>
      <c r="AZ939" t="s">
        <v>74</v>
      </c>
      <c r="BA939" t="s">
        <v>74</v>
      </c>
      <c r="BB939">
        <v>277</v>
      </c>
      <c r="BC939">
        <v>291</v>
      </c>
      <c r="BD939" t="s">
        <v>74</v>
      </c>
      <c r="BE939" t="s">
        <v>17215</v>
      </c>
      <c r="BF939" t="str">
        <f>HYPERLINK("http://dx.doi.org/10.4238/2012.February.8.3","http://dx.doi.org/10.4238/2012.February.8.3")</f>
        <v>http://dx.doi.org/10.4238/2012.February.8.3</v>
      </c>
      <c r="BG939" t="s">
        <v>74</v>
      </c>
      <c r="BH939" t="s">
        <v>74</v>
      </c>
      <c r="BI939">
        <v>15</v>
      </c>
      <c r="BJ939" t="s">
        <v>16041</v>
      </c>
      <c r="BK939" t="s">
        <v>99</v>
      </c>
      <c r="BL939" t="s">
        <v>16041</v>
      </c>
      <c r="BM939" t="s">
        <v>17199</v>
      </c>
      <c r="BN939">
        <v>22370930</v>
      </c>
      <c r="BO939" t="s">
        <v>217</v>
      </c>
      <c r="BP939" t="s">
        <v>74</v>
      </c>
      <c r="BQ939" t="s">
        <v>74</v>
      </c>
      <c r="BR939" t="s">
        <v>101</v>
      </c>
      <c r="BS939" t="s">
        <v>17216</v>
      </c>
      <c r="BT939" t="str">
        <f>HYPERLINK("https%3A%2F%2Fwww.webofscience.com%2Fwos%2Fwoscc%2Ffull-record%2FWOS:000301923500030","View Full Record in Web of Science")</f>
        <v>View Full Record in Web of Science</v>
      </c>
    </row>
    <row r="940" spans="1:72" x14ac:dyDescent="0.15">
      <c r="A940" t="s">
        <v>72</v>
      </c>
      <c r="B940" t="s">
        <v>17217</v>
      </c>
      <c r="C940" t="s">
        <v>74</v>
      </c>
      <c r="D940" t="s">
        <v>74</v>
      </c>
      <c r="E940" t="s">
        <v>74</v>
      </c>
      <c r="F940" t="s">
        <v>17218</v>
      </c>
      <c r="G940" t="s">
        <v>74</v>
      </c>
      <c r="H940" t="s">
        <v>74</v>
      </c>
      <c r="I940" t="s">
        <v>17219</v>
      </c>
      <c r="J940" t="s">
        <v>6196</v>
      </c>
      <c r="K940" t="s">
        <v>74</v>
      </c>
      <c r="L940" t="s">
        <v>74</v>
      </c>
      <c r="M940" t="s">
        <v>78</v>
      </c>
      <c r="N940" t="s">
        <v>79</v>
      </c>
      <c r="O940" t="s">
        <v>74</v>
      </c>
      <c r="P940" t="s">
        <v>74</v>
      </c>
      <c r="Q940" t="s">
        <v>74</v>
      </c>
      <c r="R940" t="s">
        <v>74</v>
      </c>
      <c r="S940" t="s">
        <v>74</v>
      </c>
      <c r="T940" t="s">
        <v>17220</v>
      </c>
      <c r="U940" t="s">
        <v>17221</v>
      </c>
      <c r="V940" t="s">
        <v>17222</v>
      </c>
      <c r="W940" t="s">
        <v>17223</v>
      </c>
      <c r="X940" t="s">
        <v>17224</v>
      </c>
      <c r="Y940" t="s">
        <v>17225</v>
      </c>
      <c r="Z940" t="s">
        <v>17226</v>
      </c>
      <c r="AA940" t="s">
        <v>74</v>
      </c>
      <c r="AB940" t="s">
        <v>17227</v>
      </c>
      <c r="AC940" t="s">
        <v>17228</v>
      </c>
      <c r="AD940" t="s">
        <v>17229</v>
      </c>
      <c r="AE940" t="s">
        <v>17230</v>
      </c>
      <c r="AF940" t="s">
        <v>74</v>
      </c>
      <c r="AG940">
        <v>110</v>
      </c>
      <c r="AH940">
        <v>36</v>
      </c>
      <c r="AI940">
        <v>41</v>
      </c>
      <c r="AJ940">
        <v>0</v>
      </c>
      <c r="AK940">
        <v>23</v>
      </c>
      <c r="AL940" t="s">
        <v>935</v>
      </c>
      <c r="AM940" t="s">
        <v>369</v>
      </c>
      <c r="AN940" t="s">
        <v>936</v>
      </c>
      <c r="AO940" t="s">
        <v>6209</v>
      </c>
      <c r="AP940" t="s">
        <v>6210</v>
      </c>
      <c r="AQ940" t="s">
        <v>74</v>
      </c>
      <c r="AR940" t="s">
        <v>6211</v>
      </c>
      <c r="AS940" t="s">
        <v>6212</v>
      </c>
      <c r="AT940" t="s">
        <v>16225</v>
      </c>
      <c r="AU940">
        <v>2012</v>
      </c>
      <c r="AV940">
        <v>291</v>
      </c>
      <c r="AW940" t="s">
        <v>74</v>
      </c>
      <c r="AX940" t="s">
        <v>74</v>
      </c>
      <c r="AY940" t="s">
        <v>74</v>
      </c>
      <c r="AZ940" t="s">
        <v>74</v>
      </c>
      <c r="BA940" t="s">
        <v>74</v>
      </c>
      <c r="BB940">
        <v>83</v>
      </c>
      <c r="BC940">
        <v>96</v>
      </c>
      <c r="BD940" t="s">
        <v>74</v>
      </c>
      <c r="BE940" t="s">
        <v>17231</v>
      </c>
      <c r="BF940" t="str">
        <f>HYPERLINK("http://dx.doi.org/10.1016/j.margeo.2011.11.004","http://dx.doi.org/10.1016/j.margeo.2011.11.004")</f>
        <v>http://dx.doi.org/10.1016/j.margeo.2011.11.004</v>
      </c>
      <c r="BG940" t="s">
        <v>74</v>
      </c>
      <c r="BH940" t="s">
        <v>74</v>
      </c>
      <c r="BI940">
        <v>14</v>
      </c>
      <c r="BJ940" t="s">
        <v>6215</v>
      </c>
      <c r="BK940" t="s">
        <v>99</v>
      </c>
      <c r="BL940" t="s">
        <v>6216</v>
      </c>
      <c r="BM940" t="s">
        <v>17232</v>
      </c>
      <c r="BN940" t="s">
        <v>74</v>
      </c>
      <c r="BO940" t="s">
        <v>74</v>
      </c>
      <c r="BP940" t="s">
        <v>74</v>
      </c>
      <c r="BQ940" t="s">
        <v>74</v>
      </c>
      <c r="BR940" t="s">
        <v>101</v>
      </c>
      <c r="BS940" t="s">
        <v>17233</v>
      </c>
      <c r="BT940" t="str">
        <f>HYPERLINK("https%3A%2F%2Fwww.webofscience.com%2Fwos%2Fwoscc%2Ffull-record%2FWOS:000301625600008","View Full Record in Web of Science")</f>
        <v>View Full Record in Web of Science</v>
      </c>
    </row>
    <row r="941" spans="1:72" x14ac:dyDescent="0.15">
      <c r="A941" t="s">
        <v>72</v>
      </c>
      <c r="B941" t="s">
        <v>17234</v>
      </c>
      <c r="C941" t="s">
        <v>74</v>
      </c>
      <c r="D941" t="s">
        <v>74</v>
      </c>
      <c r="E941" t="s">
        <v>74</v>
      </c>
      <c r="F941" t="s">
        <v>17235</v>
      </c>
      <c r="G941" t="s">
        <v>74</v>
      </c>
      <c r="H941" t="s">
        <v>74</v>
      </c>
      <c r="I941" t="s">
        <v>17236</v>
      </c>
      <c r="J941" t="s">
        <v>13700</v>
      </c>
      <c r="K941" t="s">
        <v>74</v>
      </c>
      <c r="L941" t="s">
        <v>74</v>
      </c>
      <c r="M941" t="s">
        <v>78</v>
      </c>
      <c r="N941" t="s">
        <v>79</v>
      </c>
      <c r="O941" t="s">
        <v>74</v>
      </c>
      <c r="P941" t="s">
        <v>74</v>
      </c>
      <c r="Q941" t="s">
        <v>74</v>
      </c>
      <c r="R941" t="s">
        <v>74</v>
      </c>
      <c r="S941" t="s">
        <v>74</v>
      </c>
      <c r="T941" t="s">
        <v>17237</v>
      </c>
      <c r="U941" t="s">
        <v>17238</v>
      </c>
      <c r="V941" t="s">
        <v>17239</v>
      </c>
      <c r="W941" t="s">
        <v>17240</v>
      </c>
      <c r="X941" t="s">
        <v>17241</v>
      </c>
      <c r="Y941" t="s">
        <v>17242</v>
      </c>
      <c r="Z941" t="s">
        <v>17243</v>
      </c>
      <c r="AA941" t="s">
        <v>17244</v>
      </c>
      <c r="AB941" t="s">
        <v>17245</v>
      </c>
      <c r="AC941" t="s">
        <v>17246</v>
      </c>
      <c r="AD941" t="s">
        <v>17247</v>
      </c>
      <c r="AE941" t="s">
        <v>17248</v>
      </c>
      <c r="AF941" t="s">
        <v>74</v>
      </c>
      <c r="AG941">
        <v>16</v>
      </c>
      <c r="AH941">
        <v>7</v>
      </c>
      <c r="AI941">
        <v>9</v>
      </c>
      <c r="AJ941">
        <v>0</v>
      </c>
      <c r="AK941">
        <v>9</v>
      </c>
      <c r="AL941" t="s">
        <v>15042</v>
      </c>
      <c r="AM941" t="s">
        <v>15043</v>
      </c>
      <c r="AN941" t="s">
        <v>15044</v>
      </c>
      <c r="AO941" t="s">
        <v>13710</v>
      </c>
      <c r="AP941" t="s">
        <v>13711</v>
      </c>
      <c r="AQ941" t="s">
        <v>74</v>
      </c>
      <c r="AR941" t="s">
        <v>13712</v>
      </c>
      <c r="AS941" t="s">
        <v>13713</v>
      </c>
      <c r="AT941" t="s">
        <v>74</v>
      </c>
      <c r="AU941">
        <v>2012</v>
      </c>
      <c r="AV941">
        <v>31</v>
      </c>
      <c r="AW941" t="s">
        <v>74</v>
      </c>
      <c r="AX941" t="s">
        <v>74</v>
      </c>
      <c r="AY941" t="s">
        <v>74</v>
      </c>
      <c r="AZ941" t="s">
        <v>74</v>
      </c>
      <c r="BA941" t="s">
        <v>74</v>
      </c>
      <c r="BB941" t="s">
        <v>74</v>
      </c>
      <c r="BC941" t="s">
        <v>74</v>
      </c>
      <c r="BD941">
        <v>17324</v>
      </c>
      <c r="BE941" t="s">
        <v>17249</v>
      </c>
      <c r="BF941" t="str">
        <f>HYPERLINK("http://dx.doi.org/10.3402/polar.v31i0.17324","http://dx.doi.org/10.3402/polar.v31i0.17324")</f>
        <v>http://dx.doi.org/10.3402/polar.v31i0.17324</v>
      </c>
      <c r="BG941" t="s">
        <v>74</v>
      </c>
      <c r="BH941" t="s">
        <v>74</v>
      </c>
      <c r="BI941">
        <v>4</v>
      </c>
      <c r="BJ941" t="s">
        <v>13715</v>
      </c>
      <c r="BK941" t="s">
        <v>99</v>
      </c>
      <c r="BL941" t="s">
        <v>13716</v>
      </c>
      <c r="BM941" t="s">
        <v>17250</v>
      </c>
      <c r="BN941" t="s">
        <v>74</v>
      </c>
      <c r="BO941" t="s">
        <v>521</v>
      </c>
      <c r="BP941" t="s">
        <v>74</v>
      </c>
      <c r="BQ941" t="s">
        <v>74</v>
      </c>
      <c r="BR941" t="s">
        <v>101</v>
      </c>
      <c r="BS941" t="s">
        <v>17251</v>
      </c>
      <c r="BT941" t="str">
        <f>HYPERLINK("https%3A%2F%2Fwww.webofscience.com%2Fwos%2Fwoscc%2Ffull-record%2FWOS:000302264000001","View Full Record in Web of Science")</f>
        <v>View Full Record in Web of Science</v>
      </c>
    </row>
    <row r="942" spans="1:72" x14ac:dyDescent="0.15">
      <c r="A942" t="s">
        <v>72</v>
      </c>
      <c r="B942" t="s">
        <v>17252</v>
      </c>
      <c r="C942" t="s">
        <v>74</v>
      </c>
      <c r="D942" t="s">
        <v>74</v>
      </c>
      <c r="E942" t="s">
        <v>74</v>
      </c>
      <c r="F942" t="s">
        <v>17253</v>
      </c>
      <c r="G942" t="s">
        <v>74</v>
      </c>
      <c r="H942" t="s">
        <v>74</v>
      </c>
      <c r="I942" t="s">
        <v>17254</v>
      </c>
      <c r="J942" t="s">
        <v>13700</v>
      </c>
      <c r="K942" t="s">
        <v>74</v>
      </c>
      <c r="L942" t="s">
        <v>74</v>
      </c>
      <c r="M942" t="s">
        <v>78</v>
      </c>
      <c r="N942" t="s">
        <v>79</v>
      </c>
      <c r="O942" t="s">
        <v>74</v>
      </c>
      <c r="P942" t="s">
        <v>74</v>
      </c>
      <c r="Q942" t="s">
        <v>74</v>
      </c>
      <c r="R942" t="s">
        <v>74</v>
      </c>
      <c r="S942" t="s">
        <v>74</v>
      </c>
      <c r="T942" t="s">
        <v>17255</v>
      </c>
      <c r="U942" t="s">
        <v>17256</v>
      </c>
      <c r="V942" t="s">
        <v>17257</v>
      </c>
      <c r="W942" t="s">
        <v>17258</v>
      </c>
      <c r="X942" t="s">
        <v>17259</v>
      </c>
      <c r="Y942" t="s">
        <v>17260</v>
      </c>
      <c r="Z942" t="s">
        <v>17261</v>
      </c>
      <c r="AA942" t="s">
        <v>17262</v>
      </c>
      <c r="AB942" t="s">
        <v>17263</v>
      </c>
      <c r="AC942" t="s">
        <v>17264</v>
      </c>
      <c r="AD942" t="s">
        <v>17265</v>
      </c>
      <c r="AE942" t="s">
        <v>17266</v>
      </c>
      <c r="AF942" t="s">
        <v>74</v>
      </c>
      <c r="AG942">
        <v>88</v>
      </c>
      <c r="AH942">
        <v>45</v>
      </c>
      <c r="AI942">
        <v>47</v>
      </c>
      <c r="AJ942">
        <v>1</v>
      </c>
      <c r="AK942">
        <v>28</v>
      </c>
      <c r="AL942" t="s">
        <v>13707</v>
      </c>
      <c r="AM942" t="s">
        <v>13708</v>
      </c>
      <c r="AN942" t="s">
        <v>13709</v>
      </c>
      <c r="AO942" t="s">
        <v>13710</v>
      </c>
      <c r="AP942" t="s">
        <v>13711</v>
      </c>
      <c r="AQ942" t="s">
        <v>74</v>
      </c>
      <c r="AR942" t="s">
        <v>13731</v>
      </c>
      <c r="AS942" t="s">
        <v>13713</v>
      </c>
      <c r="AT942" t="s">
        <v>74</v>
      </c>
      <c r="AU942">
        <v>2012</v>
      </c>
      <c r="AV942">
        <v>31</v>
      </c>
      <c r="AW942" t="s">
        <v>74</v>
      </c>
      <c r="AX942" t="s">
        <v>74</v>
      </c>
      <c r="AY942" t="s">
        <v>74</v>
      </c>
      <c r="AZ942" t="s">
        <v>74</v>
      </c>
      <c r="BA942" t="s">
        <v>74</v>
      </c>
      <c r="BB942" t="s">
        <v>74</v>
      </c>
      <c r="BC942" t="s">
        <v>74</v>
      </c>
      <c r="BD942">
        <v>17353</v>
      </c>
      <c r="BE942" t="s">
        <v>17267</v>
      </c>
      <c r="BF942" t="str">
        <f>HYPERLINK("http://dx.doi.org/10.3402/polar.v31i0.17353","http://dx.doi.org/10.3402/polar.v31i0.17353")</f>
        <v>http://dx.doi.org/10.3402/polar.v31i0.17353</v>
      </c>
      <c r="BG942" t="s">
        <v>74</v>
      </c>
      <c r="BH942" t="s">
        <v>74</v>
      </c>
      <c r="BI942">
        <v>13</v>
      </c>
      <c r="BJ942" t="s">
        <v>13715</v>
      </c>
      <c r="BK942" t="s">
        <v>99</v>
      </c>
      <c r="BL942" t="s">
        <v>13716</v>
      </c>
      <c r="BM942" t="s">
        <v>17268</v>
      </c>
      <c r="BN942" t="s">
        <v>74</v>
      </c>
      <c r="BO942" t="s">
        <v>9400</v>
      </c>
      <c r="BP942" t="s">
        <v>74</v>
      </c>
      <c r="BQ942" t="s">
        <v>74</v>
      </c>
      <c r="BR942" t="s">
        <v>101</v>
      </c>
      <c r="BS942" t="s">
        <v>17269</v>
      </c>
      <c r="BT942" t="str">
        <f>HYPERLINK("https%3A%2F%2Fwww.webofscience.com%2Fwos%2Fwoscc%2Ffull-record%2FWOS:000302264200001","View Full Record in Web of Science")</f>
        <v>View Full Record in Web of Science</v>
      </c>
    </row>
    <row r="943" spans="1:72" x14ac:dyDescent="0.15">
      <c r="A943" t="s">
        <v>72</v>
      </c>
      <c r="B943" t="s">
        <v>17270</v>
      </c>
      <c r="C943" t="s">
        <v>74</v>
      </c>
      <c r="D943" t="s">
        <v>74</v>
      </c>
      <c r="E943" t="s">
        <v>74</v>
      </c>
      <c r="F943" t="s">
        <v>17271</v>
      </c>
      <c r="G943" t="s">
        <v>74</v>
      </c>
      <c r="H943" t="s">
        <v>74</v>
      </c>
      <c r="I943" t="s">
        <v>17272</v>
      </c>
      <c r="J943" t="s">
        <v>13700</v>
      </c>
      <c r="K943" t="s">
        <v>74</v>
      </c>
      <c r="L943" t="s">
        <v>74</v>
      </c>
      <c r="M943" t="s">
        <v>78</v>
      </c>
      <c r="N943" t="s">
        <v>79</v>
      </c>
      <c r="O943" t="s">
        <v>74</v>
      </c>
      <c r="P943" t="s">
        <v>74</v>
      </c>
      <c r="Q943" t="s">
        <v>74</v>
      </c>
      <c r="R943" t="s">
        <v>74</v>
      </c>
      <c r="S943" t="s">
        <v>74</v>
      </c>
      <c r="T943" t="s">
        <v>17273</v>
      </c>
      <c r="U943" t="s">
        <v>17274</v>
      </c>
      <c r="V943" t="s">
        <v>17275</v>
      </c>
      <c r="W943" t="s">
        <v>17276</v>
      </c>
      <c r="X943" t="s">
        <v>17277</v>
      </c>
      <c r="Y943" t="s">
        <v>17278</v>
      </c>
      <c r="Z943" t="s">
        <v>17279</v>
      </c>
      <c r="AA943" t="s">
        <v>74</v>
      </c>
      <c r="AB943" t="s">
        <v>17280</v>
      </c>
      <c r="AC943" t="s">
        <v>17281</v>
      </c>
      <c r="AD943" t="s">
        <v>17282</v>
      </c>
      <c r="AE943" t="s">
        <v>17283</v>
      </c>
      <c r="AF943" t="s">
        <v>74</v>
      </c>
      <c r="AG943">
        <v>21</v>
      </c>
      <c r="AH943">
        <v>7</v>
      </c>
      <c r="AI943">
        <v>7</v>
      </c>
      <c r="AJ943">
        <v>1</v>
      </c>
      <c r="AK943">
        <v>13</v>
      </c>
      <c r="AL943" t="s">
        <v>13707</v>
      </c>
      <c r="AM943" t="s">
        <v>13708</v>
      </c>
      <c r="AN943" t="s">
        <v>13709</v>
      </c>
      <c r="AO943" t="s">
        <v>13710</v>
      </c>
      <c r="AP943" t="s">
        <v>13711</v>
      </c>
      <c r="AQ943" t="s">
        <v>74</v>
      </c>
      <c r="AR943" t="s">
        <v>13712</v>
      </c>
      <c r="AS943" t="s">
        <v>13713</v>
      </c>
      <c r="AT943" t="s">
        <v>74</v>
      </c>
      <c r="AU943">
        <v>2012</v>
      </c>
      <c r="AV943">
        <v>31</v>
      </c>
      <c r="AW943" t="s">
        <v>74</v>
      </c>
      <c r="AX943" t="s">
        <v>74</v>
      </c>
      <c r="AY943" t="s">
        <v>74</v>
      </c>
      <c r="AZ943" t="s">
        <v>74</v>
      </c>
      <c r="BA943" t="s">
        <v>74</v>
      </c>
      <c r="BB943" t="s">
        <v>74</v>
      </c>
      <c r="BC943" t="s">
        <v>74</v>
      </c>
      <c r="BD943">
        <v>17626</v>
      </c>
      <c r="BE943" t="s">
        <v>17284</v>
      </c>
      <c r="BF943" t="str">
        <f>HYPERLINK("http://dx.doi.org/10.3402/polar.v31i0.17626","http://dx.doi.org/10.3402/polar.v31i0.17626")</f>
        <v>http://dx.doi.org/10.3402/polar.v31i0.17626</v>
      </c>
      <c r="BG943" t="s">
        <v>74</v>
      </c>
      <c r="BH943" t="s">
        <v>74</v>
      </c>
      <c r="BI943">
        <v>7</v>
      </c>
      <c r="BJ943" t="s">
        <v>13715</v>
      </c>
      <c r="BK943" t="s">
        <v>99</v>
      </c>
      <c r="BL943" t="s">
        <v>13716</v>
      </c>
      <c r="BM943" t="s">
        <v>17285</v>
      </c>
      <c r="BN943" t="s">
        <v>74</v>
      </c>
      <c r="BO943" t="s">
        <v>9400</v>
      </c>
      <c r="BP943" t="s">
        <v>74</v>
      </c>
      <c r="BQ943" t="s">
        <v>74</v>
      </c>
      <c r="BR943" t="s">
        <v>101</v>
      </c>
      <c r="BS943" t="s">
        <v>17286</v>
      </c>
      <c r="BT943" t="str">
        <f>HYPERLINK("https%3A%2F%2Fwww.webofscience.com%2Fwos%2Fwoscc%2Ffull-record%2FWOS:000302265100001","View Full Record in Web of Science")</f>
        <v>View Full Record in Web of Science</v>
      </c>
    </row>
    <row r="944" spans="1:72" x14ac:dyDescent="0.15">
      <c r="A944" t="s">
        <v>72</v>
      </c>
      <c r="B944" t="s">
        <v>17287</v>
      </c>
      <c r="C944" t="s">
        <v>74</v>
      </c>
      <c r="D944" t="s">
        <v>74</v>
      </c>
      <c r="E944" t="s">
        <v>74</v>
      </c>
      <c r="F944" t="s">
        <v>17288</v>
      </c>
      <c r="G944" t="s">
        <v>74</v>
      </c>
      <c r="H944" t="s">
        <v>74</v>
      </c>
      <c r="I944" t="s">
        <v>17289</v>
      </c>
      <c r="J944" t="s">
        <v>13700</v>
      </c>
      <c r="K944" t="s">
        <v>74</v>
      </c>
      <c r="L944" t="s">
        <v>74</v>
      </c>
      <c r="M944" t="s">
        <v>78</v>
      </c>
      <c r="N944" t="s">
        <v>79</v>
      </c>
      <c r="O944" t="s">
        <v>74</v>
      </c>
      <c r="P944" t="s">
        <v>74</v>
      </c>
      <c r="Q944" t="s">
        <v>74</v>
      </c>
      <c r="R944" t="s">
        <v>74</v>
      </c>
      <c r="S944" t="s">
        <v>74</v>
      </c>
      <c r="T944" t="s">
        <v>17290</v>
      </c>
      <c r="U944" t="s">
        <v>17291</v>
      </c>
      <c r="V944" t="s">
        <v>17292</v>
      </c>
      <c r="W944" t="s">
        <v>17293</v>
      </c>
      <c r="X944" t="s">
        <v>17294</v>
      </c>
      <c r="Y944" t="s">
        <v>17295</v>
      </c>
      <c r="Z944" t="s">
        <v>17296</v>
      </c>
      <c r="AA944" t="s">
        <v>17297</v>
      </c>
      <c r="AB944" t="s">
        <v>17298</v>
      </c>
      <c r="AC944" t="s">
        <v>17299</v>
      </c>
      <c r="AD944" t="s">
        <v>17300</v>
      </c>
      <c r="AE944" t="s">
        <v>17301</v>
      </c>
      <c r="AF944" t="s">
        <v>74</v>
      </c>
      <c r="AG944">
        <v>53</v>
      </c>
      <c r="AH944">
        <v>10</v>
      </c>
      <c r="AI944">
        <v>10</v>
      </c>
      <c r="AJ944">
        <v>2</v>
      </c>
      <c r="AK944">
        <v>22</v>
      </c>
      <c r="AL944" t="s">
        <v>761</v>
      </c>
      <c r="AM944" t="s">
        <v>762</v>
      </c>
      <c r="AN944" t="s">
        <v>763</v>
      </c>
      <c r="AO944" t="s">
        <v>13710</v>
      </c>
      <c r="AP944" t="s">
        <v>13711</v>
      </c>
      <c r="AQ944" t="s">
        <v>74</v>
      </c>
      <c r="AR944" t="s">
        <v>13712</v>
      </c>
      <c r="AS944" t="s">
        <v>13713</v>
      </c>
      <c r="AT944" t="s">
        <v>74</v>
      </c>
      <c r="AU944">
        <v>2012</v>
      </c>
      <c r="AV944">
        <v>31</v>
      </c>
      <c r="AW944" t="s">
        <v>74</v>
      </c>
      <c r="AX944" t="s">
        <v>74</v>
      </c>
      <c r="AY944" t="s">
        <v>74</v>
      </c>
      <c r="AZ944" t="s">
        <v>74</v>
      </c>
      <c r="BA944" t="s">
        <v>74</v>
      </c>
      <c r="BB944" t="s">
        <v>74</v>
      </c>
      <c r="BC944" t="s">
        <v>74</v>
      </c>
      <c r="BD944">
        <v>17628</v>
      </c>
      <c r="BE944" t="s">
        <v>17302</v>
      </c>
      <c r="BF944" t="str">
        <f>HYPERLINK("http://dx.doi.org/10.3402/polar.v31i0.17628","http://dx.doi.org/10.3402/polar.v31i0.17628")</f>
        <v>http://dx.doi.org/10.3402/polar.v31i0.17628</v>
      </c>
      <c r="BG944" t="s">
        <v>74</v>
      </c>
      <c r="BH944" t="s">
        <v>74</v>
      </c>
      <c r="BI944">
        <v>15</v>
      </c>
      <c r="BJ944" t="s">
        <v>13715</v>
      </c>
      <c r="BK944" t="s">
        <v>99</v>
      </c>
      <c r="BL944" t="s">
        <v>13716</v>
      </c>
      <c r="BM944" t="s">
        <v>17303</v>
      </c>
      <c r="BN944" t="s">
        <v>74</v>
      </c>
      <c r="BO944" t="s">
        <v>9400</v>
      </c>
      <c r="BP944" t="s">
        <v>74</v>
      </c>
      <c r="BQ944" t="s">
        <v>74</v>
      </c>
      <c r="BR944" t="s">
        <v>101</v>
      </c>
      <c r="BS944" t="s">
        <v>17304</v>
      </c>
      <c r="BT944" t="str">
        <f>HYPERLINK("https%3A%2F%2Fwww.webofscience.com%2Fwos%2Fwoscc%2Ffull-record%2FWOS:000302265200001","View Full Record in Web of Science")</f>
        <v>View Full Record in Web of Science</v>
      </c>
    </row>
    <row r="945" spans="1:72" x14ac:dyDescent="0.15">
      <c r="A945" t="s">
        <v>72</v>
      </c>
      <c r="B945" t="s">
        <v>17305</v>
      </c>
      <c r="C945" t="s">
        <v>74</v>
      </c>
      <c r="D945" t="s">
        <v>74</v>
      </c>
      <c r="E945" t="s">
        <v>74</v>
      </c>
      <c r="F945" t="s">
        <v>17306</v>
      </c>
      <c r="G945" t="s">
        <v>74</v>
      </c>
      <c r="H945" t="s">
        <v>74</v>
      </c>
      <c r="I945" t="s">
        <v>17307</v>
      </c>
      <c r="J945" t="s">
        <v>17308</v>
      </c>
      <c r="K945" t="s">
        <v>74</v>
      </c>
      <c r="L945" t="s">
        <v>74</v>
      </c>
      <c r="M945" t="s">
        <v>78</v>
      </c>
      <c r="N945" t="s">
        <v>79</v>
      </c>
      <c r="O945" t="s">
        <v>74</v>
      </c>
      <c r="P945" t="s">
        <v>74</v>
      </c>
      <c r="Q945" t="s">
        <v>74</v>
      </c>
      <c r="R945" t="s">
        <v>74</v>
      </c>
      <c r="S945" t="s">
        <v>74</v>
      </c>
      <c r="T945" t="s">
        <v>17309</v>
      </c>
      <c r="U945" t="s">
        <v>17310</v>
      </c>
      <c r="V945" t="s">
        <v>17311</v>
      </c>
      <c r="W945" t="s">
        <v>17312</v>
      </c>
      <c r="X945" t="s">
        <v>17313</v>
      </c>
      <c r="Y945" t="s">
        <v>17314</v>
      </c>
      <c r="Z945" t="s">
        <v>17315</v>
      </c>
      <c r="AA945" t="s">
        <v>17316</v>
      </c>
      <c r="AB945" t="s">
        <v>17317</v>
      </c>
      <c r="AC945" t="s">
        <v>17318</v>
      </c>
      <c r="AD945" t="s">
        <v>17319</v>
      </c>
      <c r="AE945" t="s">
        <v>17320</v>
      </c>
      <c r="AF945" t="s">
        <v>74</v>
      </c>
      <c r="AG945">
        <v>28</v>
      </c>
      <c r="AH945">
        <v>5</v>
      </c>
      <c r="AI945">
        <v>5</v>
      </c>
      <c r="AJ945">
        <v>0</v>
      </c>
      <c r="AK945">
        <v>19</v>
      </c>
      <c r="AL945" t="s">
        <v>1022</v>
      </c>
      <c r="AM945" t="s">
        <v>1023</v>
      </c>
      <c r="AN945" t="s">
        <v>1024</v>
      </c>
      <c r="AO945" t="s">
        <v>17321</v>
      </c>
      <c r="AP945" t="s">
        <v>74</v>
      </c>
      <c r="AQ945" t="s">
        <v>74</v>
      </c>
      <c r="AR945" t="s">
        <v>17322</v>
      </c>
      <c r="AS945" t="s">
        <v>17323</v>
      </c>
      <c r="AT945" t="s">
        <v>74</v>
      </c>
      <c r="AU945">
        <v>2012</v>
      </c>
      <c r="AV945">
        <v>56</v>
      </c>
      <c r="AW945" t="s">
        <v>74</v>
      </c>
      <c r="AX945" t="s">
        <v>74</v>
      </c>
      <c r="AY945">
        <v>1</v>
      </c>
      <c r="AZ945" t="s">
        <v>74</v>
      </c>
      <c r="BA945" t="s">
        <v>74</v>
      </c>
      <c r="BB945">
        <v>123</v>
      </c>
      <c r="BC945">
        <v>141</v>
      </c>
      <c r="BD945" t="s">
        <v>74</v>
      </c>
      <c r="BE945" t="s">
        <v>17324</v>
      </c>
      <c r="BF945" t="str">
        <f>HYPERLINK("http://dx.doi.org/10.1127/0372-8854/2012/S-00076","http://dx.doi.org/10.1127/0372-8854/2012/S-00076")</f>
        <v>http://dx.doi.org/10.1127/0372-8854/2012/S-00076</v>
      </c>
      <c r="BG945" t="s">
        <v>74</v>
      </c>
      <c r="BH945" t="s">
        <v>74</v>
      </c>
      <c r="BI945">
        <v>19</v>
      </c>
      <c r="BJ945" t="s">
        <v>943</v>
      </c>
      <c r="BK945" t="s">
        <v>99</v>
      </c>
      <c r="BL945" t="s">
        <v>944</v>
      </c>
      <c r="BM945" t="s">
        <v>17325</v>
      </c>
      <c r="BN945" t="s">
        <v>74</v>
      </c>
      <c r="BO945" t="s">
        <v>74</v>
      </c>
      <c r="BP945" t="s">
        <v>74</v>
      </c>
      <c r="BQ945" t="s">
        <v>74</v>
      </c>
      <c r="BR945" t="s">
        <v>101</v>
      </c>
      <c r="BS945" t="s">
        <v>17326</v>
      </c>
      <c r="BT945" t="str">
        <f>HYPERLINK("https%3A%2F%2Fwww.webofscience.com%2Fwos%2Fwoscc%2Ffull-record%2FWOS:000301893800009","View Full Record in Web of Science")</f>
        <v>View Full Record in Web of Science</v>
      </c>
    </row>
    <row r="946" spans="1:72" x14ac:dyDescent="0.15">
      <c r="A946" t="s">
        <v>72</v>
      </c>
      <c r="B946" t="s">
        <v>17327</v>
      </c>
      <c r="C946" t="s">
        <v>74</v>
      </c>
      <c r="D946" t="s">
        <v>74</v>
      </c>
      <c r="E946" t="s">
        <v>74</v>
      </c>
      <c r="F946" t="s">
        <v>17328</v>
      </c>
      <c r="G946" t="s">
        <v>74</v>
      </c>
      <c r="H946" t="s">
        <v>74</v>
      </c>
      <c r="I946" t="s">
        <v>17329</v>
      </c>
      <c r="J946" t="s">
        <v>13816</v>
      </c>
      <c r="K946" t="s">
        <v>74</v>
      </c>
      <c r="L946" t="s">
        <v>74</v>
      </c>
      <c r="M946" t="s">
        <v>78</v>
      </c>
      <c r="N946" t="s">
        <v>79</v>
      </c>
      <c r="O946" t="s">
        <v>74</v>
      </c>
      <c r="P946" t="s">
        <v>74</v>
      </c>
      <c r="Q946" t="s">
        <v>74</v>
      </c>
      <c r="R946" t="s">
        <v>74</v>
      </c>
      <c r="S946" t="s">
        <v>74</v>
      </c>
      <c r="T946" t="s">
        <v>74</v>
      </c>
      <c r="U946" t="s">
        <v>17330</v>
      </c>
      <c r="V946" t="s">
        <v>17331</v>
      </c>
      <c r="W946" t="s">
        <v>17332</v>
      </c>
      <c r="X946" t="s">
        <v>17333</v>
      </c>
      <c r="Y946" t="s">
        <v>17334</v>
      </c>
      <c r="Z946" t="s">
        <v>17335</v>
      </c>
      <c r="AA946" t="s">
        <v>17336</v>
      </c>
      <c r="AB946" t="s">
        <v>17337</v>
      </c>
      <c r="AC946" t="s">
        <v>17338</v>
      </c>
      <c r="AD946" t="s">
        <v>17339</v>
      </c>
      <c r="AE946" t="s">
        <v>17340</v>
      </c>
      <c r="AF946" t="s">
        <v>74</v>
      </c>
      <c r="AG946">
        <v>34</v>
      </c>
      <c r="AH946">
        <v>15</v>
      </c>
      <c r="AI946">
        <v>16</v>
      </c>
      <c r="AJ946">
        <v>0</v>
      </c>
      <c r="AK946">
        <v>8</v>
      </c>
      <c r="AL946" t="s">
        <v>13270</v>
      </c>
      <c r="AM946" t="s">
        <v>13271</v>
      </c>
      <c r="AN946" t="s">
        <v>13272</v>
      </c>
      <c r="AO946" t="s">
        <v>13828</v>
      </c>
      <c r="AP946" t="s">
        <v>13829</v>
      </c>
      <c r="AQ946" t="s">
        <v>74</v>
      </c>
      <c r="AR946" t="s">
        <v>13830</v>
      </c>
      <c r="AS946" t="s">
        <v>13831</v>
      </c>
      <c r="AT946" t="s">
        <v>74</v>
      </c>
      <c r="AU946">
        <v>2012</v>
      </c>
      <c r="AV946">
        <v>12</v>
      </c>
      <c r="AW946">
        <v>5</v>
      </c>
      <c r="AX946" t="s">
        <v>74</v>
      </c>
      <c r="AY946" t="s">
        <v>74</v>
      </c>
      <c r="AZ946" t="s">
        <v>74</v>
      </c>
      <c r="BA946" t="s">
        <v>74</v>
      </c>
      <c r="BB946">
        <v>2603</v>
      </c>
      <c r="BC946">
        <v>2614</v>
      </c>
      <c r="BD946" t="s">
        <v>74</v>
      </c>
      <c r="BE946" t="s">
        <v>17341</v>
      </c>
      <c r="BF946" t="str">
        <f>HYPERLINK("http://dx.doi.org/10.5194/acp-12-2603-2012","http://dx.doi.org/10.5194/acp-12-2603-2012")</f>
        <v>http://dx.doi.org/10.5194/acp-12-2603-2012</v>
      </c>
      <c r="BG946" t="s">
        <v>74</v>
      </c>
      <c r="BH946" t="s">
        <v>74</v>
      </c>
      <c r="BI946">
        <v>12</v>
      </c>
      <c r="BJ946" t="s">
        <v>1758</v>
      </c>
      <c r="BK946" t="s">
        <v>99</v>
      </c>
      <c r="BL946" t="s">
        <v>1759</v>
      </c>
      <c r="BM946" t="s">
        <v>17342</v>
      </c>
      <c r="BN946" t="s">
        <v>74</v>
      </c>
      <c r="BO946" t="s">
        <v>3496</v>
      </c>
      <c r="BP946" t="s">
        <v>74</v>
      </c>
      <c r="BQ946" t="s">
        <v>74</v>
      </c>
      <c r="BR946" t="s">
        <v>101</v>
      </c>
      <c r="BS946" t="s">
        <v>17343</v>
      </c>
      <c r="BT946" t="str">
        <f>HYPERLINK("https%3A%2F%2Fwww.webofscience.com%2Fwos%2Fwoscc%2Ffull-record%2FWOS:000301547500023","View Full Record in Web of Science")</f>
        <v>View Full Record in Web of Science</v>
      </c>
    </row>
    <row r="947" spans="1:72" x14ac:dyDescent="0.15">
      <c r="A947" t="s">
        <v>72</v>
      </c>
      <c r="B947" t="s">
        <v>17344</v>
      </c>
      <c r="C947" t="s">
        <v>74</v>
      </c>
      <c r="D947" t="s">
        <v>74</v>
      </c>
      <c r="E947" t="s">
        <v>74</v>
      </c>
      <c r="F947" t="s">
        <v>17345</v>
      </c>
      <c r="G947" t="s">
        <v>74</v>
      </c>
      <c r="H947" t="s">
        <v>74</v>
      </c>
      <c r="I947" t="s">
        <v>17346</v>
      </c>
      <c r="J947" t="s">
        <v>950</v>
      </c>
      <c r="K947" t="s">
        <v>74</v>
      </c>
      <c r="L947" t="s">
        <v>74</v>
      </c>
      <c r="M947" t="s">
        <v>78</v>
      </c>
      <c r="N947" t="s">
        <v>79</v>
      </c>
      <c r="O947" t="s">
        <v>74</v>
      </c>
      <c r="P947" t="s">
        <v>74</v>
      </c>
      <c r="Q947" t="s">
        <v>74</v>
      </c>
      <c r="R947" t="s">
        <v>74</v>
      </c>
      <c r="S947" t="s">
        <v>74</v>
      </c>
      <c r="T947" t="s">
        <v>17347</v>
      </c>
      <c r="U947" t="s">
        <v>17348</v>
      </c>
      <c r="V947" t="s">
        <v>17349</v>
      </c>
      <c r="W947" t="s">
        <v>17350</v>
      </c>
      <c r="X947" t="s">
        <v>17351</v>
      </c>
      <c r="Y947" t="s">
        <v>17352</v>
      </c>
      <c r="Z947" t="s">
        <v>17353</v>
      </c>
      <c r="AA947" t="s">
        <v>17354</v>
      </c>
      <c r="AB947" t="s">
        <v>17355</v>
      </c>
      <c r="AC947" t="s">
        <v>17356</v>
      </c>
      <c r="AD947" t="s">
        <v>17357</v>
      </c>
      <c r="AE947" t="s">
        <v>17358</v>
      </c>
      <c r="AF947" t="s">
        <v>74</v>
      </c>
      <c r="AG947">
        <v>53</v>
      </c>
      <c r="AH947">
        <v>13</v>
      </c>
      <c r="AI947">
        <v>14</v>
      </c>
      <c r="AJ947">
        <v>0</v>
      </c>
      <c r="AK947">
        <v>12</v>
      </c>
      <c r="AL947" t="s">
        <v>277</v>
      </c>
      <c r="AM947" t="s">
        <v>278</v>
      </c>
      <c r="AN947" t="s">
        <v>279</v>
      </c>
      <c r="AO947" t="s">
        <v>962</v>
      </c>
      <c r="AP947" t="s">
        <v>963</v>
      </c>
      <c r="AQ947" t="s">
        <v>74</v>
      </c>
      <c r="AR947" t="s">
        <v>964</v>
      </c>
      <c r="AS947" t="s">
        <v>965</v>
      </c>
      <c r="AT947" t="s">
        <v>17003</v>
      </c>
      <c r="AU947">
        <v>2012</v>
      </c>
      <c r="AV947">
        <v>74</v>
      </c>
      <c r="AW947" t="s">
        <v>74</v>
      </c>
      <c r="AX947" t="s">
        <v>74</v>
      </c>
      <c r="AY947" t="s">
        <v>74</v>
      </c>
      <c r="AZ947" t="s">
        <v>74</v>
      </c>
      <c r="BA947" t="s">
        <v>74</v>
      </c>
      <c r="BB947">
        <v>111</v>
      </c>
      <c r="BC947">
        <v>123</v>
      </c>
      <c r="BD947" t="s">
        <v>74</v>
      </c>
      <c r="BE947" t="s">
        <v>17359</v>
      </c>
      <c r="BF947" t="str">
        <f>HYPERLINK("http://dx.doi.org/10.1016/j.jastp.2011.10.010","http://dx.doi.org/10.1016/j.jastp.2011.10.010")</f>
        <v>http://dx.doi.org/10.1016/j.jastp.2011.10.010</v>
      </c>
      <c r="BG947" t="s">
        <v>74</v>
      </c>
      <c r="BH947" t="s">
        <v>74</v>
      </c>
      <c r="BI947">
        <v>13</v>
      </c>
      <c r="BJ947" t="s">
        <v>967</v>
      </c>
      <c r="BK947" t="s">
        <v>99</v>
      </c>
      <c r="BL947" t="s">
        <v>967</v>
      </c>
      <c r="BM947" t="s">
        <v>17360</v>
      </c>
      <c r="BN947" t="s">
        <v>74</v>
      </c>
      <c r="BO947" t="s">
        <v>2812</v>
      </c>
      <c r="BP947" t="s">
        <v>74</v>
      </c>
      <c r="BQ947" t="s">
        <v>74</v>
      </c>
      <c r="BR947" t="s">
        <v>101</v>
      </c>
      <c r="BS947" t="s">
        <v>17361</v>
      </c>
      <c r="BT947" t="str">
        <f>HYPERLINK("https%3A%2F%2Fwww.webofscience.com%2Fwos%2Fwoscc%2Ffull-record%2FWOS:000301612000011","View Full Record in Web of Science")</f>
        <v>View Full Record in Web of Science</v>
      </c>
    </row>
    <row r="948" spans="1:72" x14ac:dyDescent="0.15">
      <c r="A948" t="s">
        <v>72</v>
      </c>
      <c r="B948" t="s">
        <v>17362</v>
      </c>
      <c r="C948" t="s">
        <v>74</v>
      </c>
      <c r="D948" t="s">
        <v>74</v>
      </c>
      <c r="E948" t="s">
        <v>74</v>
      </c>
      <c r="F948" t="s">
        <v>17363</v>
      </c>
      <c r="G948" t="s">
        <v>74</v>
      </c>
      <c r="H948" t="s">
        <v>74</v>
      </c>
      <c r="I948" t="s">
        <v>17364</v>
      </c>
      <c r="J948" t="s">
        <v>13628</v>
      </c>
      <c r="K948" t="s">
        <v>74</v>
      </c>
      <c r="L948" t="s">
        <v>74</v>
      </c>
      <c r="M948" t="s">
        <v>78</v>
      </c>
      <c r="N948" t="s">
        <v>79</v>
      </c>
      <c r="O948" t="s">
        <v>74</v>
      </c>
      <c r="P948" t="s">
        <v>74</v>
      </c>
      <c r="Q948" t="s">
        <v>74</v>
      </c>
      <c r="R948" t="s">
        <v>74</v>
      </c>
      <c r="S948" t="s">
        <v>74</v>
      </c>
      <c r="T948" t="s">
        <v>17365</v>
      </c>
      <c r="U948" t="s">
        <v>17366</v>
      </c>
      <c r="V948" t="s">
        <v>17367</v>
      </c>
      <c r="W948" t="s">
        <v>17368</v>
      </c>
      <c r="X948" t="s">
        <v>17369</v>
      </c>
      <c r="Y948" t="s">
        <v>17370</v>
      </c>
      <c r="Z948" t="s">
        <v>17371</v>
      </c>
      <c r="AA948" t="s">
        <v>17372</v>
      </c>
      <c r="AB948" t="s">
        <v>17373</v>
      </c>
      <c r="AC948" t="s">
        <v>17374</v>
      </c>
      <c r="AD948" t="s">
        <v>17375</v>
      </c>
      <c r="AE948" t="s">
        <v>17376</v>
      </c>
      <c r="AF948" t="s">
        <v>74</v>
      </c>
      <c r="AG948">
        <v>61</v>
      </c>
      <c r="AH948">
        <v>19</v>
      </c>
      <c r="AI948">
        <v>20</v>
      </c>
      <c r="AJ948">
        <v>1</v>
      </c>
      <c r="AK948">
        <v>24</v>
      </c>
      <c r="AL948" t="s">
        <v>13640</v>
      </c>
      <c r="AM948" t="s">
        <v>13641</v>
      </c>
      <c r="AN948" t="s">
        <v>13642</v>
      </c>
      <c r="AO948" t="s">
        <v>13643</v>
      </c>
      <c r="AP948" t="s">
        <v>13644</v>
      </c>
      <c r="AQ948" t="s">
        <v>74</v>
      </c>
      <c r="AR948" t="s">
        <v>13645</v>
      </c>
      <c r="AS948" t="s">
        <v>13646</v>
      </c>
      <c r="AT948" t="s">
        <v>74</v>
      </c>
      <c r="AU948">
        <v>2012</v>
      </c>
      <c r="AV948">
        <v>446</v>
      </c>
      <c r="AW948" t="s">
        <v>74</v>
      </c>
      <c r="AX948" t="s">
        <v>74</v>
      </c>
      <c r="AY948" t="s">
        <v>74</v>
      </c>
      <c r="AZ948" t="s">
        <v>74</v>
      </c>
      <c r="BA948" t="s">
        <v>74</v>
      </c>
      <c r="BB948">
        <v>45</v>
      </c>
      <c r="BC948">
        <v>59</v>
      </c>
      <c r="BD948" t="s">
        <v>74</v>
      </c>
      <c r="BE948" t="s">
        <v>17377</v>
      </c>
      <c r="BF948" t="str">
        <f>HYPERLINK("http://dx.doi.org/10.3354/meps09466","http://dx.doi.org/10.3354/meps09466")</f>
        <v>http://dx.doi.org/10.3354/meps09466</v>
      </c>
      <c r="BG948" t="s">
        <v>74</v>
      </c>
      <c r="BH948" t="s">
        <v>74</v>
      </c>
      <c r="BI948">
        <v>15</v>
      </c>
      <c r="BJ948" t="s">
        <v>13648</v>
      </c>
      <c r="BK948" t="s">
        <v>99</v>
      </c>
      <c r="BL948" t="s">
        <v>13649</v>
      </c>
      <c r="BM948" t="s">
        <v>17378</v>
      </c>
      <c r="BN948" t="s">
        <v>74</v>
      </c>
      <c r="BO948" t="s">
        <v>822</v>
      </c>
      <c r="BP948" t="s">
        <v>74</v>
      </c>
      <c r="BQ948" t="s">
        <v>74</v>
      </c>
      <c r="BR948" t="s">
        <v>101</v>
      </c>
      <c r="BS948" t="s">
        <v>17379</v>
      </c>
      <c r="BT948" t="str">
        <f>HYPERLINK("https%3A%2F%2Fwww.webofscience.com%2Fwos%2Fwoscc%2Ffull-record%2FWOS:000301323600004","View Full Record in Web of Science")</f>
        <v>View Full Record in Web of Science</v>
      </c>
    </row>
    <row r="949" spans="1:72" x14ac:dyDescent="0.15">
      <c r="A949" t="s">
        <v>72</v>
      </c>
      <c r="B949" t="s">
        <v>17380</v>
      </c>
      <c r="C949" t="s">
        <v>74</v>
      </c>
      <c r="D949" t="s">
        <v>74</v>
      </c>
      <c r="E949" t="s">
        <v>74</v>
      </c>
      <c r="F949" t="s">
        <v>17381</v>
      </c>
      <c r="G949" t="s">
        <v>74</v>
      </c>
      <c r="H949" t="s">
        <v>74</v>
      </c>
      <c r="I949" t="s">
        <v>17382</v>
      </c>
      <c r="J949" t="s">
        <v>13300</v>
      </c>
      <c r="K949" t="s">
        <v>74</v>
      </c>
      <c r="L949" t="s">
        <v>74</v>
      </c>
      <c r="M949" t="s">
        <v>78</v>
      </c>
      <c r="N949" t="s">
        <v>79</v>
      </c>
      <c r="O949" t="s">
        <v>74</v>
      </c>
      <c r="P949" t="s">
        <v>74</v>
      </c>
      <c r="Q949" t="s">
        <v>74</v>
      </c>
      <c r="R949" t="s">
        <v>74</v>
      </c>
      <c r="S949" t="s">
        <v>74</v>
      </c>
      <c r="T949" t="s">
        <v>74</v>
      </c>
      <c r="U949" t="s">
        <v>17383</v>
      </c>
      <c r="V949" t="s">
        <v>17384</v>
      </c>
      <c r="W949" t="s">
        <v>17385</v>
      </c>
      <c r="X949" t="s">
        <v>17386</v>
      </c>
      <c r="Y949" t="s">
        <v>17387</v>
      </c>
      <c r="Z949" t="s">
        <v>17388</v>
      </c>
      <c r="AA949" t="s">
        <v>17389</v>
      </c>
      <c r="AB949" t="s">
        <v>17390</v>
      </c>
      <c r="AC949" t="s">
        <v>17391</v>
      </c>
      <c r="AD949" t="s">
        <v>17392</v>
      </c>
      <c r="AE949" t="s">
        <v>17393</v>
      </c>
      <c r="AF949" t="s">
        <v>74</v>
      </c>
      <c r="AG949">
        <v>73</v>
      </c>
      <c r="AH949">
        <v>64</v>
      </c>
      <c r="AI949">
        <v>74</v>
      </c>
      <c r="AJ949">
        <v>0</v>
      </c>
      <c r="AK949">
        <v>25</v>
      </c>
      <c r="AL949" t="s">
        <v>13270</v>
      </c>
      <c r="AM949" t="s">
        <v>13271</v>
      </c>
      <c r="AN949" t="s">
        <v>13272</v>
      </c>
      <c r="AO949" t="s">
        <v>13312</v>
      </c>
      <c r="AP949" t="s">
        <v>13335</v>
      </c>
      <c r="AQ949" t="s">
        <v>74</v>
      </c>
      <c r="AR949" t="s">
        <v>13313</v>
      </c>
      <c r="AS949" t="s">
        <v>13314</v>
      </c>
      <c r="AT949" t="s">
        <v>74</v>
      </c>
      <c r="AU949">
        <v>2012</v>
      </c>
      <c r="AV949">
        <v>8</v>
      </c>
      <c r="AW949">
        <v>1</v>
      </c>
      <c r="AX949" t="s">
        <v>74</v>
      </c>
      <c r="AY949" t="s">
        <v>74</v>
      </c>
      <c r="AZ949" t="s">
        <v>74</v>
      </c>
      <c r="BA949" t="s">
        <v>74</v>
      </c>
      <c r="BB949">
        <v>1</v>
      </c>
      <c r="BC949">
        <v>16</v>
      </c>
      <c r="BD949" t="s">
        <v>74</v>
      </c>
      <c r="BE949" t="s">
        <v>17394</v>
      </c>
      <c r="BF949" t="str">
        <f>HYPERLINK("http://dx.doi.org/10.5194/cp-8-1-2012","http://dx.doi.org/10.5194/cp-8-1-2012")</f>
        <v>http://dx.doi.org/10.5194/cp-8-1-2012</v>
      </c>
      <c r="BG949" t="s">
        <v>74</v>
      </c>
      <c r="BH949" t="s">
        <v>74</v>
      </c>
      <c r="BI949">
        <v>16</v>
      </c>
      <c r="BJ949" t="s">
        <v>13316</v>
      </c>
      <c r="BK949" t="s">
        <v>99</v>
      </c>
      <c r="BL949" t="s">
        <v>13317</v>
      </c>
      <c r="BM949" t="s">
        <v>17395</v>
      </c>
      <c r="BN949" t="s">
        <v>74</v>
      </c>
      <c r="BO949" t="s">
        <v>537</v>
      </c>
      <c r="BP949" t="s">
        <v>74</v>
      </c>
      <c r="BQ949" t="s">
        <v>74</v>
      </c>
      <c r="BR949" t="s">
        <v>101</v>
      </c>
      <c r="BS949" t="s">
        <v>17396</v>
      </c>
      <c r="BT949" t="str">
        <f>HYPERLINK("https%3A%2F%2Fwww.webofscience.com%2Fwos%2Fwoscc%2Ffull-record%2FWOS:000300878100001","View Full Record in Web of Science")</f>
        <v>View Full Record in Web of Science</v>
      </c>
    </row>
    <row r="950" spans="1:72" x14ac:dyDescent="0.15">
      <c r="A950" t="s">
        <v>12086</v>
      </c>
      <c r="B950" t="s">
        <v>17397</v>
      </c>
      <c r="C950" t="s">
        <v>74</v>
      </c>
      <c r="D950" t="s">
        <v>17398</v>
      </c>
      <c r="E950" t="s">
        <v>74</v>
      </c>
      <c r="F950" t="s">
        <v>17399</v>
      </c>
      <c r="G950" t="s">
        <v>74</v>
      </c>
      <c r="H950" t="s">
        <v>74</v>
      </c>
      <c r="I950" t="s">
        <v>17400</v>
      </c>
      <c r="J950" t="s">
        <v>17401</v>
      </c>
      <c r="K950" t="s">
        <v>17402</v>
      </c>
      <c r="L950" t="s">
        <v>74</v>
      </c>
      <c r="M950" t="s">
        <v>78</v>
      </c>
      <c r="N950" t="s">
        <v>12093</v>
      </c>
      <c r="O950" t="s">
        <v>17403</v>
      </c>
      <c r="P950" t="s">
        <v>17404</v>
      </c>
      <c r="Q950" t="s">
        <v>17405</v>
      </c>
      <c r="R950" t="s">
        <v>74</v>
      </c>
      <c r="S950" t="s">
        <v>74</v>
      </c>
      <c r="T950" t="s">
        <v>74</v>
      </c>
      <c r="U950" t="s">
        <v>17406</v>
      </c>
      <c r="V950" t="s">
        <v>17407</v>
      </c>
      <c r="W950" t="s">
        <v>17408</v>
      </c>
      <c r="X950" t="s">
        <v>17409</v>
      </c>
      <c r="Y950" t="s">
        <v>17410</v>
      </c>
      <c r="Z950" t="s">
        <v>17411</v>
      </c>
      <c r="AA950" t="s">
        <v>74</v>
      </c>
      <c r="AB950" t="s">
        <v>17412</v>
      </c>
      <c r="AC950" t="s">
        <v>74</v>
      </c>
      <c r="AD950" t="s">
        <v>74</v>
      </c>
      <c r="AE950" t="s">
        <v>74</v>
      </c>
      <c r="AF950" t="s">
        <v>74</v>
      </c>
      <c r="AG950">
        <v>20</v>
      </c>
      <c r="AH950">
        <v>2</v>
      </c>
      <c r="AI950">
        <v>2</v>
      </c>
      <c r="AJ950">
        <v>0</v>
      </c>
      <c r="AK950">
        <v>5</v>
      </c>
      <c r="AL950" t="s">
        <v>14418</v>
      </c>
      <c r="AM950" t="s">
        <v>2733</v>
      </c>
      <c r="AN950" t="s">
        <v>14419</v>
      </c>
      <c r="AO950" t="s">
        <v>17413</v>
      </c>
      <c r="AP950" t="s">
        <v>74</v>
      </c>
      <c r="AQ950" t="s">
        <v>17414</v>
      </c>
      <c r="AR950" t="s">
        <v>17415</v>
      </c>
      <c r="AS950" t="s">
        <v>74</v>
      </c>
      <c r="AT950" t="s">
        <v>74</v>
      </c>
      <c r="AU950">
        <v>2012</v>
      </c>
      <c r="AV950">
        <v>136</v>
      </c>
      <c r="AW950" t="s">
        <v>74</v>
      </c>
      <c r="AX950" t="s">
        <v>74</v>
      </c>
      <c r="AY950" t="s">
        <v>74</v>
      </c>
      <c r="AZ950" t="s">
        <v>74</v>
      </c>
      <c r="BA950" t="s">
        <v>74</v>
      </c>
      <c r="BB950">
        <v>447</v>
      </c>
      <c r="BC950">
        <v>452</v>
      </c>
      <c r="BD950" t="s">
        <v>74</v>
      </c>
      <c r="BE950" t="s">
        <v>17416</v>
      </c>
      <c r="BF950" t="str">
        <f>HYPERLINK("http://dx.doi.org/10.1007/978-3-642-20338-1_54","http://dx.doi.org/10.1007/978-3-642-20338-1_54")</f>
        <v>http://dx.doi.org/10.1007/978-3-642-20338-1_54</v>
      </c>
      <c r="BG950" t="s">
        <v>74</v>
      </c>
      <c r="BH950" t="s">
        <v>74</v>
      </c>
      <c r="BI950">
        <v>6</v>
      </c>
      <c r="BJ950" t="s">
        <v>17417</v>
      </c>
      <c r="BK950" t="s">
        <v>12109</v>
      </c>
      <c r="BL950" t="s">
        <v>17418</v>
      </c>
      <c r="BM950" t="s">
        <v>17419</v>
      </c>
      <c r="BN950" t="s">
        <v>74</v>
      </c>
      <c r="BO950" t="s">
        <v>74</v>
      </c>
      <c r="BP950" t="s">
        <v>74</v>
      </c>
      <c r="BQ950" t="s">
        <v>74</v>
      </c>
      <c r="BR950" t="s">
        <v>101</v>
      </c>
      <c r="BS950" t="s">
        <v>17420</v>
      </c>
      <c r="BT950" t="str">
        <f>HYPERLINK("https%3A%2F%2Fwww.webofscience.com%2Fwos%2Fwoscc%2Ffull-record%2FWOS:000300433100054","View Full Record in Web of Science")</f>
        <v>View Full Record in Web of Science</v>
      </c>
    </row>
    <row r="951" spans="1:72" x14ac:dyDescent="0.15">
      <c r="A951" t="s">
        <v>12086</v>
      </c>
      <c r="B951" t="s">
        <v>17421</v>
      </c>
      <c r="C951" t="s">
        <v>74</v>
      </c>
      <c r="D951" t="s">
        <v>17398</v>
      </c>
      <c r="E951" t="s">
        <v>74</v>
      </c>
      <c r="F951" t="s">
        <v>17422</v>
      </c>
      <c r="G951" t="s">
        <v>74</v>
      </c>
      <c r="H951" t="s">
        <v>74</v>
      </c>
      <c r="I951" t="s">
        <v>17423</v>
      </c>
      <c r="J951" t="s">
        <v>17401</v>
      </c>
      <c r="K951" t="s">
        <v>17402</v>
      </c>
      <c r="L951" t="s">
        <v>74</v>
      </c>
      <c r="M951" t="s">
        <v>78</v>
      </c>
      <c r="N951" t="s">
        <v>12093</v>
      </c>
      <c r="O951" t="s">
        <v>17403</v>
      </c>
      <c r="P951" t="s">
        <v>17404</v>
      </c>
      <c r="Q951" t="s">
        <v>17405</v>
      </c>
      <c r="R951" t="s">
        <v>74</v>
      </c>
      <c r="S951" t="s">
        <v>74</v>
      </c>
      <c r="T951" t="s">
        <v>74</v>
      </c>
      <c r="U951" t="s">
        <v>74</v>
      </c>
      <c r="V951" t="s">
        <v>17424</v>
      </c>
      <c r="W951" t="s">
        <v>17425</v>
      </c>
      <c r="X951" t="s">
        <v>17426</v>
      </c>
      <c r="Y951" t="s">
        <v>17427</v>
      </c>
      <c r="Z951" t="s">
        <v>17428</v>
      </c>
      <c r="AA951" t="s">
        <v>74</v>
      </c>
      <c r="AB951" t="s">
        <v>17429</v>
      </c>
      <c r="AC951" t="s">
        <v>74</v>
      </c>
      <c r="AD951" t="s">
        <v>74</v>
      </c>
      <c r="AE951" t="s">
        <v>74</v>
      </c>
      <c r="AF951" t="s">
        <v>74</v>
      </c>
      <c r="AG951">
        <v>14</v>
      </c>
      <c r="AH951">
        <v>6</v>
      </c>
      <c r="AI951">
        <v>6</v>
      </c>
      <c r="AJ951">
        <v>0</v>
      </c>
      <c r="AK951">
        <v>3</v>
      </c>
      <c r="AL951" t="s">
        <v>14418</v>
      </c>
      <c r="AM951" t="s">
        <v>2733</v>
      </c>
      <c r="AN951" t="s">
        <v>14419</v>
      </c>
      <c r="AO951" t="s">
        <v>17413</v>
      </c>
      <c r="AP951" t="s">
        <v>74</v>
      </c>
      <c r="AQ951" t="s">
        <v>17414</v>
      </c>
      <c r="AR951" t="s">
        <v>17415</v>
      </c>
      <c r="AS951" t="s">
        <v>74</v>
      </c>
      <c r="AT951" t="s">
        <v>74</v>
      </c>
      <c r="AU951">
        <v>2012</v>
      </c>
      <c r="AV951">
        <v>136</v>
      </c>
      <c r="AW951" t="s">
        <v>74</v>
      </c>
      <c r="AX951" t="s">
        <v>74</v>
      </c>
      <c r="AY951" t="s">
        <v>74</v>
      </c>
      <c r="AZ951" t="s">
        <v>74</v>
      </c>
      <c r="BA951" t="s">
        <v>74</v>
      </c>
      <c r="BB951">
        <v>453</v>
      </c>
      <c r="BC951">
        <v>460</v>
      </c>
      <c r="BD951" t="s">
        <v>74</v>
      </c>
      <c r="BE951" t="s">
        <v>17430</v>
      </c>
      <c r="BF951" t="str">
        <f>HYPERLINK("http://dx.doi.org/10.1007/978-3-642-20338-1_55","http://dx.doi.org/10.1007/978-3-642-20338-1_55")</f>
        <v>http://dx.doi.org/10.1007/978-3-642-20338-1_55</v>
      </c>
      <c r="BG951" t="s">
        <v>74</v>
      </c>
      <c r="BH951" t="s">
        <v>74</v>
      </c>
      <c r="BI951">
        <v>8</v>
      </c>
      <c r="BJ951" t="s">
        <v>17417</v>
      </c>
      <c r="BK951" t="s">
        <v>12109</v>
      </c>
      <c r="BL951" t="s">
        <v>17418</v>
      </c>
      <c r="BM951" t="s">
        <v>17419</v>
      </c>
      <c r="BN951" t="s">
        <v>74</v>
      </c>
      <c r="BO951" t="s">
        <v>74</v>
      </c>
      <c r="BP951" t="s">
        <v>74</v>
      </c>
      <c r="BQ951" t="s">
        <v>74</v>
      </c>
      <c r="BR951" t="s">
        <v>101</v>
      </c>
      <c r="BS951" t="s">
        <v>17431</v>
      </c>
      <c r="BT951" t="str">
        <f>HYPERLINK("https%3A%2F%2Fwww.webofscience.com%2Fwos%2Fwoscc%2Ffull-record%2FWOS:000300433100055","View Full Record in Web of Science")</f>
        <v>View Full Record in Web of Science</v>
      </c>
    </row>
    <row r="952" spans="1:72" x14ac:dyDescent="0.15">
      <c r="A952" t="s">
        <v>12086</v>
      </c>
      <c r="B952" t="s">
        <v>17432</v>
      </c>
      <c r="C952" t="s">
        <v>74</v>
      </c>
      <c r="D952" t="s">
        <v>17398</v>
      </c>
      <c r="E952" t="s">
        <v>74</v>
      </c>
      <c r="F952" t="s">
        <v>17433</v>
      </c>
      <c r="G952" t="s">
        <v>74</v>
      </c>
      <c r="H952" t="s">
        <v>74</v>
      </c>
      <c r="I952" t="s">
        <v>17434</v>
      </c>
      <c r="J952" t="s">
        <v>17401</v>
      </c>
      <c r="K952" t="s">
        <v>17402</v>
      </c>
      <c r="L952" t="s">
        <v>74</v>
      </c>
      <c r="M952" t="s">
        <v>78</v>
      </c>
      <c r="N952" t="s">
        <v>12093</v>
      </c>
      <c r="O952" t="s">
        <v>17403</v>
      </c>
      <c r="P952" t="s">
        <v>17404</v>
      </c>
      <c r="Q952" t="s">
        <v>17405</v>
      </c>
      <c r="R952" t="s">
        <v>74</v>
      </c>
      <c r="S952" t="s">
        <v>74</v>
      </c>
      <c r="T952" t="s">
        <v>74</v>
      </c>
      <c r="U952" t="s">
        <v>74</v>
      </c>
      <c r="V952" t="s">
        <v>17435</v>
      </c>
      <c r="W952" t="s">
        <v>17436</v>
      </c>
      <c r="X952" t="s">
        <v>17437</v>
      </c>
      <c r="Y952" t="s">
        <v>17410</v>
      </c>
      <c r="Z952" t="s">
        <v>17411</v>
      </c>
      <c r="AA952" t="s">
        <v>74</v>
      </c>
      <c r="AB952" t="s">
        <v>17412</v>
      </c>
      <c r="AC952" t="s">
        <v>74</v>
      </c>
      <c r="AD952" t="s">
        <v>74</v>
      </c>
      <c r="AE952" t="s">
        <v>74</v>
      </c>
      <c r="AF952" t="s">
        <v>74</v>
      </c>
      <c r="AG952">
        <v>23</v>
      </c>
      <c r="AH952">
        <v>1</v>
      </c>
      <c r="AI952">
        <v>1</v>
      </c>
      <c r="AJ952">
        <v>0</v>
      </c>
      <c r="AK952">
        <v>2</v>
      </c>
      <c r="AL952" t="s">
        <v>14418</v>
      </c>
      <c r="AM952" t="s">
        <v>2733</v>
      </c>
      <c r="AN952" t="s">
        <v>14419</v>
      </c>
      <c r="AO952" t="s">
        <v>17413</v>
      </c>
      <c r="AP952" t="s">
        <v>74</v>
      </c>
      <c r="AQ952" t="s">
        <v>17414</v>
      </c>
      <c r="AR952" t="s">
        <v>17415</v>
      </c>
      <c r="AS952" t="s">
        <v>74</v>
      </c>
      <c r="AT952" t="s">
        <v>74</v>
      </c>
      <c r="AU952">
        <v>2012</v>
      </c>
      <c r="AV952">
        <v>136</v>
      </c>
      <c r="AW952" t="s">
        <v>74</v>
      </c>
      <c r="AX952" t="s">
        <v>74</v>
      </c>
      <c r="AY952" t="s">
        <v>74</v>
      </c>
      <c r="AZ952" t="s">
        <v>74</v>
      </c>
      <c r="BA952" t="s">
        <v>74</v>
      </c>
      <c r="BB952">
        <v>581</v>
      </c>
      <c r="BC952">
        <v>589</v>
      </c>
      <c r="BD952" t="s">
        <v>74</v>
      </c>
      <c r="BE952" t="s">
        <v>17438</v>
      </c>
      <c r="BF952" t="str">
        <f>HYPERLINK("http://dx.doi.org/10.1007/978-3-642-20338-1_71","http://dx.doi.org/10.1007/978-3-642-20338-1_71")</f>
        <v>http://dx.doi.org/10.1007/978-3-642-20338-1_71</v>
      </c>
      <c r="BG952" t="s">
        <v>74</v>
      </c>
      <c r="BH952" t="s">
        <v>74</v>
      </c>
      <c r="BI952">
        <v>9</v>
      </c>
      <c r="BJ952" t="s">
        <v>17417</v>
      </c>
      <c r="BK952" t="s">
        <v>12109</v>
      </c>
      <c r="BL952" t="s">
        <v>17418</v>
      </c>
      <c r="BM952" t="s">
        <v>17419</v>
      </c>
      <c r="BN952" t="s">
        <v>74</v>
      </c>
      <c r="BO952" t="s">
        <v>74</v>
      </c>
      <c r="BP952" t="s">
        <v>74</v>
      </c>
      <c r="BQ952" t="s">
        <v>74</v>
      </c>
      <c r="BR952" t="s">
        <v>101</v>
      </c>
      <c r="BS952" t="s">
        <v>17439</v>
      </c>
      <c r="BT952" t="str">
        <f>HYPERLINK("https%3A%2F%2Fwww.webofscience.com%2Fwos%2Fwoscc%2Ffull-record%2FWOS:000300433100071","View Full Record in Web of Science")</f>
        <v>View Full Record in Web of Science</v>
      </c>
    </row>
    <row r="953" spans="1:72" x14ac:dyDescent="0.15">
      <c r="A953" t="s">
        <v>12086</v>
      </c>
      <c r="B953" t="s">
        <v>17440</v>
      </c>
      <c r="C953" t="s">
        <v>74</v>
      </c>
      <c r="D953" t="s">
        <v>17398</v>
      </c>
      <c r="E953" t="s">
        <v>74</v>
      </c>
      <c r="F953" t="s">
        <v>17441</v>
      </c>
      <c r="G953" t="s">
        <v>74</v>
      </c>
      <c r="H953" t="s">
        <v>74</v>
      </c>
      <c r="I953" t="s">
        <v>17442</v>
      </c>
      <c r="J953" t="s">
        <v>17401</v>
      </c>
      <c r="K953" t="s">
        <v>17402</v>
      </c>
      <c r="L953" t="s">
        <v>74</v>
      </c>
      <c r="M953" t="s">
        <v>78</v>
      </c>
      <c r="N953" t="s">
        <v>12093</v>
      </c>
      <c r="O953" t="s">
        <v>17403</v>
      </c>
      <c r="P953" t="s">
        <v>17404</v>
      </c>
      <c r="Q953" t="s">
        <v>17405</v>
      </c>
      <c r="R953" t="s">
        <v>74</v>
      </c>
      <c r="S953" t="s">
        <v>74</v>
      </c>
      <c r="T953" t="s">
        <v>74</v>
      </c>
      <c r="U953" t="s">
        <v>74</v>
      </c>
      <c r="V953" t="s">
        <v>17443</v>
      </c>
      <c r="W953" t="s">
        <v>17444</v>
      </c>
      <c r="X953" t="s">
        <v>17445</v>
      </c>
      <c r="Y953" t="s">
        <v>17446</v>
      </c>
      <c r="Z953" t="s">
        <v>17447</v>
      </c>
      <c r="AA953" t="s">
        <v>74</v>
      </c>
      <c r="AB953" t="s">
        <v>17448</v>
      </c>
      <c r="AC953" t="s">
        <v>74</v>
      </c>
      <c r="AD953" t="s">
        <v>74</v>
      </c>
      <c r="AE953" t="s">
        <v>74</v>
      </c>
      <c r="AF953" t="s">
        <v>74</v>
      </c>
      <c r="AG953">
        <v>8</v>
      </c>
      <c r="AH953">
        <v>0</v>
      </c>
      <c r="AI953">
        <v>0</v>
      </c>
      <c r="AJ953">
        <v>0</v>
      </c>
      <c r="AK953">
        <v>5</v>
      </c>
      <c r="AL953" t="s">
        <v>14418</v>
      </c>
      <c r="AM953" t="s">
        <v>2733</v>
      </c>
      <c r="AN953" t="s">
        <v>14419</v>
      </c>
      <c r="AO953" t="s">
        <v>17413</v>
      </c>
      <c r="AP953" t="s">
        <v>74</v>
      </c>
      <c r="AQ953" t="s">
        <v>17414</v>
      </c>
      <c r="AR953" t="s">
        <v>17415</v>
      </c>
      <c r="AS953" t="s">
        <v>74</v>
      </c>
      <c r="AT953" t="s">
        <v>74</v>
      </c>
      <c r="AU953">
        <v>2012</v>
      </c>
      <c r="AV953">
        <v>136</v>
      </c>
      <c r="AW953" t="s">
        <v>74</v>
      </c>
      <c r="AX953" t="s">
        <v>74</v>
      </c>
      <c r="AY953" t="s">
        <v>74</v>
      </c>
      <c r="AZ953" t="s">
        <v>74</v>
      </c>
      <c r="BA953" t="s">
        <v>74</v>
      </c>
      <c r="BB953">
        <v>635</v>
      </c>
      <c r="BC953">
        <v>642</v>
      </c>
      <c r="BD953" t="s">
        <v>74</v>
      </c>
      <c r="BE953" t="s">
        <v>17449</v>
      </c>
      <c r="BF953" t="str">
        <f>HYPERLINK("http://dx.doi.org/10.1007/978-3-642-20338-1_78","http://dx.doi.org/10.1007/978-3-642-20338-1_78")</f>
        <v>http://dx.doi.org/10.1007/978-3-642-20338-1_78</v>
      </c>
      <c r="BG953" t="s">
        <v>74</v>
      </c>
      <c r="BH953" t="s">
        <v>74</v>
      </c>
      <c r="BI953">
        <v>8</v>
      </c>
      <c r="BJ953" t="s">
        <v>17417</v>
      </c>
      <c r="BK953" t="s">
        <v>12109</v>
      </c>
      <c r="BL953" t="s">
        <v>17418</v>
      </c>
      <c r="BM953" t="s">
        <v>17419</v>
      </c>
      <c r="BN953" t="s">
        <v>74</v>
      </c>
      <c r="BO953" t="s">
        <v>74</v>
      </c>
      <c r="BP953" t="s">
        <v>74</v>
      </c>
      <c r="BQ953" t="s">
        <v>74</v>
      </c>
      <c r="BR953" t="s">
        <v>101</v>
      </c>
      <c r="BS953" t="s">
        <v>17450</v>
      </c>
      <c r="BT953" t="str">
        <f>HYPERLINK("https%3A%2F%2Fwww.webofscience.com%2Fwos%2Fwoscc%2Ffull-record%2FWOS:000300433100078","View Full Record in Web of Science")</f>
        <v>View Full Record in Web of Science</v>
      </c>
    </row>
    <row r="954" spans="1:72" x14ac:dyDescent="0.15">
      <c r="A954" t="s">
        <v>72</v>
      </c>
      <c r="B954" t="s">
        <v>17451</v>
      </c>
      <c r="C954" t="s">
        <v>74</v>
      </c>
      <c r="D954" t="s">
        <v>74</v>
      </c>
      <c r="E954" t="s">
        <v>74</v>
      </c>
      <c r="F954" t="s">
        <v>17452</v>
      </c>
      <c r="G954" t="s">
        <v>74</v>
      </c>
      <c r="H954" t="s">
        <v>74</v>
      </c>
      <c r="I954" t="s">
        <v>17453</v>
      </c>
      <c r="J954" t="s">
        <v>17454</v>
      </c>
      <c r="K954" t="s">
        <v>74</v>
      </c>
      <c r="L954" t="s">
        <v>74</v>
      </c>
      <c r="M954" t="s">
        <v>78</v>
      </c>
      <c r="N954" t="s">
        <v>79</v>
      </c>
      <c r="O954" t="s">
        <v>74</v>
      </c>
      <c r="P954" t="s">
        <v>74</v>
      </c>
      <c r="Q954" t="s">
        <v>74</v>
      </c>
      <c r="R954" t="s">
        <v>74</v>
      </c>
      <c r="S954" t="s">
        <v>74</v>
      </c>
      <c r="T954" t="s">
        <v>74</v>
      </c>
      <c r="U954" t="s">
        <v>17455</v>
      </c>
      <c r="V954" t="s">
        <v>17456</v>
      </c>
      <c r="W954" t="s">
        <v>17457</v>
      </c>
      <c r="X954" t="s">
        <v>17458</v>
      </c>
      <c r="Y954" t="s">
        <v>17459</v>
      </c>
      <c r="Z954" t="s">
        <v>17460</v>
      </c>
      <c r="AA954" t="s">
        <v>74</v>
      </c>
      <c r="AB954" t="s">
        <v>74</v>
      </c>
      <c r="AC954" t="s">
        <v>17461</v>
      </c>
      <c r="AD954" t="s">
        <v>11545</v>
      </c>
      <c r="AE954" t="s">
        <v>17462</v>
      </c>
      <c r="AF954" t="s">
        <v>74</v>
      </c>
      <c r="AG954">
        <v>60</v>
      </c>
      <c r="AH954">
        <v>1</v>
      </c>
      <c r="AI954">
        <v>3</v>
      </c>
      <c r="AJ954">
        <v>0</v>
      </c>
      <c r="AK954">
        <v>6</v>
      </c>
      <c r="AL954" t="s">
        <v>17463</v>
      </c>
      <c r="AM954" t="s">
        <v>6911</v>
      </c>
      <c r="AN954" t="s">
        <v>17464</v>
      </c>
      <c r="AO954" t="s">
        <v>17465</v>
      </c>
      <c r="AP954" t="s">
        <v>17466</v>
      </c>
      <c r="AQ954" t="s">
        <v>74</v>
      </c>
      <c r="AR954" t="s">
        <v>17454</v>
      </c>
      <c r="AS954" t="s">
        <v>17467</v>
      </c>
      <c r="AT954" t="s">
        <v>17468</v>
      </c>
      <c r="AU954">
        <v>2012</v>
      </c>
      <c r="AV954">
        <v>77</v>
      </c>
      <c r="AW954">
        <v>1</v>
      </c>
      <c r="AX954" t="s">
        <v>74</v>
      </c>
      <c r="AY954" t="s">
        <v>74</v>
      </c>
      <c r="AZ954" t="s">
        <v>74</v>
      </c>
      <c r="BA954" t="s">
        <v>74</v>
      </c>
      <c r="BB954" t="s">
        <v>17469</v>
      </c>
      <c r="BC954" t="s">
        <v>17470</v>
      </c>
      <c r="BD954" t="s">
        <v>74</v>
      </c>
      <c r="BE954" t="s">
        <v>17471</v>
      </c>
      <c r="BF954" t="str">
        <f>HYPERLINK("http://dx.doi.org/10.1190/GEO2011-0127.1","http://dx.doi.org/10.1190/GEO2011-0127.1")</f>
        <v>http://dx.doi.org/10.1190/GEO2011-0127.1</v>
      </c>
      <c r="BG954" t="s">
        <v>74</v>
      </c>
      <c r="BH954" t="s">
        <v>74</v>
      </c>
      <c r="BI954">
        <v>12</v>
      </c>
      <c r="BJ954" t="s">
        <v>1134</v>
      </c>
      <c r="BK954" t="s">
        <v>99</v>
      </c>
      <c r="BL954" t="s">
        <v>1134</v>
      </c>
      <c r="BM954" t="s">
        <v>17472</v>
      </c>
      <c r="BN954" t="s">
        <v>74</v>
      </c>
      <c r="BO954" t="s">
        <v>74</v>
      </c>
      <c r="BP954" t="s">
        <v>74</v>
      </c>
      <c r="BQ954" t="s">
        <v>74</v>
      </c>
      <c r="BR954" t="s">
        <v>101</v>
      </c>
      <c r="BS954" t="s">
        <v>17473</v>
      </c>
      <c r="BT954" t="str">
        <f>HYPERLINK("https%3A%2F%2Fwww.webofscience.com%2Fwos%2Fwoscc%2Ffull-record%2FWOS:000300767000030","View Full Record in Web of Science")</f>
        <v>View Full Record in Web of Science</v>
      </c>
    </row>
    <row r="955" spans="1:72" x14ac:dyDescent="0.15">
      <c r="A955" t="s">
        <v>72</v>
      </c>
      <c r="B955" t="s">
        <v>17474</v>
      </c>
      <c r="C955" t="s">
        <v>74</v>
      </c>
      <c r="D955" t="s">
        <v>74</v>
      </c>
      <c r="E955" t="s">
        <v>74</v>
      </c>
      <c r="F955" t="s">
        <v>17475</v>
      </c>
      <c r="G955" t="s">
        <v>74</v>
      </c>
      <c r="H955" t="s">
        <v>74</v>
      </c>
      <c r="I955" t="s">
        <v>17476</v>
      </c>
      <c r="J955" t="s">
        <v>17477</v>
      </c>
      <c r="K955" t="s">
        <v>74</v>
      </c>
      <c r="L955" t="s">
        <v>74</v>
      </c>
      <c r="M955" t="s">
        <v>78</v>
      </c>
      <c r="N955" t="s">
        <v>79</v>
      </c>
      <c r="O955" t="s">
        <v>74</v>
      </c>
      <c r="P955" t="s">
        <v>74</v>
      </c>
      <c r="Q955" t="s">
        <v>74</v>
      </c>
      <c r="R955" t="s">
        <v>74</v>
      </c>
      <c r="S955" t="s">
        <v>74</v>
      </c>
      <c r="T955" t="s">
        <v>74</v>
      </c>
      <c r="U955" t="s">
        <v>17478</v>
      </c>
      <c r="V955" t="s">
        <v>17479</v>
      </c>
      <c r="W955" t="s">
        <v>17480</v>
      </c>
      <c r="X955" t="s">
        <v>17481</v>
      </c>
      <c r="Y955" t="s">
        <v>17482</v>
      </c>
      <c r="Z955" t="s">
        <v>17483</v>
      </c>
      <c r="AA955" t="s">
        <v>17484</v>
      </c>
      <c r="AB955" t="s">
        <v>17485</v>
      </c>
      <c r="AC955" t="s">
        <v>17486</v>
      </c>
      <c r="AD955" t="s">
        <v>17487</v>
      </c>
      <c r="AE955" t="s">
        <v>17488</v>
      </c>
      <c r="AF955" t="s">
        <v>74</v>
      </c>
      <c r="AG955">
        <v>65</v>
      </c>
      <c r="AH955">
        <v>42</v>
      </c>
      <c r="AI955">
        <v>42</v>
      </c>
      <c r="AJ955">
        <v>0</v>
      </c>
      <c r="AK955">
        <v>17</v>
      </c>
      <c r="AL955" t="s">
        <v>14681</v>
      </c>
      <c r="AM955" t="s">
        <v>14682</v>
      </c>
      <c r="AN955" t="s">
        <v>15395</v>
      </c>
      <c r="AO955" t="s">
        <v>17489</v>
      </c>
      <c r="AP955" t="s">
        <v>74</v>
      </c>
      <c r="AQ955" t="s">
        <v>74</v>
      </c>
      <c r="AR955" t="s">
        <v>17490</v>
      </c>
      <c r="AS955" t="s">
        <v>17491</v>
      </c>
      <c r="AT955" t="s">
        <v>74</v>
      </c>
      <c r="AU955">
        <v>2012</v>
      </c>
      <c r="AV955">
        <v>32</v>
      </c>
      <c r="AW955">
        <v>1</v>
      </c>
      <c r="AX955" t="s">
        <v>74</v>
      </c>
      <c r="AY955" t="s">
        <v>74</v>
      </c>
      <c r="AZ955" t="s">
        <v>74</v>
      </c>
      <c r="BA955" t="s">
        <v>74</v>
      </c>
      <c r="BB955">
        <v>109</v>
      </c>
      <c r="BC955">
        <v>123</v>
      </c>
      <c r="BD955" t="s">
        <v>74</v>
      </c>
      <c r="BE955" t="s">
        <v>17492</v>
      </c>
      <c r="BF955" t="str">
        <f>HYPERLINK("http://dx.doi.org/10.1080/02755947.2012.661387","http://dx.doi.org/10.1080/02755947.2012.661387")</f>
        <v>http://dx.doi.org/10.1080/02755947.2012.661387</v>
      </c>
      <c r="BG955" t="s">
        <v>74</v>
      </c>
      <c r="BH955" t="s">
        <v>74</v>
      </c>
      <c r="BI955">
        <v>15</v>
      </c>
      <c r="BJ955" t="s">
        <v>609</v>
      </c>
      <c r="BK955" t="s">
        <v>99</v>
      </c>
      <c r="BL955" t="s">
        <v>609</v>
      </c>
      <c r="BM955" t="s">
        <v>17493</v>
      </c>
      <c r="BN955" t="s">
        <v>74</v>
      </c>
      <c r="BO955" t="s">
        <v>74</v>
      </c>
      <c r="BP955" t="s">
        <v>74</v>
      </c>
      <c r="BQ955" t="s">
        <v>74</v>
      </c>
      <c r="BR955" t="s">
        <v>101</v>
      </c>
      <c r="BS955" t="s">
        <v>17494</v>
      </c>
      <c r="BT955" t="str">
        <f>HYPERLINK("https%3A%2F%2Fwww.webofscience.com%2Fwos%2Fwoscc%2Ffull-record%2FWOS:000301046200015","View Full Record in Web of Science")</f>
        <v>View Full Record in Web of Science</v>
      </c>
    </row>
    <row r="956" spans="1:72" x14ac:dyDescent="0.15">
      <c r="A956" t="s">
        <v>72</v>
      </c>
      <c r="B956" t="s">
        <v>17495</v>
      </c>
      <c r="C956" t="s">
        <v>74</v>
      </c>
      <c r="D956" t="s">
        <v>74</v>
      </c>
      <c r="E956" t="s">
        <v>74</v>
      </c>
      <c r="F956" t="s">
        <v>17496</v>
      </c>
      <c r="G956" t="s">
        <v>74</v>
      </c>
      <c r="H956" t="s">
        <v>74</v>
      </c>
      <c r="I956" t="s">
        <v>17497</v>
      </c>
      <c r="J956" t="s">
        <v>17498</v>
      </c>
      <c r="K956" t="s">
        <v>74</v>
      </c>
      <c r="L956" t="s">
        <v>74</v>
      </c>
      <c r="M956" t="s">
        <v>78</v>
      </c>
      <c r="N956" t="s">
        <v>1073</v>
      </c>
      <c r="O956" t="s">
        <v>74</v>
      </c>
      <c r="P956" t="s">
        <v>74</v>
      </c>
      <c r="Q956" t="s">
        <v>74</v>
      </c>
      <c r="R956" t="s">
        <v>74</v>
      </c>
      <c r="S956" t="s">
        <v>74</v>
      </c>
      <c r="T956" t="s">
        <v>17499</v>
      </c>
      <c r="U956" t="s">
        <v>17500</v>
      </c>
      <c r="V956" t="s">
        <v>17501</v>
      </c>
      <c r="W956" t="s">
        <v>17502</v>
      </c>
      <c r="X956" t="s">
        <v>17503</v>
      </c>
      <c r="Y956" t="s">
        <v>17504</v>
      </c>
      <c r="Z956" t="s">
        <v>17505</v>
      </c>
      <c r="AA956" t="s">
        <v>74</v>
      </c>
      <c r="AB956" t="s">
        <v>17506</v>
      </c>
      <c r="AC956" t="s">
        <v>17507</v>
      </c>
      <c r="AD956" t="s">
        <v>17508</v>
      </c>
      <c r="AE956" t="s">
        <v>17509</v>
      </c>
      <c r="AF956" t="s">
        <v>74</v>
      </c>
      <c r="AG956">
        <v>81</v>
      </c>
      <c r="AH956">
        <v>17</v>
      </c>
      <c r="AI956">
        <v>17</v>
      </c>
      <c r="AJ956">
        <v>0</v>
      </c>
      <c r="AK956">
        <v>22</v>
      </c>
      <c r="AL956" t="s">
        <v>1595</v>
      </c>
      <c r="AM956" t="s">
        <v>278</v>
      </c>
      <c r="AN956" t="s">
        <v>1596</v>
      </c>
      <c r="AO956" t="s">
        <v>17510</v>
      </c>
      <c r="AP956" t="s">
        <v>74</v>
      </c>
      <c r="AQ956" t="s">
        <v>74</v>
      </c>
      <c r="AR956" t="s">
        <v>17511</v>
      </c>
      <c r="AS956" t="s">
        <v>17512</v>
      </c>
      <c r="AT956" t="s">
        <v>17003</v>
      </c>
      <c r="AU956">
        <v>2012</v>
      </c>
      <c r="AV956">
        <v>123</v>
      </c>
      <c r="AW956">
        <v>1</v>
      </c>
      <c r="AX956" t="s">
        <v>74</v>
      </c>
      <c r="AY956" t="s">
        <v>74</v>
      </c>
      <c r="AZ956" t="s">
        <v>74</v>
      </c>
      <c r="BA956" t="s">
        <v>74</v>
      </c>
      <c r="BB956">
        <v>170</v>
      </c>
      <c r="BC956">
        <v>181</v>
      </c>
      <c r="BD956" t="s">
        <v>74</v>
      </c>
      <c r="BE956" t="s">
        <v>17513</v>
      </c>
      <c r="BF956" t="str">
        <f>HYPERLINK("http://dx.doi.org/10.1016/j.pgeola.2011.06.003","http://dx.doi.org/10.1016/j.pgeola.2011.06.003")</f>
        <v>http://dx.doi.org/10.1016/j.pgeola.2011.06.003</v>
      </c>
      <c r="BG956" t="s">
        <v>74</v>
      </c>
      <c r="BH956" t="s">
        <v>74</v>
      </c>
      <c r="BI956">
        <v>12</v>
      </c>
      <c r="BJ956" t="s">
        <v>5651</v>
      </c>
      <c r="BK956" t="s">
        <v>99</v>
      </c>
      <c r="BL956" t="s">
        <v>5651</v>
      </c>
      <c r="BM956" t="s">
        <v>17514</v>
      </c>
      <c r="BN956" t="s">
        <v>74</v>
      </c>
      <c r="BO956" t="s">
        <v>74</v>
      </c>
      <c r="BP956" t="s">
        <v>74</v>
      </c>
      <c r="BQ956" t="s">
        <v>74</v>
      </c>
      <c r="BR956" t="s">
        <v>101</v>
      </c>
      <c r="BS956" t="s">
        <v>17515</v>
      </c>
      <c r="BT956" t="str">
        <f>HYPERLINK("https%3A%2F%2Fwww.webofscience.com%2Fwos%2Fwoscc%2Ffull-record%2FWOS:000300262000015","View Full Record in Web of Science")</f>
        <v>View Full Record in Web of Science</v>
      </c>
    </row>
    <row r="957" spans="1:72" x14ac:dyDescent="0.15">
      <c r="A957" t="s">
        <v>72</v>
      </c>
      <c r="B957" t="s">
        <v>17516</v>
      </c>
      <c r="C957" t="s">
        <v>74</v>
      </c>
      <c r="D957" t="s">
        <v>74</v>
      </c>
      <c r="E957" t="s">
        <v>74</v>
      </c>
      <c r="F957" t="s">
        <v>17517</v>
      </c>
      <c r="G957" t="s">
        <v>74</v>
      </c>
      <c r="H957" t="s">
        <v>74</v>
      </c>
      <c r="I957" t="s">
        <v>17518</v>
      </c>
      <c r="J957" t="s">
        <v>17519</v>
      </c>
      <c r="K957" t="s">
        <v>74</v>
      </c>
      <c r="L957" t="s">
        <v>74</v>
      </c>
      <c r="M957" t="s">
        <v>78</v>
      </c>
      <c r="N957" t="s">
        <v>79</v>
      </c>
      <c r="O957" t="s">
        <v>74</v>
      </c>
      <c r="P957" t="s">
        <v>74</v>
      </c>
      <c r="Q957" t="s">
        <v>74</v>
      </c>
      <c r="R957" t="s">
        <v>74</v>
      </c>
      <c r="S957" t="s">
        <v>74</v>
      </c>
      <c r="T957" t="s">
        <v>17520</v>
      </c>
      <c r="U957" t="s">
        <v>17521</v>
      </c>
      <c r="V957" t="s">
        <v>17522</v>
      </c>
      <c r="W957" t="s">
        <v>17523</v>
      </c>
      <c r="X957" t="s">
        <v>74</v>
      </c>
      <c r="Y957" t="s">
        <v>17524</v>
      </c>
      <c r="Z957" t="s">
        <v>17525</v>
      </c>
      <c r="AA957" t="s">
        <v>14973</v>
      </c>
      <c r="AB957" t="s">
        <v>14974</v>
      </c>
      <c r="AC957" t="s">
        <v>17526</v>
      </c>
      <c r="AD957" t="s">
        <v>17527</v>
      </c>
      <c r="AE957" t="s">
        <v>17528</v>
      </c>
      <c r="AF957" t="s">
        <v>74</v>
      </c>
      <c r="AG957">
        <v>34</v>
      </c>
      <c r="AH957">
        <v>12</v>
      </c>
      <c r="AI957">
        <v>12</v>
      </c>
      <c r="AJ957">
        <v>0</v>
      </c>
      <c r="AK957">
        <v>13</v>
      </c>
      <c r="AL957" t="s">
        <v>15042</v>
      </c>
      <c r="AM957" t="s">
        <v>15043</v>
      </c>
      <c r="AN957" t="s">
        <v>15044</v>
      </c>
      <c r="AO957" t="s">
        <v>17529</v>
      </c>
      <c r="AP957" t="s">
        <v>17530</v>
      </c>
      <c r="AQ957" t="s">
        <v>74</v>
      </c>
      <c r="AR957" t="s">
        <v>17531</v>
      </c>
      <c r="AS957" t="s">
        <v>17532</v>
      </c>
      <c r="AT957" t="s">
        <v>74</v>
      </c>
      <c r="AU957">
        <v>2012</v>
      </c>
      <c r="AV957">
        <v>64</v>
      </c>
      <c r="AW957" t="s">
        <v>74</v>
      </c>
      <c r="AX957" t="s">
        <v>74</v>
      </c>
      <c r="AY957" t="s">
        <v>74</v>
      </c>
      <c r="AZ957" t="s">
        <v>74</v>
      </c>
      <c r="BA957" t="s">
        <v>74</v>
      </c>
      <c r="BB957" t="s">
        <v>74</v>
      </c>
      <c r="BC957" t="s">
        <v>74</v>
      </c>
      <c r="BD957">
        <v>17261</v>
      </c>
      <c r="BE957" t="s">
        <v>17533</v>
      </c>
      <c r="BF957" t="str">
        <f>HYPERLINK("http://dx.doi.org/10.3402/tellusa.v64i0.17261","http://dx.doi.org/10.3402/tellusa.v64i0.17261")</f>
        <v>http://dx.doi.org/10.3402/tellusa.v64i0.17261</v>
      </c>
      <c r="BG957" t="s">
        <v>74</v>
      </c>
      <c r="BH957" t="s">
        <v>74</v>
      </c>
      <c r="BI957">
        <v>21</v>
      </c>
      <c r="BJ957" t="s">
        <v>1601</v>
      </c>
      <c r="BK957" t="s">
        <v>99</v>
      </c>
      <c r="BL957" t="s">
        <v>1601</v>
      </c>
      <c r="BM957" t="s">
        <v>17534</v>
      </c>
      <c r="BN957" t="s">
        <v>74</v>
      </c>
      <c r="BO957" t="s">
        <v>9400</v>
      </c>
      <c r="BP957" t="s">
        <v>74</v>
      </c>
      <c r="BQ957" t="s">
        <v>74</v>
      </c>
      <c r="BR957" t="s">
        <v>101</v>
      </c>
      <c r="BS957" t="s">
        <v>17535</v>
      </c>
      <c r="BT957" t="str">
        <f>HYPERLINK("https%3A%2F%2Fwww.webofscience.com%2Fwos%2Fwoscc%2Ffull-record%2FWOS:000301190600001","View Full Record in Web of Science")</f>
        <v>View Full Record in Web of Science</v>
      </c>
    </row>
    <row r="958" spans="1:72" x14ac:dyDescent="0.15">
      <c r="A958" t="s">
        <v>72</v>
      </c>
      <c r="B958" t="s">
        <v>17536</v>
      </c>
      <c r="C958" t="s">
        <v>74</v>
      </c>
      <c r="D958" t="s">
        <v>74</v>
      </c>
      <c r="E958" t="s">
        <v>74</v>
      </c>
      <c r="F958" t="s">
        <v>17537</v>
      </c>
      <c r="G958" t="s">
        <v>74</v>
      </c>
      <c r="H958" t="s">
        <v>74</v>
      </c>
      <c r="I958" t="s">
        <v>17538</v>
      </c>
      <c r="J958" t="s">
        <v>13838</v>
      </c>
      <c r="K958" t="s">
        <v>74</v>
      </c>
      <c r="L958" t="s">
        <v>74</v>
      </c>
      <c r="M958" t="s">
        <v>78</v>
      </c>
      <c r="N958" t="s">
        <v>79</v>
      </c>
      <c r="O958" t="s">
        <v>74</v>
      </c>
      <c r="P958" t="s">
        <v>74</v>
      </c>
      <c r="Q958" t="s">
        <v>74</v>
      </c>
      <c r="R958" t="s">
        <v>74</v>
      </c>
      <c r="S958" t="s">
        <v>74</v>
      </c>
      <c r="T958" t="s">
        <v>74</v>
      </c>
      <c r="U958" t="s">
        <v>17539</v>
      </c>
      <c r="V958" t="s">
        <v>17540</v>
      </c>
      <c r="W958" t="s">
        <v>17541</v>
      </c>
      <c r="X958" t="s">
        <v>17542</v>
      </c>
      <c r="Y958" t="s">
        <v>17543</v>
      </c>
      <c r="Z958" t="s">
        <v>17544</v>
      </c>
      <c r="AA958" t="s">
        <v>74</v>
      </c>
      <c r="AB958" t="s">
        <v>74</v>
      </c>
      <c r="AC958" t="s">
        <v>17545</v>
      </c>
      <c r="AD958" t="s">
        <v>17546</v>
      </c>
      <c r="AE958" t="s">
        <v>17547</v>
      </c>
      <c r="AF958" t="s">
        <v>74</v>
      </c>
      <c r="AG958">
        <v>42</v>
      </c>
      <c r="AH958">
        <v>24</v>
      </c>
      <c r="AI958">
        <v>26</v>
      </c>
      <c r="AJ958">
        <v>1</v>
      </c>
      <c r="AK958">
        <v>18</v>
      </c>
      <c r="AL958" t="s">
        <v>12729</v>
      </c>
      <c r="AM958" t="s">
        <v>1112</v>
      </c>
      <c r="AN958" t="s">
        <v>12730</v>
      </c>
      <c r="AO958" t="s">
        <v>13846</v>
      </c>
      <c r="AP958" t="s">
        <v>74</v>
      </c>
      <c r="AQ958" t="s">
        <v>74</v>
      </c>
      <c r="AR958" t="s">
        <v>13848</v>
      </c>
      <c r="AS958" t="s">
        <v>13849</v>
      </c>
      <c r="AT958" t="s">
        <v>74</v>
      </c>
      <c r="AU958">
        <v>2012</v>
      </c>
      <c r="AV958">
        <v>58</v>
      </c>
      <c r="AW958">
        <v>207</v>
      </c>
      <c r="AX958" t="s">
        <v>74</v>
      </c>
      <c r="AY958" t="s">
        <v>74</v>
      </c>
      <c r="AZ958" t="s">
        <v>74</v>
      </c>
      <c r="BA958" t="s">
        <v>74</v>
      </c>
      <c r="BB958">
        <v>11</v>
      </c>
      <c r="BC958">
        <v>22</v>
      </c>
      <c r="BD958" t="s">
        <v>74</v>
      </c>
      <c r="BE958" t="s">
        <v>17548</v>
      </c>
      <c r="BF958" t="str">
        <f>HYPERLINK("http://dx.doi.org/10.3189/2012JoG11J065","http://dx.doi.org/10.3189/2012JoG11J065")</f>
        <v>http://dx.doi.org/10.3189/2012JoG11J065</v>
      </c>
      <c r="BG958" t="s">
        <v>74</v>
      </c>
      <c r="BH958" t="s">
        <v>74</v>
      </c>
      <c r="BI958">
        <v>12</v>
      </c>
      <c r="BJ958" t="s">
        <v>943</v>
      </c>
      <c r="BK958" t="s">
        <v>99</v>
      </c>
      <c r="BL958" t="s">
        <v>944</v>
      </c>
      <c r="BM958" t="s">
        <v>17549</v>
      </c>
      <c r="BN958" t="s">
        <v>74</v>
      </c>
      <c r="BO958" t="s">
        <v>217</v>
      </c>
      <c r="BP958" t="s">
        <v>74</v>
      </c>
      <c r="BQ958" t="s">
        <v>74</v>
      </c>
      <c r="BR958" t="s">
        <v>101</v>
      </c>
      <c r="BS958" t="s">
        <v>17550</v>
      </c>
      <c r="BT958" t="str">
        <f>HYPERLINK("https%3A%2F%2Fwww.webofscience.com%2Fwos%2Fwoscc%2Ffull-record%2FWOS:000300757800002","View Full Record in Web of Science")</f>
        <v>View Full Record in Web of Science</v>
      </c>
    </row>
    <row r="959" spans="1:72" x14ac:dyDescent="0.15">
      <c r="A959" t="s">
        <v>72</v>
      </c>
      <c r="B959" t="s">
        <v>17551</v>
      </c>
      <c r="C959" t="s">
        <v>74</v>
      </c>
      <c r="D959" t="s">
        <v>74</v>
      </c>
      <c r="E959" t="s">
        <v>74</v>
      </c>
      <c r="F959" t="s">
        <v>17552</v>
      </c>
      <c r="G959" t="s">
        <v>74</v>
      </c>
      <c r="H959" t="s">
        <v>74</v>
      </c>
      <c r="I959" t="s">
        <v>17553</v>
      </c>
      <c r="J959" t="s">
        <v>13838</v>
      </c>
      <c r="K959" t="s">
        <v>74</v>
      </c>
      <c r="L959" t="s">
        <v>74</v>
      </c>
      <c r="M959" t="s">
        <v>78</v>
      </c>
      <c r="N959" t="s">
        <v>79</v>
      </c>
      <c r="O959" t="s">
        <v>74</v>
      </c>
      <c r="P959" t="s">
        <v>74</v>
      </c>
      <c r="Q959" t="s">
        <v>74</v>
      </c>
      <c r="R959" t="s">
        <v>74</v>
      </c>
      <c r="S959" t="s">
        <v>74</v>
      </c>
      <c r="T959" t="s">
        <v>74</v>
      </c>
      <c r="U959" t="s">
        <v>17554</v>
      </c>
      <c r="V959" t="s">
        <v>17555</v>
      </c>
      <c r="W959" t="s">
        <v>17556</v>
      </c>
      <c r="X959" t="s">
        <v>17557</v>
      </c>
      <c r="Y959" t="s">
        <v>17558</v>
      </c>
      <c r="Z959" t="s">
        <v>6618</v>
      </c>
      <c r="AA959" t="s">
        <v>17559</v>
      </c>
      <c r="AB959" t="s">
        <v>6620</v>
      </c>
      <c r="AC959" t="s">
        <v>17560</v>
      </c>
      <c r="AD959" t="s">
        <v>17561</v>
      </c>
      <c r="AE959" t="s">
        <v>17562</v>
      </c>
      <c r="AF959" t="s">
        <v>74</v>
      </c>
      <c r="AG959">
        <v>62</v>
      </c>
      <c r="AH959">
        <v>56</v>
      </c>
      <c r="AI959">
        <v>57</v>
      </c>
      <c r="AJ959">
        <v>0</v>
      </c>
      <c r="AK959">
        <v>15</v>
      </c>
      <c r="AL959" t="s">
        <v>1111</v>
      </c>
      <c r="AM959" t="s">
        <v>1112</v>
      </c>
      <c r="AN959" t="s">
        <v>1113</v>
      </c>
      <c r="AO959" t="s">
        <v>13846</v>
      </c>
      <c r="AP959" t="s">
        <v>13847</v>
      </c>
      <c r="AQ959" t="s">
        <v>74</v>
      </c>
      <c r="AR959" t="s">
        <v>13848</v>
      </c>
      <c r="AS959" t="s">
        <v>13849</v>
      </c>
      <c r="AT959" t="s">
        <v>74</v>
      </c>
      <c r="AU959">
        <v>2012</v>
      </c>
      <c r="AV959">
        <v>58</v>
      </c>
      <c r="AW959">
        <v>207</v>
      </c>
      <c r="AX959" t="s">
        <v>74</v>
      </c>
      <c r="AY959" t="s">
        <v>74</v>
      </c>
      <c r="AZ959" t="s">
        <v>74</v>
      </c>
      <c r="BA959" t="s">
        <v>74</v>
      </c>
      <c r="BB959">
        <v>38</v>
      </c>
      <c r="BC959">
        <v>50</v>
      </c>
      <c r="BD959" t="s">
        <v>74</v>
      </c>
      <c r="BE959" t="s">
        <v>17563</v>
      </c>
      <c r="BF959" t="str">
        <f>HYPERLINK("http://dx.doi.org/10.3189/2012JoG10J218","http://dx.doi.org/10.3189/2012JoG10J218")</f>
        <v>http://dx.doi.org/10.3189/2012JoG10J218</v>
      </c>
      <c r="BG959" t="s">
        <v>74</v>
      </c>
      <c r="BH959" t="s">
        <v>74</v>
      </c>
      <c r="BI959">
        <v>13</v>
      </c>
      <c r="BJ959" t="s">
        <v>943</v>
      </c>
      <c r="BK959" t="s">
        <v>99</v>
      </c>
      <c r="BL959" t="s">
        <v>944</v>
      </c>
      <c r="BM959" t="s">
        <v>17549</v>
      </c>
      <c r="BN959" t="s">
        <v>74</v>
      </c>
      <c r="BO959" t="s">
        <v>217</v>
      </c>
      <c r="BP959" t="s">
        <v>74</v>
      </c>
      <c r="BQ959" t="s">
        <v>74</v>
      </c>
      <c r="BR959" t="s">
        <v>101</v>
      </c>
      <c r="BS959" t="s">
        <v>17564</v>
      </c>
      <c r="BT959" t="str">
        <f>HYPERLINK("https%3A%2F%2Fwww.webofscience.com%2Fwos%2Fwoscc%2Ffull-record%2FWOS:000300757800004","View Full Record in Web of Science")</f>
        <v>View Full Record in Web of Science</v>
      </c>
    </row>
    <row r="960" spans="1:72" x14ac:dyDescent="0.15">
      <c r="A960" t="s">
        <v>72</v>
      </c>
      <c r="B960" t="s">
        <v>17565</v>
      </c>
      <c r="C960" t="s">
        <v>74</v>
      </c>
      <c r="D960" t="s">
        <v>74</v>
      </c>
      <c r="E960" t="s">
        <v>74</v>
      </c>
      <c r="F960" t="s">
        <v>17566</v>
      </c>
      <c r="G960" t="s">
        <v>74</v>
      </c>
      <c r="H960" t="s">
        <v>74</v>
      </c>
      <c r="I960" t="s">
        <v>17567</v>
      </c>
      <c r="J960" t="s">
        <v>13838</v>
      </c>
      <c r="K960" t="s">
        <v>74</v>
      </c>
      <c r="L960" t="s">
        <v>74</v>
      </c>
      <c r="M960" t="s">
        <v>78</v>
      </c>
      <c r="N960" t="s">
        <v>79</v>
      </c>
      <c r="O960" t="s">
        <v>74</v>
      </c>
      <c r="P960" t="s">
        <v>74</v>
      </c>
      <c r="Q960" t="s">
        <v>74</v>
      </c>
      <c r="R960" t="s">
        <v>74</v>
      </c>
      <c r="S960" t="s">
        <v>74</v>
      </c>
      <c r="T960" t="s">
        <v>74</v>
      </c>
      <c r="U960" t="s">
        <v>17568</v>
      </c>
      <c r="V960" t="s">
        <v>17569</v>
      </c>
      <c r="W960" t="s">
        <v>17570</v>
      </c>
      <c r="X960" t="s">
        <v>17571</v>
      </c>
      <c r="Y960" t="s">
        <v>17572</v>
      </c>
      <c r="Z960" t="s">
        <v>17573</v>
      </c>
      <c r="AA960" t="s">
        <v>17574</v>
      </c>
      <c r="AB960" t="s">
        <v>17575</v>
      </c>
      <c r="AC960" t="s">
        <v>17576</v>
      </c>
      <c r="AD960" t="s">
        <v>17577</v>
      </c>
      <c r="AE960" t="s">
        <v>17578</v>
      </c>
      <c r="AF960" t="s">
        <v>74</v>
      </c>
      <c r="AG960">
        <v>47</v>
      </c>
      <c r="AH960">
        <v>31</v>
      </c>
      <c r="AI960">
        <v>40</v>
      </c>
      <c r="AJ960">
        <v>0</v>
      </c>
      <c r="AK960">
        <v>25</v>
      </c>
      <c r="AL960" t="s">
        <v>1111</v>
      </c>
      <c r="AM960" t="s">
        <v>1112</v>
      </c>
      <c r="AN960" t="s">
        <v>1113</v>
      </c>
      <c r="AO960" t="s">
        <v>13846</v>
      </c>
      <c r="AP960" t="s">
        <v>13847</v>
      </c>
      <c r="AQ960" t="s">
        <v>74</v>
      </c>
      <c r="AR960" t="s">
        <v>13848</v>
      </c>
      <c r="AS960" t="s">
        <v>13849</v>
      </c>
      <c r="AT960" t="s">
        <v>74</v>
      </c>
      <c r="AU960">
        <v>2012</v>
      </c>
      <c r="AV960">
        <v>58</v>
      </c>
      <c r="AW960">
        <v>207</v>
      </c>
      <c r="AX960" t="s">
        <v>74</v>
      </c>
      <c r="AY960" t="s">
        <v>74</v>
      </c>
      <c r="AZ960" t="s">
        <v>74</v>
      </c>
      <c r="BA960" t="s">
        <v>74</v>
      </c>
      <c r="BB960">
        <v>65</v>
      </c>
      <c r="BC960">
        <v>75</v>
      </c>
      <c r="BD960" t="s">
        <v>74</v>
      </c>
      <c r="BE960" t="s">
        <v>17579</v>
      </c>
      <c r="BF960" t="str">
        <f>HYPERLINK("http://dx.doi.org/10.3189/2012JoG11J138","http://dx.doi.org/10.3189/2012JoG11J138")</f>
        <v>http://dx.doi.org/10.3189/2012JoG11J138</v>
      </c>
      <c r="BG960" t="s">
        <v>74</v>
      </c>
      <c r="BH960" t="s">
        <v>74</v>
      </c>
      <c r="BI960">
        <v>11</v>
      </c>
      <c r="BJ960" t="s">
        <v>943</v>
      </c>
      <c r="BK960" t="s">
        <v>99</v>
      </c>
      <c r="BL960" t="s">
        <v>944</v>
      </c>
      <c r="BM960" t="s">
        <v>17549</v>
      </c>
      <c r="BN960" t="s">
        <v>74</v>
      </c>
      <c r="BO960" t="s">
        <v>217</v>
      </c>
      <c r="BP960" t="s">
        <v>74</v>
      </c>
      <c r="BQ960" t="s">
        <v>74</v>
      </c>
      <c r="BR960" t="s">
        <v>101</v>
      </c>
      <c r="BS960" t="s">
        <v>17580</v>
      </c>
      <c r="BT960" t="str">
        <f>HYPERLINK("https%3A%2F%2Fwww.webofscience.com%2Fwos%2Fwoscc%2Ffull-record%2FWOS:000300757800006","View Full Record in Web of Science")</f>
        <v>View Full Record in Web of Science</v>
      </c>
    </row>
    <row r="961" spans="1:72" x14ac:dyDescent="0.15">
      <c r="A961" t="s">
        <v>72</v>
      </c>
      <c r="B961" t="s">
        <v>17581</v>
      </c>
      <c r="C961" t="s">
        <v>74</v>
      </c>
      <c r="D961" t="s">
        <v>74</v>
      </c>
      <c r="E961" t="s">
        <v>74</v>
      </c>
      <c r="F961" t="s">
        <v>17582</v>
      </c>
      <c r="G961" t="s">
        <v>74</v>
      </c>
      <c r="H961" t="s">
        <v>74</v>
      </c>
      <c r="I961" t="s">
        <v>17583</v>
      </c>
      <c r="J961" t="s">
        <v>13838</v>
      </c>
      <c r="K961" t="s">
        <v>74</v>
      </c>
      <c r="L961" t="s">
        <v>74</v>
      </c>
      <c r="M961" t="s">
        <v>78</v>
      </c>
      <c r="N961" t="s">
        <v>79</v>
      </c>
      <c r="O961" t="s">
        <v>74</v>
      </c>
      <c r="P961" t="s">
        <v>74</v>
      </c>
      <c r="Q961" t="s">
        <v>74</v>
      </c>
      <c r="R961" t="s">
        <v>74</v>
      </c>
      <c r="S961" t="s">
        <v>74</v>
      </c>
      <c r="T961" t="s">
        <v>74</v>
      </c>
      <c r="U961" t="s">
        <v>17584</v>
      </c>
      <c r="V961" t="s">
        <v>17585</v>
      </c>
      <c r="W961" t="s">
        <v>17586</v>
      </c>
      <c r="X961" t="s">
        <v>17587</v>
      </c>
      <c r="Y961" t="s">
        <v>17588</v>
      </c>
      <c r="Z961" t="s">
        <v>17589</v>
      </c>
      <c r="AA961" t="s">
        <v>17590</v>
      </c>
      <c r="AB961" t="s">
        <v>17591</v>
      </c>
      <c r="AC961" t="s">
        <v>17592</v>
      </c>
      <c r="AD961" t="s">
        <v>17592</v>
      </c>
      <c r="AE961" t="s">
        <v>17593</v>
      </c>
      <c r="AF961" t="s">
        <v>74</v>
      </c>
      <c r="AG961">
        <v>104</v>
      </c>
      <c r="AH961">
        <v>34</v>
      </c>
      <c r="AI961">
        <v>38</v>
      </c>
      <c r="AJ961">
        <v>0</v>
      </c>
      <c r="AK961">
        <v>26</v>
      </c>
      <c r="AL961" t="s">
        <v>1111</v>
      </c>
      <c r="AM961" t="s">
        <v>1112</v>
      </c>
      <c r="AN961" t="s">
        <v>1113</v>
      </c>
      <c r="AO961" t="s">
        <v>13846</v>
      </c>
      <c r="AP961" t="s">
        <v>13847</v>
      </c>
      <c r="AQ961" t="s">
        <v>74</v>
      </c>
      <c r="AR961" t="s">
        <v>13848</v>
      </c>
      <c r="AS961" t="s">
        <v>13849</v>
      </c>
      <c r="AT961" t="s">
        <v>74</v>
      </c>
      <c r="AU961">
        <v>2012</v>
      </c>
      <c r="AV961">
        <v>58</v>
      </c>
      <c r="AW961">
        <v>207</v>
      </c>
      <c r="AX961" t="s">
        <v>74</v>
      </c>
      <c r="AY961" t="s">
        <v>74</v>
      </c>
      <c r="AZ961" t="s">
        <v>74</v>
      </c>
      <c r="BA961" t="s">
        <v>74</v>
      </c>
      <c r="BB961">
        <v>165</v>
      </c>
      <c r="BC961">
        <v>176</v>
      </c>
      <c r="BD961" t="s">
        <v>74</v>
      </c>
      <c r="BE961" t="s">
        <v>17594</v>
      </c>
      <c r="BF961" t="str">
        <f>HYPERLINK("http://dx.doi.org/10.3189/2012JoG11J191","http://dx.doi.org/10.3189/2012JoG11J191")</f>
        <v>http://dx.doi.org/10.3189/2012JoG11J191</v>
      </c>
      <c r="BG961" t="s">
        <v>74</v>
      </c>
      <c r="BH961" t="s">
        <v>74</v>
      </c>
      <c r="BI961">
        <v>12</v>
      </c>
      <c r="BJ961" t="s">
        <v>943</v>
      </c>
      <c r="BK961" t="s">
        <v>99</v>
      </c>
      <c r="BL961" t="s">
        <v>944</v>
      </c>
      <c r="BM961" t="s">
        <v>17549</v>
      </c>
      <c r="BN961" t="s">
        <v>74</v>
      </c>
      <c r="BO961" t="s">
        <v>217</v>
      </c>
      <c r="BP961" t="s">
        <v>74</v>
      </c>
      <c r="BQ961" t="s">
        <v>74</v>
      </c>
      <c r="BR961" t="s">
        <v>101</v>
      </c>
      <c r="BS961" t="s">
        <v>17595</v>
      </c>
      <c r="BT961" t="str">
        <f>HYPERLINK("https%3A%2F%2Fwww.webofscience.com%2Fwos%2Fwoscc%2Ffull-record%2FWOS:000300757800014","View Full Record in Web of Science")</f>
        <v>View Full Record in Web of Science</v>
      </c>
    </row>
    <row r="962" spans="1:72" x14ac:dyDescent="0.15">
      <c r="A962" t="s">
        <v>72</v>
      </c>
      <c r="B962" t="s">
        <v>17596</v>
      </c>
      <c r="C962" t="s">
        <v>74</v>
      </c>
      <c r="D962" t="s">
        <v>74</v>
      </c>
      <c r="E962" t="s">
        <v>74</v>
      </c>
      <c r="F962" t="s">
        <v>17597</v>
      </c>
      <c r="G962" t="s">
        <v>74</v>
      </c>
      <c r="H962" t="s">
        <v>74</v>
      </c>
      <c r="I962" t="s">
        <v>17598</v>
      </c>
      <c r="J962" t="s">
        <v>13628</v>
      </c>
      <c r="K962" t="s">
        <v>74</v>
      </c>
      <c r="L962" t="s">
        <v>74</v>
      </c>
      <c r="M962" t="s">
        <v>78</v>
      </c>
      <c r="N962" t="s">
        <v>79</v>
      </c>
      <c r="O962" t="s">
        <v>74</v>
      </c>
      <c r="P962" t="s">
        <v>74</v>
      </c>
      <c r="Q962" t="s">
        <v>74</v>
      </c>
      <c r="R962" t="s">
        <v>74</v>
      </c>
      <c r="S962" t="s">
        <v>74</v>
      </c>
      <c r="T962" t="s">
        <v>17599</v>
      </c>
      <c r="U962" t="s">
        <v>17600</v>
      </c>
      <c r="V962" t="s">
        <v>17601</v>
      </c>
      <c r="W962" t="s">
        <v>17602</v>
      </c>
      <c r="X962" t="s">
        <v>15675</v>
      </c>
      <c r="Y962" t="s">
        <v>17603</v>
      </c>
      <c r="Z962" t="s">
        <v>17604</v>
      </c>
      <c r="AA962" t="s">
        <v>17605</v>
      </c>
      <c r="AB962" t="s">
        <v>17606</v>
      </c>
      <c r="AC962" t="s">
        <v>17607</v>
      </c>
      <c r="AD962" t="s">
        <v>17607</v>
      </c>
      <c r="AE962" t="s">
        <v>17608</v>
      </c>
      <c r="AF962" t="s">
        <v>74</v>
      </c>
      <c r="AG962">
        <v>50</v>
      </c>
      <c r="AH962">
        <v>20</v>
      </c>
      <c r="AI962">
        <v>23</v>
      </c>
      <c r="AJ962">
        <v>0</v>
      </c>
      <c r="AK962">
        <v>18</v>
      </c>
      <c r="AL962" t="s">
        <v>13640</v>
      </c>
      <c r="AM962" t="s">
        <v>13641</v>
      </c>
      <c r="AN962" t="s">
        <v>13642</v>
      </c>
      <c r="AO962" t="s">
        <v>13643</v>
      </c>
      <c r="AP962" t="s">
        <v>13644</v>
      </c>
      <c r="AQ962" t="s">
        <v>74</v>
      </c>
      <c r="AR962" t="s">
        <v>13645</v>
      </c>
      <c r="AS962" t="s">
        <v>13646</v>
      </c>
      <c r="AT962" t="s">
        <v>74</v>
      </c>
      <c r="AU962">
        <v>2012</v>
      </c>
      <c r="AV962">
        <v>447</v>
      </c>
      <c r="AW962" t="s">
        <v>74</v>
      </c>
      <c r="AX962" t="s">
        <v>74</v>
      </c>
      <c r="AY962" t="s">
        <v>74</v>
      </c>
      <c r="AZ962" t="s">
        <v>74</v>
      </c>
      <c r="BA962" t="s">
        <v>74</v>
      </c>
      <c r="BB962">
        <v>231</v>
      </c>
      <c r="BC962">
        <v>242</v>
      </c>
      <c r="BD962" t="s">
        <v>74</v>
      </c>
      <c r="BE962" t="s">
        <v>17609</v>
      </c>
      <c r="BF962" t="str">
        <f>HYPERLINK("http://dx.doi.org/10.3354/meps09449","http://dx.doi.org/10.3354/meps09449")</f>
        <v>http://dx.doi.org/10.3354/meps09449</v>
      </c>
      <c r="BG962" t="s">
        <v>74</v>
      </c>
      <c r="BH962" t="s">
        <v>74</v>
      </c>
      <c r="BI962">
        <v>12</v>
      </c>
      <c r="BJ962" t="s">
        <v>13648</v>
      </c>
      <c r="BK962" t="s">
        <v>99</v>
      </c>
      <c r="BL962" t="s">
        <v>13649</v>
      </c>
      <c r="BM962" t="s">
        <v>17610</v>
      </c>
      <c r="BN962" t="s">
        <v>74</v>
      </c>
      <c r="BO962" t="s">
        <v>217</v>
      </c>
      <c r="BP962" t="s">
        <v>74</v>
      </c>
      <c r="BQ962" t="s">
        <v>74</v>
      </c>
      <c r="BR962" t="s">
        <v>101</v>
      </c>
      <c r="BS962" t="s">
        <v>17611</v>
      </c>
      <c r="BT962" t="str">
        <f>HYPERLINK("https%3A%2F%2Fwww.webofscience.com%2Fwos%2Fwoscc%2Ffull-record%2FWOS:000300660600016","View Full Record in Web of Science")</f>
        <v>View Full Record in Web of Science</v>
      </c>
    </row>
    <row r="963" spans="1:72" x14ac:dyDescent="0.15">
      <c r="A963" t="s">
        <v>72</v>
      </c>
      <c r="B963" t="s">
        <v>17612</v>
      </c>
      <c r="C963" t="s">
        <v>74</v>
      </c>
      <c r="D963" t="s">
        <v>74</v>
      </c>
      <c r="E963" t="s">
        <v>74</v>
      </c>
      <c r="F963" t="s">
        <v>17613</v>
      </c>
      <c r="G963" t="s">
        <v>74</v>
      </c>
      <c r="H963" t="s">
        <v>74</v>
      </c>
      <c r="I963" t="s">
        <v>17614</v>
      </c>
      <c r="J963" t="s">
        <v>13628</v>
      </c>
      <c r="K963" t="s">
        <v>74</v>
      </c>
      <c r="L963" t="s">
        <v>74</v>
      </c>
      <c r="M963" t="s">
        <v>78</v>
      </c>
      <c r="N963" t="s">
        <v>79</v>
      </c>
      <c r="O963" t="s">
        <v>74</v>
      </c>
      <c r="P963" t="s">
        <v>74</v>
      </c>
      <c r="Q963" t="s">
        <v>74</v>
      </c>
      <c r="R963" t="s">
        <v>74</v>
      </c>
      <c r="S963" t="s">
        <v>74</v>
      </c>
      <c r="T963" t="s">
        <v>17615</v>
      </c>
      <c r="U963" t="s">
        <v>17616</v>
      </c>
      <c r="V963" t="s">
        <v>17617</v>
      </c>
      <c r="W963" t="s">
        <v>17618</v>
      </c>
      <c r="X963" t="s">
        <v>17619</v>
      </c>
      <c r="Y963" t="s">
        <v>17620</v>
      </c>
      <c r="Z963" t="s">
        <v>17621</v>
      </c>
      <c r="AA963" t="s">
        <v>17622</v>
      </c>
      <c r="AB963" t="s">
        <v>17623</v>
      </c>
      <c r="AC963" t="s">
        <v>17624</v>
      </c>
      <c r="AD963" t="s">
        <v>17624</v>
      </c>
      <c r="AE963" t="s">
        <v>17625</v>
      </c>
      <c r="AF963" t="s">
        <v>74</v>
      </c>
      <c r="AG963">
        <v>46</v>
      </c>
      <c r="AH963">
        <v>47</v>
      </c>
      <c r="AI963">
        <v>54</v>
      </c>
      <c r="AJ963">
        <v>3</v>
      </c>
      <c r="AK963">
        <v>53</v>
      </c>
      <c r="AL963" t="s">
        <v>13640</v>
      </c>
      <c r="AM963" t="s">
        <v>13641</v>
      </c>
      <c r="AN963" t="s">
        <v>13642</v>
      </c>
      <c r="AO963" t="s">
        <v>13643</v>
      </c>
      <c r="AP963" t="s">
        <v>13644</v>
      </c>
      <c r="AQ963" t="s">
        <v>74</v>
      </c>
      <c r="AR963" t="s">
        <v>13645</v>
      </c>
      <c r="AS963" t="s">
        <v>13646</v>
      </c>
      <c r="AT963" t="s">
        <v>74</v>
      </c>
      <c r="AU963">
        <v>2012</v>
      </c>
      <c r="AV963">
        <v>447</v>
      </c>
      <c r="AW963" t="s">
        <v>74</v>
      </c>
      <c r="AX963" t="s">
        <v>74</v>
      </c>
      <c r="AY963" t="s">
        <v>74</v>
      </c>
      <c r="AZ963" t="s">
        <v>74</v>
      </c>
      <c r="BA963" t="s">
        <v>74</v>
      </c>
      <c r="BB963">
        <v>259</v>
      </c>
      <c r="BC963">
        <v>272</v>
      </c>
      <c r="BD963" t="s">
        <v>74</v>
      </c>
      <c r="BE963" t="s">
        <v>17626</v>
      </c>
      <c r="BF963" t="str">
        <f>HYPERLINK("http://dx.doi.org/10.3354/meps09462","http://dx.doi.org/10.3354/meps09462")</f>
        <v>http://dx.doi.org/10.3354/meps09462</v>
      </c>
      <c r="BG963" t="s">
        <v>74</v>
      </c>
      <c r="BH963" t="s">
        <v>74</v>
      </c>
      <c r="BI963">
        <v>14</v>
      </c>
      <c r="BJ963" t="s">
        <v>13648</v>
      </c>
      <c r="BK963" t="s">
        <v>99</v>
      </c>
      <c r="BL963" t="s">
        <v>13649</v>
      </c>
      <c r="BM963" t="s">
        <v>17610</v>
      </c>
      <c r="BN963" t="s">
        <v>74</v>
      </c>
      <c r="BO963" t="s">
        <v>217</v>
      </c>
      <c r="BP963" t="s">
        <v>74</v>
      </c>
      <c r="BQ963" t="s">
        <v>74</v>
      </c>
      <c r="BR963" t="s">
        <v>101</v>
      </c>
      <c r="BS963" t="s">
        <v>17627</v>
      </c>
      <c r="BT963" t="str">
        <f>HYPERLINK("https%3A%2F%2Fwww.webofscience.com%2Fwos%2Fwoscc%2Ffull-record%2FWOS:000300660600018","View Full Record in Web of Science")</f>
        <v>View Full Record in Web of Science</v>
      </c>
    </row>
    <row r="964" spans="1:72" x14ac:dyDescent="0.15">
      <c r="A964" t="s">
        <v>72</v>
      </c>
      <c r="B964" t="s">
        <v>17628</v>
      </c>
      <c r="C964" t="s">
        <v>74</v>
      </c>
      <c r="D964" t="s">
        <v>74</v>
      </c>
      <c r="E964" t="s">
        <v>74</v>
      </c>
      <c r="F964" t="s">
        <v>17629</v>
      </c>
      <c r="G964" t="s">
        <v>74</v>
      </c>
      <c r="H964" t="s">
        <v>74</v>
      </c>
      <c r="I964" t="s">
        <v>17630</v>
      </c>
      <c r="J964" t="s">
        <v>13700</v>
      </c>
      <c r="K964" t="s">
        <v>74</v>
      </c>
      <c r="L964" t="s">
        <v>74</v>
      </c>
      <c r="M964" t="s">
        <v>78</v>
      </c>
      <c r="N964" t="s">
        <v>79</v>
      </c>
      <c r="O964" t="s">
        <v>74</v>
      </c>
      <c r="P964" t="s">
        <v>74</v>
      </c>
      <c r="Q964" t="s">
        <v>74</v>
      </c>
      <c r="R964" t="s">
        <v>74</v>
      </c>
      <c r="S964" t="s">
        <v>74</v>
      </c>
      <c r="T964" t="s">
        <v>17631</v>
      </c>
      <c r="U964" t="s">
        <v>17632</v>
      </c>
      <c r="V964" t="s">
        <v>17633</v>
      </c>
      <c r="W964" t="s">
        <v>17634</v>
      </c>
      <c r="X964" t="s">
        <v>17635</v>
      </c>
      <c r="Y964" t="s">
        <v>17636</v>
      </c>
      <c r="Z964" t="s">
        <v>17637</v>
      </c>
      <c r="AA964" t="s">
        <v>17638</v>
      </c>
      <c r="AB964" t="s">
        <v>17639</v>
      </c>
      <c r="AC964" t="s">
        <v>17640</v>
      </c>
      <c r="AD964" t="s">
        <v>17641</v>
      </c>
      <c r="AE964" t="s">
        <v>17642</v>
      </c>
      <c r="AF964" t="s">
        <v>74</v>
      </c>
      <c r="AG964">
        <v>100</v>
      </c>
      <c r="AH964">
        <v>20</v>
      </c>
      <c r="AI964">
        <v>21</v>
      </c>
      <c r="AJ964">
        <v>2</v>
      </c>
      <c r="AK964">
        <v>69</v>
      </c>
      <c r="AL964" t="s">
        <v>13707</v>
      </c>
      <c r="AM964" t="s">
        <v>13708</v>
      </c>
      <c r="AN964" t="s">
        <v>13709</v>
      </c>
      <c r="AO964" t="s">
        <v>13710</v>
      </c>
      <c r="AP964" t="s">
        <v>13711</v>
      </c>
      <c r="AQ964" t="s">
        <v>74</v>
      </c>
      <c r="AR964" t="s">
        <v>13712</v>
      </c>
      <c r="AS964" t="s">
        <v>13713</v>
      </c>
      <c r="AT964" t="s">
        <v>74</v>
      </c>
      <c r="AU964">
        <v>2012</v>
      </c>
      <c r="AV964">
        <v>31</v>
      </c>
      <c r="AW964" t="s">
        <v>74</v>
      </c>
      <c r="AX964" t="s">
        <v>74</v>
      </c>
      <c r="AY964" t="s">
        <v>74</v>
      </c>
      <c r="AZ964" t="s">
        <v>74</v>
      </c>
      <c r="BA964" t="s">
        <v>74</v>
      </c>
      <c r="BB964" t="s">
        <v>74</v>
      </c>
      <c r="BC964" t="s">
        <v>74</v>
      </c>
      <c r="BD964">
        <v>17219</v>
      </c>
      <c r="BE964" t="s">
        <v>17643</v>
      </c>
      <c r="BF964" t="str">
        <f>HYPERLINK("http://dx.doi.org/10.3402/polar.v31i0.17219","http://dx.doi.org/10.3402/polar.v31i0.17219")</f>
        <v>http://dx.doi.org/10.3402/polar.v31i0.17219</v>
      </c>
      <c r="BG964" t="s">
        <v>74</v>
      </c>
      <c r="BH964" t="s">
        <v>74</v>
      </c>
      <c r="BI964">
        <v>13</v>
      </c>
      <c r="BJ964" t="s">
        <v>13715</v>
      </c>
      <c r="BK964" t="s">
        <v>2236</v>
      </c>
      <c r="BL964" t="s">
        <v>13716</v>
      </c>
      <c r="BM964" t="s">
        <v>17644</v>
      </c>
      <c r="BN964" t="s">
        <v>74</v>
      </c>
      <c r="BO964" t="s">
        <v>9400</v>
      </c>
      <c r="BP964" t="s">
        <v>74</v>
      </c>
      <c r="BQ964" t="s">
        <v>74</v>
      </c>
      <c r="BR964" t="s">
        <v>101</v>
      </c>
      <c r="BS964" t="s">
        <v>17645</v>
      </c>
      <c r="BT964" t="str">
        <f>HYPERLINK("https%3A%2F%2Fwww.webofscience.com%2Fwos%2Fwoscc%2Ffull-record%2FWOS:000300874800001","View Full Record in Web of Science")</f>
        <v>View Full Record in Web of Science</v>
      </c>
    </row>
    <row r="965" spans="1:72" x14ac:dyDescent="0.15">
      <c r="A965" t="s">
        <v>72</v>
      </c>
      <c r="B965" t="s">
        <v>17646</v>
      </c>
      <c r="C965" t="s">
        <v>74</v>
      </c>
      <c r="D965" t="s">
        <v>74</v>
      </c>
      <c r="E965" t="s">
        <v>74</v>
      </c>
      <c r="F965" t="s">
        <v>17647</v>
      </c>
      <c r="G965" t="s">
        <v>74</v>
      </c>
      <c r="H965" t="s">
        <v>74</v>
      </c>
      <c r="I965" t="s">
        <v>17648</v>
      </c>
      <c r="J965" t="s">
        <v>13816</v>
      </c>
      <c r="K965" t="s">
        <v>74</v>
      </c>
      <c r="L965" t="s">
        <v>74</v>
      </c>
      <c r="M965" t="s">
        <v>78</v>
      </c>
      <c r="N965" t="s">
        <v>79</v>
      </c>
      <c r="O965" t="s">
        <v>74</v>
      </c>
      <c r="P965" t="s">
        <v>74</v>
      </c>
      <c r="Q965" t="s">
        <v>74</v>
      </c>
      <c r="R965" t="s">
        <v>74</v>
      </c>
      <c r="S965" t="s">
        <v>74</v>
      </c>
      <c r="T965" t="s">
        <v>74</v>
      </c>
      <c r="U965" t="s">
        <v>17649</v>
      </c>
      <c r="V965" t="s">
        <v>17650</v>
      </c>
      <c r="W965" t="s">
        <v>17651</v>
      </c>
      <c r="X965" t="s">
        <v>17652</v>
      </c>
      <c r="Y965" t="s">
        <v>17653</v>
      </c>
      <c r="Z965" t="s">
        <v>17654</v>
      </c>
      <c r="AA965" t="s">
        <v>17655</v>
      </c>
      <c r="AB965" t="s">
        <v>17656</v>
      </c>
      <c r="AC965" t="s">
        <v>17657</v>
      </c>
      <c r="AD965" t="s">
        <v>17658</v>
      </c>
      <c r="AE965" t="s">
        <v>17659</v>
      </c>
      <c r="AF965" t="s">
        <v>74</v>
      </c>
      <c r="AG965">
        <v>60</v>
      </c>
      <c r="AH965">
        <v>19</v>
      </c>
      <c r="AI965">
        <v>20</v>
      </c>
      <c r="AJ965">
        <v>0</v>
      </c>
      <c r="AK965">
        <v>11</v>
      </c>
      <c r="AL965" t="s">
        <v>13270</v>
      </c>
      <c r="AM965" t="s">
        <v>13271</v>
      </c>
      <c r="AN965" t="s">
        <v>13272</v>
      </c>
      <c r="AO965" t="s">
        <v>13828</v>
      </c>
      <c r="AP965" t="s">
        <v>13829</v>
      </c>
      <c r="AQ965" t="s">
        <v>74</v>
      </c>
      <c r="AR965" t="s">
        <v>13830</v>
      </c>
      <c r="AS965" t="s">
        <v>13831</v>
      </c>
      <c r="AT965" t="s">
        <v>74</v>
      </c>
      <c r="AU965">
        <v>2012</v>
      </c>
      <c r="AV965">
        <v>12</v>
      </c>
      <c r="AW965">
        <v>3</v>
      </c>
      <c r="AX965" t="s">
        <v>74</v>
      </c>
      <c r="AY965" t="s">
        <v>74</v>
      </c>
      <c r="AZ965" t="s">
        <v>74</v>
      </c>
      <c r="BA965" t="s">
        <v>74</v>
      </c>
      <c r="BB965">
        <v>1353</v>
      </c>
      <c r="BC965">
        <v>1365</v>
      </c>
      <c r="BD965" t="s">
        <v>74</v>
      </c>
      <c r="BE965" t="s">
        <v>17660</v>
      </c>
      <c r="BF965" t="str">
        <f>HYPERLINK("http://dx.doi.org/10.5194/acp-12-1353-2012","http://dx.doi.org/10.5194/acp-12-1353-2012")</f>
        <v>http://dx.doi.org/10.5194/acp-12-1353-2012</v>
      </c>
      <c r="BG965" t="s">
        <v>74</v>
      </c>
      <c r="BH965" t="s">
        <v>74</v>
      </c>
      <c r="BI965">
        <v>13</v>
      </c>
      <c r="BJ965" t="s">
        <v>1758</v>
      </c>
      <c r="BK965" t="s">
        <v>99</v>
      </c>
      <c r="BL965" t="s">
        <v>1759</v>
      </c>
      <c r="BM965" t="s">
        <v>17661</v>
      </c>
      <c r="BN965" t="s">
        <v>74</v>
      </c>
      <c r="BO965" t="s">
        <v>13052</v>
      </c>
      <c r="BP965" t="s">
        <v>74</v>
      </c>
      <c r="BQ965" t="s">
        <v>74</v>
      </c>
      <c r="BR965" t="s">
        <v>101</v>
      </c>
      <c r="BS965" t="s">
        <v>17662</v>
      </c>
      <c r="BT965" t="str">
        <f>HYPERLINK("https%3A%2F%2Fwww.webofscience.com%2Fwos%2Fwoscc%2Ffull-record%2FWOS:000300656500009","View Full Record in Web of Science")</f>
        <v>View Full Record in Web of Science</v>
      </c>
    </row>
    <row r="966" spans="1:72" x14ac:dyDescent="0.15">
      <c r="A966" t="s">
        <v>72</v>
      </c>
      <c r="B966" t="s">
        <v>17663</v>
      </c>
      <c r="C966" t="s">
        <v>74</v>
      </c>
      <c r="D966" t="s">
        <v>74</v>
      </c>
      <c r="E966" t="s">
        <v>74</v>
      </c>
      <c r="F966" t="s">
        <v>17664</v>
      </c>
      <c r="G966" t="s">
        <v>74</v>
      </c>
      <c r="H966" t="s">
        <v>74</v>
      </c>
      <c r="I966" t="s">
        <v>17665</v>
      </c>
      <c r="J966" t="s">
        <v>13370</v>
      </c>
      <c r="K966" t="s">
        <v>74</v>
      </c>
      <c r="L966" t="s">
        <v>74</v>
      </c>
      <c r="M966" t="s">
        <v>78</v>
      </c>
      <c r="N966" t="s">
        <v>79</v>
      </c>
      <c r="O966" t="s">
        <v>74</v>
      </c>
      <c r="P966" t="s">
        <v>74</v>
      </c>
      <c r="Q966" t="s">
        <v>74</v>
      </c>
      <c r="R966" t="s">
        <v>74</v>
      </c>
      <c r="S966" t="s">
        <v>74</v>
      </c>
      <c r="T966" t="s">
        <v>74</v>
      </c>
      <c r="U966" t="s">
        <v>17666</v>
      </c>
      <c r="V966" t="s">
        <v>17667</v>
      </c>
      <c r="W966" t="s">
        <v>17668</v>
      </c>
      <c r="X966" t="s">
        <v>17669</v>
      </c>
      <c r="Y966" t="s">
        <v>17670</v>
      </c>
      <c r="Z966" t="s">
        <v>17671</v>
      </c>
      <c r="AA966" t="s">
        <v>74</v>
      </c>
      <c r="AB966" t="s">
        <v>17672</v>
      </c>
      <c r="AC966" t="s">
        <v>17673</v>
      </c>
      <c r="AD966" t="s">
        <v>17674</v>
      </c>
      <c r="AE966" t="s">
        <v>17675</v>
      </c>
      <c r="AF966" t="s">
        <v>74</v>
      </c>
      <c r="AG966">
        <v>27</v>
      </c>
      <c r="AH966">
        <v>31</v>
      </c>
      <c r="AI966">
        <v>32</v>
      </c>
      <c r="AJ966">
        <v>2</v>
      </c>
      <c r="AK966">
        <v>36</v>
      </c>
      <c r="AL966" t="s">
        <v>13270</v>
      </c>
      <c r="AM966" t="s">
        <v>13271</v>
      </c>
      <c r="AN966" t="s">
        <v>13272</v>
      </c>
      <c r="AO966" t="s">
        <v>13381</v>
      </c>
      <c r="AP966" t="s">
        <v>13382</v>
      </c>
      <c r="AQ966" t="s">
        <v>74</v>
      </c>
      <c r="AR966" t="s">
        <v>13370</v>
      </c>
      <c r="AS966" t="s">
        <v>13383</v>
      </c>
      <c r="AT966" t="s">
        <v>74</v>
      </c>
      <c r="AU966">
        <v>2012</v>
      </c>
      <c r="AV966">
        <v>6</v>
      </c>
      <c r="AW966">
        <v>1</v>
      </c>
      <c r="AX966" t="s">
        <v>74</v>
      </c>
      <c r="AY966" t="s">
        <v>74</v>
      </c>
      <c r="AZ966" t="s">
        <v>74</v>
      </c>
      <c r="BA966" t="s">
        <v>74</v>
      </c>
      <c r="BB966">
        <v>193</v>
      </c>
      <c r="BC966">
        <v>198</v>
      </c>
      <c r="BD966" t="s">
        <v>74</v>
      </c>
      <c r="BE966" t="s">
        <v>17676</v>
      </c>
      <c r="BF966" t="str">
        <f>HYPERLINK("http://dx.doi.org/10.5194/tc-6-193-2012","http://dx.doi.org/10.5194/tc-6-193-2012")</f>
        <v>http://dx.doi.org/10.5194/tc-6-193-2012</v>
      </c>
      <c r="BG966" t="s">
        <v>74</v>
      </c>
      <c r="BH966" t="s">
        <v>74</v>
      </c>
      <c r="BI966">
        <v>6</v>
      </c>
      <c r="BJ966" t="s">
        <v>943</v>
      </c>
      <c r="BK966" t="s">
        <v>99</v>
      </c>
      <c r="BL966" t="s">
        <v>944</v>
      </c>
      <c r="BM966" t="s">
        <v>17677</v>
      </c>
      <c r="BN966" t="s">
        <v>74</v>
      </c>
      <c r="BO966" t="s">
        <v>7430</v>
      </c>
      <c r="BP966" t="s">
        <v>74</v>
      </c>
      <c r="BQ966" t="s">
        <v>74</v>
      </c>
      <c r="BR966" t="s">
        <v>101</v>
      </c>
      <c r="BS966" t="s">
        <v>17678</v>
      </c>
      <c r="BT966" t="str">
        <f>HYPERLINK("https%3A%2F%2Fwww.webofscience.com%2Fwos%2Fwoscc%2Ffull-record%2FWOS:000300226700013","View Full Record in Web of Science")</f>
        <v>View Full Record in Web of Science</v>
      </c>
    </row>
    <row r="967" spans="1:72" x14ac:dyDescent="0.15">
      <c r="A967" t="s">
        <v>12256</v>
      </c>
      <c r="B967" t="s">
        <v>17679</v>
      </c>
      <c r="C967" t="s">
        <v>74</v>
      </c>
      <c r="D967" t="s">
        <v>17680</v>
      </c>
      <c r="E967" t="s">
        <v>74</v>
      </c>
      <c r="F967" t="s">
        <v>17681</v>
      </c>
      <c r="G967" t="s">
        <v>74</v>
      </c>
      <c r="H967" t="s">
        <v>74</v>
      </c>
      <c r="I967" t="s">
        <v>17682</v>
      </c>
      <c r="J967" t="s">
        <v>17683</v>
      </c>
      <c r="K967" t="s">
        <v>74</v>
      </c>
      <c r="L967" t="s">
        <v>74</v>
      </c>
      <c r="M967" t="s">
        <v>78</v>
      </c>
      <c r="N967" t="s">
        <v>12141</v>
      </c>
      <c r="O967" t="s">
        <v>74</v>
      </c>
      <c r="P967" t="s">
        <v>74</v>
      </c>
      <c r="Q967" t="s">
        <v>74</v>
      </c>
      <c r="R967" t="s">
        <v>74</v>
      </c>
      <c r="S967" t="s">
        <v>74</v>
      </c>
      <c r="T967" t="s">
        <v>74</v>
      </c>
      <c r="U967" t="s">
        <v>17684</v>
      </c>
      <c r="V967" t="s">
        <v>17685</v>
      </c>
      <c r="W967" t="s">
        <v>17686</v>
      </c>
      <c r="X967" t="s">
        <v>17687</v>
      </c>
      <c r="Y967" t="s">
        <v>17688</v>
      </c>
      <c r="Z967" t="s">
        <v>17689</v>
      </c>
      <c r="AA967" t="s">
        <v>74</v>
      </c>
      <c r="AB967" t="s">
        <v>17690</v>
      </c>
      <c r="AC967" t="s">
        <v>74</v>
      </c>
      <c r="AD967" t="s">
        <v>74</v>
      </c>
      <c r="AE967" t="s">
        <v>74</v>
      </c>
      <c r="AF967" t="s">
        <v>74</v>
      </c>
      <c r="AG967">
        <v>121</v>
      </c>
      <c r="AH967">
        <v>5</v>
      </c>
      <c r="AI967">
        <v>5</v>
      </c>
      <c r="AJ967">
        <v>1</v>
      </c>
      <c r="AK967">
        <v>11</v>
      </c>
      <c r="AL967" t="s">
        <v>14275</v>
      </c>
      <c r="AM967" t="s">
        <v>14276</v>
      </c>
      <c r="AN967" t="s">
        <v>14277</v>
      </c>
      <c r="AO967" t="s">
        <v>74</v>
      </c>
      <c r="AP967" t="s">
        <v>74</v>
      </c>
      <c r="AQ967" t="s">
        <v>17691</v>
      </c>
      <c r="AR967" t="s">
        <v>74</v>
      </c>
      <c r="AS967" t="s">
        <v>74</v>
      </c>
      <c r="AT967" t="s">
        <v>74</v>
      </c>
      <c r="AU967">
        <v>2012</v>
      </c>
      <c r="AV967" t="s">
        <v>74</v>
      </c>
      <c r="AW967" t="s">
        <v>74</v>
      </c>
      <c r="AX967" t="s">
        <v>74</v>
      </c>
      <c r="AY967" t="s">
        <v>74</v>
      </c>
      <c r="AZ967" t="s">
        <v>74</v>
      </c>
      <c r="BA967" t="s">
        <v>74</v>
      </c>
      <c r="BB967">
        <v>89</v>
      </c>
      <c r="BC967">
        <v>108</v>
      </c>
      <c r="BD967" t="s">
        <v>74</v>
      </c>
      <c r="BE967" t="s">
        <v>74</v>
      </c>
      <c r="BF967" t="s">
        <v>74</v>
      </c>
      <c r="BG967" t="s">
        <v>74</v>
      </c>
      <c r="BH967" t="s">
        <v>74</v>
      </c>
      <c r="BI967">
        <v>20</v>
      </c>
      <c r="BJ967" t="s">
        <v>4425</v>
      </c>
      <c r="BK967" t="s">
        <v>12155</v>
      </c>
      <c r="BL967" t="s">
        <v>4425</v>
      </c>
      <c r="BM967" t="s">
        <v>17692</v>
      </c>
      <c r="BN967" t="s">
        <v>74</v>
      </c>
      <c r="BO967" t="s">
        <v>74</v>
      </c>
      <c r="BP967" t="s">
        <v>74</v>
      </c>
      <c r="BQ967" t="s">
        <v>74</v>
      </c>
      <c r="BR967" t="s">
        <v>101</v>
      </c>
      <c r="BS967" t="s">
        <v>17693</v>
      </c>
      <c r="BT967" t="str">
        <f>HYPERLINK("https%3A%2F%2Fwww.webofscience.com%2Fwos%2Fwoscc%2Ffull-record%2FWOS:000299435800006","View Full Record in Web of Science")</f>
        <v>View Full Record in Web of Science</v>
      </c>
    </row>
    <row r="968" spans="1:72" x14ac:dyDescent="0.15">
      <c r="A968" t="s">
        <v>72</v>
      </c>
      <c r="B968" t="s">
        <v>17694</v>
      </c>
      <c r="C968" t="s">
        <v>74</v>
      </c>
      <c r="D968" t="s">
        <v>74</v>
      </c>
      <c r="E968" t="s">
        <v>74</v>
      </c>
      <c r="F968" t="s">
        <v>17695</v>
      </c>
      <c r="G968" t="s">
        <v>74</v>
      </c>
      <c r="H968" t="s">
        <v>74</v>
      </c>
      <c r="I968" t="s">
        <v>17696</v>
      </c>
      <c r="J968" t="s">
        <v>14792</v>
      </c>
      <c r="K968" t="s">
        <v>74</v>
      </c>
      <c r="L968" t="s">
        <v>74</v>
      </c>
      <c r="M968" t="s">
        <v>78</v>
      </c>
      <c r="N968" t="s">
        <v>79</v>
      </c>
      <c r="O968" t="s">
        <v>74</v>
      </c>
      <c r="P968" t="s">
        <v>74</v>
      </c>
      <c r="Q968" t="s">
        <v>74</v>
      </c>
      <c r="R968" t="s">
        <v>74</v>
      </c>
      <c r="S968" t="s">
        <v>74</v>
      </c>
      <c r="T968" t="s">
        <v>17697</v>
      </c>
      <c r="U968" t="s">
        <v>17698</v>
      </c>
      <c r="V968" t="s">
        <v>17699</v>
      </c>
      <c r="W968" t="s">
        <v>17700</v>
      </c>
      <c r="X968" t="s">
        <v>17701</v>
      </c>
      <c r="Y968" t="s">
        <v>17702</v>
      </c>
      <c r="Z968" t="s">
        <v>17703</v>
      </c>
      <c r="AA968" t="s">
        <v>74</v>
      </c>
      <c r="AB968" t="s">
        <v>17704</v>
      </c>
      <c r="AC968" t="s">
        <v>17705</v>
      </c>
      <c r="AD968" t="s">
        <v>17706</v>
      </c>
      <c r="AE968" t="s">
        <v>17707</v>
      </c>
      <c r="AF968" t="s">
        <v>74</v>
      </c>
      <c r="AG968">
        <v>44</v>
      </c>
      <c r="AH968">
        <v>3</v>
      </c>
      <c r="AI968">
        <v>3</v>
      </c>
      <c r="AJ968">
        <v>0</v>
      </c>
      <c r="AK968">
        <v>4</v>
      </c>
      <c r="AL968" t="s">
        <v>761</v>
      </c>
      <c r="AM968" t="s">
        <v>762</v>
      </c>
      <c r="AN968" t="s">
        <v>763</v>
      </c>
      <c r="AO968" t="s">
        <v>14803</v>
      </c>
      <c r="AP968" t="s">
        <v>14804</v>
      </c>
      <c r="AQ968" t="s">
        <v>74</v>
      </c>
      <c r="AR968" t="s">
        <v>14805</v>
      </c>
      <c r="AS968" t="s">
        <v>14806</v>
      </c>
      <c r="AT968" t="s">
        <v>74</v>
      </c>
      <c r="AU968">
        <v>2012</v>
      </c>
      <c r="AV968">
        <v>46</v>
      </c>
      <c r="AW968" t="s">
        <v>17708</v>
      </c>
      <c r="AX968" t="s">
        <v>74</v>
      </c>
      <c r="AY968" t="s">
        <v>74</v>
      </c>
      <c r="AZ968" t="s">
        <v>74</v>
      </c>
      <c r="BA968" t="s">
        <v>74</v>
      </c>
      <c r="BB968">
        <v>867</v>
      </c>
      <c r="BC968">
        <v>884</v>
      </c>
      <c r="BD968" t="s">
        <v>74</v>
      </c>
      <c r="BE968" t="s">
        <v>17709</v>
      </c>
      <c r="BF968" t="str">
        <f>HYPERLINK("http://dx.doi.org/10.1080/00222933.2011.653589","http://dx.doi.org/10.1080/00222933.2011.653589")</f>
        <v>http://dx.doi.org/10.1080/00222933.2011.653589</v>
      </c>
      <c r="BG968" t="s">
        <v>74</v>
      </c>
      <c r="BH968" t="s">
        <v>74</v>
      </c>
      <c r="BI968">
        <v>18</v>
      </c>
      <c r="BJ968" t="s">
        <v>14809</v>
      </c>
      <c r="BK968" t="s">
        <v>99</v>
      </c>
      <c r="BL968" t="s">
        <v>14810</v>
      </c>
      <c r="BM968" t="s">
        <v>17710</v>
      </c>
      <c r="BN968" t="s">
        <v>74</v>
      </c>
      <c r="BO968" t="s">
        <v>74</v>
      </c>
      <c r="BP968" t="s">
        <v>74</v>
      </c>
      <c r="BQ968" t="s">
        <v>74</v>
      </c>
      <c r="BR968" t="s">
        <v>101</v>
      </c>
      <c r="BS968" t="s">
        <v>17711</v>
      </c>
      <c r="BT968" t="str">
        <f>HYPERLINK("https%3A%2F%2Fwww.webofscience.com%2Fwos%2Fwoscc%2Ffull-record%2FWOS:000300625400005","View Full Record in Web of Science")</f>
        <v>View Full Record in Web of Science</v>
      </c>
    </row>
    <row r="969" spans="1:72" x14ac:dyDescent="0.15">
      <c r="A969" t="s">
        <v>72</v>
      </c>
      <c r="B969" t="s">
        <v>17712</v>
      </c>
      <c r="C969" t="s">
        <v>74</v>
      </c>
      <c r="D969" t="s">
        <v>74</v>
      </c>
      <c r="E969" t="s">
        <v>74</v>
      </c>
      <c r="F969" t="s">
        <v>17713</v>
      </c>
      <c r="G969" t="s">
        <v>74</v>
      </c>
      <c r="H969" t="s">
        <v>74</v>
      </c>
      <c r="I969" t="s">
        <v>17714</v>
      </c>
      <c r="J969" t="s">
        <v>13628</v>
      </c>
      <c r="K969" t="s">
        <v>74</v>
      </c>
      <c r="L969" t="s">
        <v>74</v>
      </c>
      <c r="M969" t="s">
        <v>78</v>
      </c>
      <c r="N969" t="s">
        <v>79</v>
      </c>
      <c r="O969" t="s">
        <v>74</v>
      </c>
      <c r="P969" t="s">
        <v>74</v>
      </c>
      <c r="Q969" t="s">
        <v>74</v>
      </c>
      <c r="R969" t="s">
        <v>74</v>
      </c>
      <c r="S969" t="s">
        <v>74</v>
      </c>
      <c r="T969" t="s">
        <v>17715</v>
      </c>
      <c r="U969" t="s">
        <v>17716</v>
      </c>
      <c r="V969" t="s">
        <v>17717</v>
      </c>
      <c r="W969" t="s">
        <v>17718</v>
      </c>
      <c r="X969" t="s">
        <v>17719</v>
      </c>
      <c r="Y969" t="s">
        <v>17720</v>
      </c>
      <c r="Z969" t="s">
        <v>17721</v>
      </c>
      <c r="AA969" t="s">
        <v>17722</v>
      </c>
      <c r="AB969" t="s">
        <v>17723</v>
      </c>
      <c r="AC969" t="s">
        <v>17724</v>
      </c>
      <c r="AD969" t="s">
        <v>17724</v>
      </c>
      <c r="AE969" t="s">
        <v>17725</v>
      </c>
      <c r="AF969" t="s">
        <v>74</v>
      </c>
      <c r="AG969">
        <v>88</v>
      </c>
      <c r="AH969">
        <v>44</v>
      </c>
      <c r="AI969">
        <v>54</v>
      </c>
      <c r="AJ969">
        <v>0</v>
      </c>
      <c r="AK969">
        <v>77</v>
      </c>
      <c r="AL969" t="s">
        <v>13640</v>
      </c>
      <c r="AM969" t="s">
        <v>13641</v>
      </c>
      <c r="AN969" t="s">
        <v>13642</v>
      </c>
      <c r="AO969" t="s">
        <v>13643</v>
      </c>
      <c r="AP969" t="s">
        <v>13644</v>
      </c>
      <c r="AQ969" t="s">
        <v>74</v>
      </c>
      <c r="AR969" t="s">
        <v>13645</v>
      </c>
      <c r="AS969" t="s">
        <v>13646</v>
      </c>
      <c r="AT969" t="s">
        <v>74</v>
      </c>
      <c r="AU969">
        <v>2012</v>
      </c>
      <c r="AV969">
        <v>448</v>
      </c>
      <c r="AW969" t="s">
        <v>74</v>
      </c>
      <c r="AX969" t="s">
        <v>74</v>
      </c>
      <c r="AY969" t="s">
        <v>74</v>
      </c>
      <c r="AZ969" t="s">
        <v>74</v>
      </c>
      <c r="BA969" t="s">
        <v>74</v>
      </c>
      <c r="BB969">
        <v>93</v>
      </c>
      <c r="BC969" t="s">
        <v>17726</v>
      </c>
      <c r="BD969" t="s">
        <v>74</v>
      </c>
      <c r="BE969" t="s">
        <v>17727</v>
      </c>
      <c r="BF969" t="str">
        <f>HYPERLINK("http://dx.doi.org/10.3354/meps09545","http://dx.doi.org/10.3354/meps09545")</f>
        <v>http://dx.doi.org/10.3354/meps09545</v>
      </c>
      <c r="BG969" t="s">
        <v>74</v>
      </c>
      <c r="BH969" t="s">
        <v>74</v>
      </c>
      <c r="BI969">
        <v>44</v>
      </c>
      <c r="BJ969" t="s">
        <v>13648</v>
      </c>
      <c r="BK969" t="s">
        <v>99</v>
      </c>
      <c r="BL969" t="s">
        <v>13649</v>
      </c>
      <c r="BM969" t="s">
        <v>17728</v>
      </c>
      <c r="BN969" t="s">
        <v>74</v>
      </c>
      <c r="BO969" t="s">
        <v>197</v>
      </c>
      <c r="BP969" t="s">
        <v>74</v>
      </c>
      <c r="BQ969" t="s">
        <v>74</v>
      </c>
      <c r="BR969" t="s">
        <v>101</v>
      </c>
      <c r="BS969" t="s">
        <v>17729</v>
      </c>
      <c r="BT969" t="str">
        <f>HYPERLINK("https%3A%2F%2Fwww.webofscience.com%2Fwos%2Fwoscc%2Ffull-record%2FWOS:000300661800008","View Full Record in Web of Science")</f>
        <v>View Full Record in Web of Science</v>
      </c>
    </row>
    <row r="970" spans="1:72" x14ac:dyDescent="0.15">
      <c r="A970" t="s">
        <v>72</v>
      </c>
      <c r="B970" t="s">
        <v>17730</v>
      </c>
      <c r="C970" t="s">
        <v>74</v>
      </c>
      <c r="D970" t="s">
        <v>74</v>
      </c>
      <c r="E970" t="s">
        <v>74</v>
      </c>
      <c r="F970" t="s">
        <v>17731</v>
      </c>
      <c r="G970" t="s">
        <v>74</v>
      </c>
      <c r="H970" t="s">
        <v>74</v>
      </c>
      <c r="I970" t="s">
        <v>17732</v>
      </c>
      <c r="J970" t="s">
        <v>5119</v>
      </c>
      <c r="K970" t="s">
        <v>74</v>
      </c>
      <c r="L970" t="s">
        <v>74</v>
      </c>
      <c r="M970" t="s">
        <v>78</v>
      </c>
      <c r="N970" t="s">
        <v>79</v>
      </c>
      <c r="O970" t="s">
        <v>74</v>
      </c>
      <c r="P970" t="s">
        <v>74</v>
      </c>
      <c r="Q970" t="s">
        <v>74</v>
      </c>
      <c r="R970" t="s">
        <v>74</v>
      </c>
      <c r="S970" t="s">
        <v>74</v>
      </c>
      <c r="T970" t="s">
        <v>17733</v>
      </c>
      <c r="U970" t="s">
        <v>17734</v>
      </c>
      <c r="V970" t="s">
        <v>17735</v>
      </c>
      <c r="W970" t="s">
        <v>17736</v>
      </c>
      <c r="X970" t="s">
        <v>17737</v>
      </c>
      <c r="Y970" t="s">
        <v>17738</v>
      </c>
      <c r="Z970" t="s">
        <v>17739</v>
      </c>
      <c r="AA970" t="s">
        <v>17740</v>
      </c>
      <c r="AB970" t="s">
        <v>17741</v>
      </c>
      <c r="AC970" t="s">
        <v>17742</v>
      </c>
      <c r="AD970" t="s">
        <v>17743</v>
      </c>
      <c r="AE970" t="s">
        <v>17744</v>
      </c>
      <c r="AF970" t="s">
        <v>74</v>
      </c>
      <c r="AG970">
        <v>69</v>
      </c>
      <c r="AH970">
        <v>34</v>
      </c>
      <c r="AI970">
        <v>38</v>
      </c>
      <c r="AJ970">
        <v>0</v>
      </c>
      <c r="AK970">
        <v>31</v>
      </c>
      <c r="AL970" t="s">
        <v>935</v>
      </c>
      <c r="AM970" t="s">
        <v>369</v>
      </c>
      <c r="AN970" t="s">
        <v>936</v>
      </c>
      <c r="AO970" t="s">
        <v>5132</v>
      </c>
      <c r="AP970" t="s">
        <v>5133</v>
      </c>
      <c r="AQ970" t="s">
        <v>74</v>
      </c>
      <c r="AR970" t="s">
        <v>5134</v>
      </c>
      <c r="AS970" t="s">
        <v>5135</v>
      </c>
      <c r="AT970" t="s">
        <v>17003</v>
      </c>
      <c r="AU970">
        <v>2012</v>
      </c>
      <c r="AV970" t="s">
        <v>9654</v>
      </c>
      <c r="AW970" t="s">
        <v>74</v>
      </c>
      <c r="AX970" t="s">
        <v>74</v>
      </c>
      <c r="AY970" t="s">
        <v>74</v>
      </c>
      <c r="AZ970" t="s">
        <v>74</v>
      </c>
      <c r="BA970" t="s">
        <v>74</v>
      </c>
      <c r="BB970">
        <v>13</v>
      </c>
      <c r="BC970">
        <v>27</v>
      </c>
      <c r="BD970" t="s">
        <v>74</v>
      </c>
      <c r="BE970" t="s">
        <v>17745</v>
      </c>
      <c r="BF970" t="str">
        <f>HYPERLINK("http://dx.doi.org/10.1016/j.marmicro.2011.10.003","http://dx.doi.org/10.1016/j.marmicro.2011.10.003")</f>
        <v>http://dx.doi.org/10.1016/j.marmicro.2011.10.003</v>
      </c>
      <c r="BG970" t="s">
        <v>74</v>
      </c>
      <c r="BH970" t="s">
        <v>74</v>
      </c>
      <c r="BI970">
        <v>15</v>
      </c>
      <c r="BJ970" t="s">
        <v>5138</v>
      </c>
      <c r="BK970" t="s">
        <v>99</v>
      </c>
      <c r="BL970" t="s">
        <v>5138</v>
      </c>
      <c r="BM970" t="s">
        <v>17746</v>
      </c>
      <c r="BN970" t="s">
        <v>74</v>
      </c>
      <c r="BO970" t="s">
        <v>74</v>
      </c>
      <c r="BP970" t="s">
        <v>74</v>
      </c>
      <c r="BQ970" t="s">
        <v>74</v>
      </c>
      <c r="BR970" t="s">
        <v>101</v>
      </c>
      <c r="BS970" t="s">
        <v>17747</v>
      </c>
      <c r="BT970" t="str">
        <f>HYPERLINK("https%3A%2F%2Fwww.webofscience.com%2Fwos%2Fwoscc%2Ffull-record%2FWOS:000300482300002","View Full Record in Web of Science")</f>
        <v>View Full Record in Web of Science</v>
      </c>
    </row>
    <row r="971" spans="1:72" x14ac:dyDescent="0.15">
      <c r="A971" t="s">
        <v>72</v>
      </c>
      <c r="B971" t="s">
        <v>17748</v>
      </c>
      <c r="C971" t="s">
        <v>74</v>
      </c>
      <c r="D971" t="s">
        <v>74</v>
      </c>
      <c r="E971" t="s">
        <v>74</v>
      </c>
      <c r="F971" t="s">
        <v>17749</v>
      </c>
      <c r="G971" t="s">
        <v>74</v>
      </c>
      <c r="H971" t="s">
        <v>74</v>
      </c>
      <c r="I971" t="s">
        <v>17750</v>
      </c>
      <c r="J971" t="s">
        <v>5119</v>
      </c>
      <c r="K971" t="s">
        <v>74</v>
      </c>
      <c r="L971" t="s">
        <v>74</v>
      </c>
      <c r="M971" t="s">
        <v>78</v>
      </c>
      <c r="N971" t="s">
        <v>79</v>
      </c>
      <c r="O971" t="s">
        <v>74</v>
      </c>
      <c r="P971" t="s">
        <v>74</v>
      </c>
      <c r="Q971" t="s">
        <v>74</v>
      </c>
      <c r="R971" t="s">
        <v>74</v>
      </c>
      <c r="S971" t="s">
        <v>74</v>
      </c>
      <c r="T971" t="s">
        <v>17751</v>
      </c>
      <c r="U971" t="s">
        <v>74</v>
      </c>
      <c r="V971" t="s">
        <v>17752</v>
      </c>
      <c r="W971" t="s">
        <v>17753</v>
      </c>
      <c r="X971" t="s">
        <v>17754</v>
      </c>
      <c r="Y971" t="s">
        <v>17755</v>
      </c>
      <c r="Z971" t="s">
        <v>17756</v>
      </c>
      <c r="AA971" t="s">
        <v>74</v>
      </c>
      <c r="AB971" t="s">
        <v>74</v>
      </c>
      <c r="AC971" t="s">
        <v>17757</v>
      </c>
      <c r="AD971" t="s">
        <v>17758</v>
      </c>
      <c r="AE971" t="s">
        <v>17759</v>
      </c>
      <c r="AF971" t="s">
        <v>74</v>
      </c>
      <c r="AG971">
        <v>20</v>
      </c>
      <c r="AH971">
        <v>4</v>
      </c>
      <c r="AI971">
        <v>5</v>
      </c>
      <c r="AJ971">
        <v>1</v>
      </c>
      <c r="AK971">
        <v>9</v>
      </c>
      <c r="AL971" t="s">
        <v>935</v>
      </c>
      <c r="AM971" t="s">
        <v>369</v>
      </c>
      <c r="AN971" t="s">
        <v>936</v>
      </c>
      <c r="AO971" t="s">
        <v>5132</v>
      </c>
      <c r="AP971" t="s">
        <v>5133</v>
      </c>
      <c r="AQ971" t="s">
        <v>74</v>
      </c>
      <c r="AR971" t="s">
        <v>5134</v>
      </c>
      <c r="AS971" t="s">
        <v>5135</v>
      </c>
      <c r="AT971" t="s">
        <v>17003</v>
      </c>
      <c r="AU971">
        <v>2012</v>
      </c>
      <c r="AV971" t="s">
        <v>9654</v>
      </c>
      <c r="AW971" t="s">
        <v>74</v>
      </c>
      <c r="AX971" t="s">
        <v>74</v>
      </c>
      <c r="AY971" t="s">
        <v>74</v>
      </c>
      <c r="AZ971" t="s">
        <v>74</v>
      </c>
      <c r="BA971" t="s">
        <v>74</v>
      </c>
      <c r="BB971">
        <v>46</v>
      </c>
      <c r="BC971">
        <v>52</v>
      </c>
      <c r="BD971" t="s">
        <v>74</v>
      </c>
      <c r="BE971" t="s">
        <v>17760</v>
      </c>
      <c r="BF971" t="str">
        <f>HYPERLINK("http://dx.doi.org/10.1016/j.marmicro.2011.10.004","http://dx.doi.org/10.1016/j.marmicro.2011.10.004")</f>
        <v>http://dx.doi.org/10.1016/j.marmicro.2011.10.004</v>
      </c>
      <c r="BG971" t="s">
        <v>74</v>
      </c>
      <c r="BH971" t="s">
        <v>74</v>
      </c>
      <c r="BI971">
        <v>7</v>
      </c>
      <c r="BJ971" t="s">
        <v>5138</v>
      </c>
      <c r="BK971" t="s">
        <v>99</v>
      </c>
      <c r="BL971" t="s">
        <v>5138</v>
      </c>
      <c r="BM971" t="s">
        <v>17746</v>
      </c>
      <c r="BN971" t="s">
        <v>74</v>
      </c>
      <c r="BO971" t="s">
        <v>74</v>
      </c>
      <c r="BP971" t="s">
        <v>74</v>
      </c>
      <c r="BQ971" t="s">
        <v>74</v>
      </c>
      <c r="BR971" t="s">
        <v>101</v>
      </c>
      <c r="BS971" t="s">
        <v>17761</v>
      </c>
      <c r="BT971" t="str">
        <f>HYPERLINK("https%3A%2F%2Fwww.webofscience.com%2Fwos%2Fwoscc%2Ffull-record%2FWOS:000300482300005","View Full Record in Web of Science")</f>
        <v>View Full Record in Web of Science</v>
      </c>
    </row>
    <row r="972" spans="1:72" x14ac:dyDescent="0.15">
      <c r="A972" t="s">
        <v>72</v>
      </c>
      <c r="B972" t="s">
        <v>17762</v>
      </c>
      <c r="C972" t="s">
        <v>74</v>
      </c>
      <c r="D972" t="s">
        <v>74</v>
      </c>
      <c r="E972" t="s">
        <v>74</v>
      </c>
      <c r="F972" t="s">
        <v>17763</v>
      </c>
      <c r="G972" t="s">
        <v>74</v>
      </c>
      <c r="H972" t="s">
        <v>74</v>
      </c>
      <c r="I972" t="s">
        <v>17764</v>
      </c>
      <c r="J972" t="s">
        <v>1174</v>
      </c>
      <c r="K972" t="s">
        <v>74</v>
      </c>
      <c r="L972" t="s">
        <v>74</v>
      </c>
      <c r="M972" t="s">
        <v>78</v>
      </c>
      <c r="N972" t="s">
        <v>79</v>
      </c>
      <c r="O972" t="s">
        <v>74</v>
      </c>
      <c r="P972" t="s">
        <v>74</v>
      </c>
      <c r="Q972" t="s">
        <v>74</v>
      </c>
      <c r="R972" t="s">
        <v>74</v>
      </c>
      <c r="S972" t="s">
        <v>74</v>
      </c>
      <c r="T972" t="s">
        <v>17765</v>
      </c>
      <c r="U972" t="s">
        <v>17766</v>
      </c>
      <c r="V972" t="s">
        <v>17767</v>
      </c>
      <c r="W972" t="s">
        <v>17768</v>
      </c>
      <c r="X972" t="s">
        <v>17769</v>
      </c>
      <c r="Y972" t="s">
        <v>17770</v>
      </c>
      <c r="Z972" t="s">
        <v>17771</v>
      </c>
      <c r="AA972" t="s">
        <v>17772</v>
      </c>
      <c r="AB972" t="s">
        <v>17773</v>
      </c>
      <c r="AC972" t="s">
        <v>17774</v>
      </c>
      <c r="AD972" t="s">
        <v>17775</v>
      </c>
      <c r="AE972" t="s">
        <v>17776</v>
      </c>
      <c r="AF972" t="s">
        <v>74</v>
      </c>
      <c r="AG972">
        <v>34</v>
      </c>
      <c r="AH972">
        <v>55</v>
      </c>
      <c r="AI972">
        <v>58</v>
      </c>
      <c r="AJ972">
        <v>0</v>
      </c>
      <c r="AK972">
        <v>10</v>
      </c>
      <c r="AL972" t="s">
        <v>655</v>
      </c>
      <c r="AM972" t="s">
        <v>656</v>
      </c>
      <c r="AN972" t="s">
        <v>1908</v>
      </c>
      <c r="AO972" t="s">
        <v>1187</v>
      </c>
      <c r="AP972" t="s">
        <v>1188</v>
      </c>
      <c r="AQ972" t="s">
        <v>74</v>
      </c>
      <c r="AR972" t="s">
        <v>1174</v>
      </c>
      <c r="AS972" t="s">
        <v>1189</v>
      </c>
      <c r="AT972" t="s">
        <v>17003</v>
      </c>
      <c r="AU972">
        <v>2012</v>
      </c>
      <c r="AV972">
        <v>99</v>
      </c>
      <c r="AW972">
        <v>1</v>
      </c>
      <c r="AX972" t="s">
        <v>74</v>
      </c>
      <c r="AY972" t="s">
        <v>74</v>
      </c>
      <c r="AZ972" t="s">
        <v>74</v>
      </c>
      <c r="BA972" t="s">
        <v>74</v>
      </c>
      <c r="BB972">
        <v>83</v>
      </c>
      <c r="BC972">
        <v>87</v>
      </c>
      <c r="BD972" t="s">
        <v>74</v>
      </c>
      <c r="BE972" t="s">
        <v>17777</v>
      </c>
      <c r="BF972" t="str">
        <f>HYPERLINK("http://dx.doi.org/10.1007/s00114-011-0869-x","http://dx.doi.org/10.1007/s00114-011-0869-x")</f>
        <v>http://dx.doi.org/10.1007/s00114-011-0869-x</v>
      </c>
      <c r="BG972" t="s">
        <v>74</v>
      </c>
      <c r="BH972" t="s">
        <v>74</v>
      </c>
      <c r="BI972">
        <v>5</v>
      </c>
      <c r="BJ972" t="s">
        <v>153</v>
      </c>
      <c r="BK972" t="s">
        <v>99</v>
      </c>
      <c r="BL972" t="s">
        <v>154</v>
      </c>
      <c r="BM972" t="s">
        <v>17778</v>
      </c>
      <c r="BN972">
        <v>22173579</v>
      </c>
      <c r="BO972" t="s">
        <v>74</v>
      </c>
      <c r="BP972" t="s">
        <v>74</v>
      </c>
      <c r="BQ972" t="s">
        <v>74</v>
      </c>
      <c r="BR972" t="s">
        <v>101</v>
      </c>
      <c r="BS972" t="s">
        <v>17779</v>
      </c>
      <c r="BT972" t="str">
        <f>HYPERLINK("https%3A%2F%2Fwww.webofscience.com%2Fwos%2Fwoscc%2Ffull-record%2FWOS:000300681400011","View Full Record in Web of Science")</f>
        <v>View Full Record in Web of Science</v>
      </c>
    </row>
    <row r="973" spans="1:72" x14ac:dyDescent="0.15">
      <c r="A973" t="s">
        <v>72</v>
      </c>
      <c r="B973" t="s">
        <v>17780</v>
      </c>
      <c r="C973" t="s">
        <v>74</v>
      </c>
      <c r="D973" t="s">
        <v>74</v>
      </c>
      <c r="E973" t="s">
        <v>74</v>
      </c>
      <c r="F973" t="s">
        <v>17781</v>
      </c>
      <c r="G973" t="s">
        <v>74</v>
      </c>
      <c r="H973" t="s">
        <v>74</v>
      </c>
      <c r="I973" t="s">
        <v>17782</v>
      </c>
      <c r="J973" t="s">
        <v>17783</v>
      </c>
      <c r="K973" t="s">
        <v>74</v>
      </c>
      <c r="L973" t="s">
        <v>74</v>
      </c>
      <c r="M973" t="s">
        <v>78</v>
      </c>
      <c r="N973" t="s">
        <v>79</v>
      </c>
      <c r="O973" t="s">
        <v>74</v>
      </c>
      <c r="P973" t="s">
        <v>74</v>
      </c>
      <c r="Q973" t="s">
        <v>74</v>
      </c>
      <c r="R973" t="s">
        <v>74</v>
      </c>
      <c r="S973" t="s">
        <v>74</v>
      </c>
      <c r="T973" t="s">
        <v>74</v>
      </c>
      <c r="U973" t="s">
        <v>17784</v>
      </c>
      <c r="V973" t="s">
        <v>17785</v>
      </c>
      <c r="W973" t="s">
        <v>17786</v>
      </c>
      <c r="X973" t="s">
        <v>17787</v>
      </c>
      <c r="Y973" t="s">
        <v>17788</v>
      </c>
      <c r="Z973" t="s">
        <v>17789</v>
      </c>
      <c r="AA973" t="s">
        <v>17790</v>
      </c>
      <c r="AB973" t="s">
        <v>17791</v>
      </c>
      <c r="AC973" t="s">
        <v>17792</v>
      </c>
      <c r="AD973" t="s">
        <v>17793</v>
      </c>
      <c r="AE973" t="s">
        <v>17794</v>
      </c>
      <c r="AF973" t="s">
        <v>74</v>
      </c>
      <c r="AG973">
        <v>44</v>
      </c>
      <c r="AH973">
        <v>20</v>
      </c>
      <c r="AI973">
        <v>21</v>
      </c>
      <c r="AJ973">
        <v>1</v>
      </c>
      <c r="AK973">
        <v>8</v>
      </c>
      <c r="AL973" t="s">
        <v>13270</v>
      </c>
      <c r="AM973" t="s">
        <v>13271</v>
      </c>
      <c r="AN973" t="s">
        <v>13272</v>
      </c>
      <c r="AO973" t="s">
        <v>17795</v>
      </c>
      <c r="AP973" t="s">
        <v>17796</v>
      </c>
      <c r="AQ973" t="s">
        <v>74</v>
      </c>
      <c r="AR973" t="s">
        <v>17797</v>
      </c>
      <c r="AS973" t="s">
        <v>17798</v>
      </c>
      <c r="AT973" t="s">
        <v>74</v>
      </c>
      <c r="AU973">
        <v>2012</v>
      </c>
      <c r="AV973">
        <v>5</v>
      </c>
      <c r="AW973">
        <v>1</v>
      </c>
      <c r="AX973" t="s">
        <v>74</v>
      </c>
      <c r="AY973" t="s">
        <v>74</v>
      </c>
      <c r="AZ973" t="s">
        <v>74</v>
      </c>
      <c r="BA973" t="s">
        <v>74</v>
      </c>
      <c r="BB973">
        <v>123</v>
      </c>
      <c r="BC973">
        <v>139</v>
      </c>
      <c r="BD973" t="s">
        <v>74</v>
      </c>
      <c r="BE973" t="s">
        <v>17799</v>
      </c>
      <c r="BF973" t="str">
        <f>HYPERLINK("http://dx.doi.org/10.5194/amt-5-123-2012","http://dx.doi.org/10.5194/amt-5-123-2012")</f>
        <v>http://dx.doi.org/10.5194/amt-5-123-2012</v>
      </c>
      <c r="BG973" t="s">
        <v>74</v>
      </c>
      <c r="BH973" t="s">
        <v>74</v>
      </c>
      <c r="BI973">
        <v>17</v>
      </c>
      <c r="BJ973" t="s">
        <v>128</v>
      </c>
      <c r="BK973" t="s">
        <v>99</v>
      </c>
      <c r="BL973" t="s">
        <v>128</v>
      </c>
      <c r="BM973" t="s">
        <v>17800</v>
      </c>
      <c r="BN973" t="s">
        <v>74</v>
      </c>
      <c r="BO973" t="s">
        <v>13069</v>
      </c>
      <c r="BP973" t="s">
        <v>74</v>
      </c>
      <c r="BQ973" t="s">
        <v>74</v>
      </c>
      <c r="BR973" t="s">
        <v>101</v>
      </c>
      <c r="BS973" t="s">
        <v>17801</v>
      </c>
      <c r="BT973" t="str">
        <f>HYPERLINK("https%3A%2F%2Fwww.webofscience.com%2Fwos%2Fwoscc%2Ffull-record%2FWOS:000300233500006","View Full Record in Web of Science")</f>
        <v>View Full Record in Web of Science</v>
      </c>
    </row>
    <row r="974" spans="1:72" x14ac:dyDescent="0.15">
      <c r="A974" t="s">
        <v>72</v>
      </c>
      <c r="B974" t="s">
        <v>17802</v>
      </c>
      <c r="C974" t="s">
        <v>74</v>
      </c>
      <c r="D974" t="s">
        <v>74</v>
      </c>
      <c r="E974" t="s">
        <v>74</v>
      </c>
      <c r="F974" t="s">
        <v>17803</v>
      </c>
      <c r="G974" t="s">
        <v>74</v>
      </c>
      <c r="H974" t="s">
        <v>74</v>
      </c>
      <c r="I974" t="s">
        <v>17804</v>
      </c>
      <c r="J974" t="s">
        <v>1265</v>
      </c>
      <c r="K974" t="s">
        <v>74</v>
      </c>
      <c r="L974" t="s">
        <v>74</v>
      </c>
      <c r="M974" t="s">
        <v>78</v>
      </c>
      <c r="N974" t="s">
        <v>79</v>
      </c>
      <c r="O974" t="s">
        <v>74</v>
      </c>
      <c r="P974" t="s">
        <v>74</v>
      </c>
      <c r="Q974" t="s">
        <v>74</v>
      </c>
      <c r="R974" t="s">
        <v>74</v>
      </c>
      <c r="S974" t="s">
        <v>74</v>
      </c>
      <c r="T974" t="s">
        <v>17805</v>
      </c>
      <c r="U974" t="s">
        <v>17806</v>
      </c>
      <c r="V974" t="s">
        <v>17807</v>
      </c>
      <c r="W974" t="s">
        <v>17808</v>
      </c>
      <c r="X974" t="s">
        <v>13175</v>
      </c>
      <c r="Y974" t="s">
        <v>17809</v>
      </c>
      <c r="Z974" t="s">
        <v>17810</v>
      </c>
      <c r="AA974" t="s">
        <v>74</v>
      </c>
      <c r="AB974" t="s">
        <v>17811</v>
      </c>
      <c r="AC974" t="s">
        <v>17812</v>
      </c>
      <c r="AD974" t="s">
        <v>17813</v>
      </c>
      <c r="AE974" t="s">
        <v>17814</v>
      </c>
      <c r="AF974" t="s">
        <v>74</v>
      </c>
      <c r="AG974">
        <v>28</v>
      </c>
      <c r="AH974">
        <v>7</v>
      </c>
      <c r="AI974">
        <v>7</v>
      </c>
      <c r="AJ974">
        <v>0</v>
      </c>
      <c r="AK974">
        <v>17</v>
      </c>
      <c r="AL974" t="s">
        <v>277</v>
      </c>
      <c r="AM974" t="s">
        <v>278</v>
      </c>
      <c r="AN974" t="s">
        <v>279</v>
      </c>
      <c r="AO974" t="s">
        <v>1278</v>
      </c>
      <c r="AP974" t="s">
        <v>1279</v>
      </c>
      <c r="AQ974" t="s">
        <v>74</v>
      </c>
      <c r="AR974" t="s">
        <v>1280</v>
      </c>
      <c r="AS974" t="s">
        <v>1281</v>
      </c>
      <c r="AT974" t="s">
        <v>17003</v>
      </c>
      <c r="AU974">
        <v>2012</v>
      </c>
      <c r="AV974">
        <v>60</v>
      </c>
      <c r="AW974" t="s">
        <v>74</v>
      </c>
      <c r="AX974" t="s">
        <v>74</v>
      </c>
      <c r="AY974" t="s">
        <v>74</v>
      </c>
      <c r="AZ974" t="s">
        <v>74</v>
      </c>
      <c r="BA974" t="s">
        <v>74</v>
      </c>
      <c r="BB974">
        <v>22</v>
      </c>
      <c r="BC974">
        <v>31</v>
      </c>
      <c r="BD974" t="s">
        <v>74</v>
      </c>
      <c r="BE974" t="s">
        <v>17815</v>
      </c>
      <c r="BF974" t="str">
        <f>HYPERLINK("http://dx.doi.org/10.1016/j.dsr.2011.09.005","http://dx.doi.org/10.1016/j.dsr.2011.09.005")</f>
        <v>http://dx.doi.org/10.1016/j.dsr.2011.09.005</v>
      </c>
      <c r="BG974" t="s">
        <v>74</v>
      </c>
      <c r="BH974" t="s">
        <v>74</v>
      </c>
      <c r="BI974">
        <v>10</v>
      </c>
      <c r="BJ974" t="s">
        <v>350</v>
      </c>
      <c r="BK974" t="s">
        <v>99</v>
      </c>
      <c r="BL974" t="s">
        <v>350</v>
      </c>
      <c r="BM974" t="s">
        <v>17816</v>
      </c>
      <c r="BN974" t="s">
        <v>74</v>
      </c>
      <c r="BO974" t="s">
        <v>74</v>
      </c>
      <c r="BP974" t="s">
        <v>74</v>
      </c>
      <c r="BQ974" t="s">
        <v>74</v>
      </c>
      <c r="BR974" t="s">
        <v>101</v>
      </c>
      <c r="BS974" t="s">
        <v>17817</v>
      </c>
      <c r="BT974" t="str">
        <f>HYPERLINK("https%3A%2F%2Fwww.webofscience.com%2Fwos%2Fwoscc%2Ffull-record%2FWOS:000300276800003","View Full Record in Web of Science")</f>
        <v>View Full Record in Web of Science</v>
      </c>
    </row>
    <row r="975" spans="1:72" x14ac:dyDescent="0.15">
      <c r="A975" t="s">
        <v>72</v>
      </c>
      <c r="B975" t="s">
        <v>17818</v>
      </c>
      <c r="C975" t="s">
        <v>74</v>
      </c>
      <c r="D975" t="s">
        <v>74</v>
      </c>
      <c r="E975" t="s">
        <v>74</v>
      </c>
      <c r="F975" t="s">
        <v>17819</v>
      </c>
      <c r="G975" t="s">
        <v>74</v>
      </c>
      <c r="H975" t="s">
        <v>74</v>
      </c>
      <c r="I975" t="s">
        <v>17820</v>
      </c>
      <c r="J975" t="s">
        <v>17821</v>
      </c>
      <c r="K975" t="s">
        <v>74</v>
      </c>
      <c r="L975" t="s">
        <v>74</v>
      </c>
      <c r="M975" t="s">
        <v>78</v>
      </c>
      <c r="N975" t="s">
        <v>79</v>
      </c>
      <c r="O975" t="s">
        <v>74</v>
      </c>
      <c r="P975" t="s">
        <v>74</v>
      </c>
      <c r="Q975" t="s">
        <v>74</v>
      </c>
      <c r="R975" t="s">
        <v>74</v>
      </c>
      <c r="S975" t="s">
        <v>74</v>
      </c>
      <c r="T975" t="s">
        <v>17822</v>
      </c>
      <c r="U975" t="s">
        <v>17823</v>
      </c>
      <c r="V975" t="s">
        <v>17824</v>
      </c>
      <c r="W975" t="s">
        <v>17825</v>
      </c>
      <c r="X975" t="s">
        <v>17826</v>
      </c>
      <c r="Y975" t="s">
        <v>17827</v>
      </c>
      <c r="Z975" t="s">
        <v>17828</v>
      </c>
      <c r="AA975" t="s">
        <v>17829</v>
      </c>
      <c r="AB975" t="s">
        <v>17830</v>
      </c>
      <c r="AC975" t="s">
        <v>17831</v>
      </c>
      <c r="AD975" t="s">
        <v>17832</v>
      </c>
      <c r="AE975" t="s">
        <v>17833</v>
      </c>
      <c r="AF975" t="s">
        <v>74</v>
      </c>
      <c r="AG975">
        <v>56</v>
      </c>
      <c r="AH975">
        <v>57</v>
      </c>
      <c r="AI975">
        <v>64</v>
      </c>
      <c r="AJ975">
        <v>1</v>
      </c>
      <c r="AK975">
        <v>50</v>
      </c>
      <c r="AL975" t="s">
        <v>277</v>
      </c>
      <c r="AM975" t="s">
        <v>278</v>
      </c>
      <c r="AN975" t="s">
        <v>279</v>
      </c>
      <c r="AO975" t="s">
        <v>17834</v>
      </c>
      <c r="AP975" t="s">
        <v>74</v>
      </c>
      <c r="AQ975" t="s">
        <v>74</v>
      </c>
      <c r="AR975" t="s">
        <v>17835</v>
      </c>
      <c r="AS975" t="s">
        <v>17836</v>
      </c>
      <c r="AT975" t="s">
        <v>17003</v>
      </c>
      <c r="AU975">
        <v>2012</v>
      </c>
      <c r="AV975">
        <v>53</v>
      </c>
      <c r="AW975" t="s">
        <v>74</v>
      </c>
      <c r="AX975" t="s">
        <v>74</v>
      </c>
      <c r="AY975" t="s">
        <v>74</v>
      </c>
      <c r="AZ975" t="s">
        <v>74</v>
      </c>
      <c r="BA975" t="s">
        <v>74</v>
      </c>
      <c r="BB975">
        <v>43</v>
      </c>
      <c r="BC975">
        <v>60</v>
      </c>
      <c r="BD975" t="s">
        <v>74</v>
      </c>
      <c r="BE975" t="s">
        <v>17837</v>
      </c>
      <c r="BF975" t="str">
        <f>HYPERLINK("http://dx.doi.org/10.1016/j.jog.2011.07.007","http://dx.doi.org/10.1016/j.jog.2011.07.007")</f>
        <v>http://dx.doi.org/10.1016/j.jog.2011.07.007</v>
      </c>
      <c r="BG975" t="s">
        <v>74</v>
      </c>
      <c r="BH975" t="s">
        <v>74</v>
      </c>
      <c r="BI975">
        <v>18</v>
      </c>
      <c r="BJ975" t="s">
        <v>1134</v>
      </c>
      <c r="BK975" t="s">
        <v>99</v>
      </c>
      <c r="BL975" t="s">
        <v>1134</v>
      </c>
      <c r="BM975" t="s">
        <v>17838</v>
      </c>
      <c r="BN975" t="s">
        <v>74</v>
      </c>
      <c r="BO975" t="s">
        <v>74</v>
      </c>
      <c r="BP975" t="s">
        <v>74</v>
      </c>
      <c r="BQ975" t="s">
        <v>74</v>
      </c>
      <c r="BR975" t="s">
        <v>101</v>
      </c>
      <c r="BS975" t="s">
        <v>17839</v>
      </c>
      <c r="BT975" t="str">
        <f>HYPERLINK("https%3A%2F%2Fwww.webofscience.com%2Fwos%2Fwoscc%2Ffull-record%2FWOS:000300461900006","View Full Record in Web of Science")</f>
        <v>View Full Record in Web of Science</v>
      </c>
    </row>
    <row r="976" spans="1:72" x14ac:dyDescent="0.15">
      <c r="A976" t="s">
        <v>72</v>
      </c>
      <c r="B976" t="s">
        <v>17840</v>
      </c>
      <c r="C976" t="s">
        <v>74</v>
      </c>
      <c r="D976" t="s">
        <v>74</v>
      </c>
      <c r="E976" t="s">
        <v>74</v>
      </c>
      <c r="F976" t="s">
        <v>17841</v>
      </c>
      <c r="G976" t="s">
        <v>74</v>
      </c>
      <c r="H976" t="s">
        <v>74</v>
      </c>
      <c r="I976" t="s">
        <v>17842</v>
      </c>
      <c r="J976" t="s">
        <v>17843</v>
      </c>
      <c r="K976" t="s">
        <v>74</v>
      </c>
      <c r="L976" t="s">
        <v>74</v>
      </c>
      <c r="M976" t="s">
        <v>78</v>
      </c>
      <c r="N976" t="s">
        <v>79</v>
      </c>
      <c r="O976" t="s">
        <v>74</v>
      </c>
      <c r="P976" t="s">
        <v>74</v>
      </c>
      <c r="Q976" t="s">
        <v>74</v>
      </c>
      <c r="R976" t="s">
        <v>74</v>
      </c>
      <c r="S976" t="s">
        <v>74</v>
      </c>
      <c r="T976" t="s">
        <v>17844</v>
      </c>
      <c r="U976" t="s">
        <v>17845</v>
      </c>
      <c r="V976" t="s">
        <v>17846</v>
      </c>
      <c r="W976" t="s">
        <v>17847</v>
      </c>
      <c r="X976" t="s">
        <v>17848</v>
      </c>
      <c r="Y976" t="s">
        <v>17849</v>
      </c>
      <c r="Z976" t="s">
        <v>17850</v>
      </c>
      <c r="AA976" t="s">
        <v>17851</v>
      </c>
      <c r="AB976" t="s">
        <v>17852</v>
      </c>
      <c r="AC976" t="s">
        <v>17853</v>
      </c>
      <c r="AD976" t="s">
        <v>17854</v>
      </c>
      <c r="AE976" t="s">
        <v>17855</v>
      </c>
      <c r="AF976" t="s">
        <v>74</v>
      </c>
      <c r="AG976">
        <v>74</v>
      </c>
      <c r="AH976">
        <v>13</v>
      </c>
      <c r="AI976">
        <v>13</v>
      </c>
      <c r="AJ976">
        <v>3</v>
      </c>
      <c r="AK976">
        <v>35</v>
      </c>
      <c r="AL976" t="s">
        <v>12312</v>
      </c>
      <c r="AM976" t="s">
        <v>12328</v>
      </c>
      <c r="AN976" t="s">
        <v>12329</v>
      </c>
      <c r="AO976" t="s">
        <v>17856</v>
      </c>
      <c r="AP976" t="s">
        <v>17857</v>
      </c>
      <c r="AQ976" t="s">
        <v>74</v>
      </c>
      <c r="AR976" t="s">
        <v>17858</v>
      </c>
      <c r="AS976" t="s">
        <v>17859</v>
      </c>
      <c r="AT976" t="s">
        <v>74</v>
      </c>
      <c r="AU976">
        <v>2012</v>
      </c>
      <c r="AV976">
        <v>63</v>
      </c>
      <c r="AW976">
        <v>3</v>
      </c>
      <c r="AX976" t="s">
        <v>74</v>
      </c>
      <c r="AY976" t="s">
        <v>74</v>
      </c>
      <c r="AZ976" t="s">
        <v>74</v>
      </c>
      <c r="BA976" t="s">
        <v>74</v>
      </c>
      <c r="BB976">
        <v>251</v>
      </c>
      <c r="BC976">
        <v>263</v>
      </c>
      <c r="BD976" t="s">
        <v>74</v>
      </c>
      <c r="BE976" t="s">
        <v>17860</v>
      </c>
      <c r="BF976" t="str">
        <f>HYPERLINK("http://dx.doi.org/10.1071/MF11163","http://dx.doi.org/10.1071/MF11163")</f>
        <v>http://dx.doi.org/10.1071/MF11163</v>
      </c>
      <c r="BG976" t="s">
        <v>74</v>
      </c>
      <c r="BH976" t="s">
        <v>74</v>
      </c>
      <c r="BI976">
        <v>13</v>
      </c>
      <c r="BJ976" t="s">
        <v>17861</v>
      </c>
      <c r="BK976" t="s">
        <v>99</v>
      </c>
      <c r="BL976" t="s">
        <v>8518</v>
      </c>
      <c r="BM976" t="s">
        <v>17862</v>
      </c>
      <c r="BN976" t="s">
        <v>74</v>
      </c>
      <c r="BO976" t="s">
        <v>74</v>
      </c>
      <c r="BP976" t="s">
        <v>74</v>
      </c>
      <c r="BQ976" t="s">
        <v>74</v>
      </c>
      <c r="BR976" t="s">
        <v>101</v>
      </c>
      <c r="BS976" t="s">
        <v>17863</v>
      </c>
      <c r="BT976" t="str">
        <f>HYPERLINK("https%3A%2F%2Fwww.webofscience.com%2Fwos%2Fwoscc%2Ffull-record%2FWOS:000300223100007","View Full Record in Web of Science")</f>
        <v>View Full Record in Web of Science</v>
      </c>
    </row>
    <row r="977" spans="1:72" x14ac:dyDescent="0.15">
      <c r="A977" t="s">
        <v>72</v>
      </c>
      <c r="B977" t="s">
        <v>17864</v>
      </c>
      <c r="C977" t="s">
        <v>74</v>
      </c>
      <c r="D977" t="s">
        <v>74</v>
      </c>
      <c r="E977" t="s">
        <v>74</v>
      </c>
      <c r="F977" t="s">
        <v>17865</v>
      </c>
      <c r="G977" t="s">
        <v>74</v>
      </c>
      <c r="H977" t="s">
        <v>74</v>
      </c>
      <c r="I977" t="s">
        <v>17866</v>
      </c>
      <c r="J977" t="s">
        <v>2224</v>
      </c>
      <c r="K977" t="s">
        <v>74</v>
      </c>
      <c r="L977" t="s">
        <v>74</v>
      </c>
      <c r="M977" t="s">
        <v>78</v>
      </c>
      <c r="N977" t="s">
        <v>79</v>
      </c>
      <c r="O977" t="s">
        <v>74</v>
      </c>
      <c r="P977" t="s">
        <v>74</v>
      </c>
      <c r="Q977" t="s">
        <v>74</v>
      </c>
      <c r="R977" t="s">
        <v>74</v>
      </c>
      <c r="S977" t="s">
        <v>74</v>
      </c>
      <c r="T977" t="s">
        <v>74</v>
      </c>
      <c r="U977" t="s">
        <v>17867</v>
      </c>
      <c r="V977" t="s">
        <v>17868</v>
      </c>
      <c r="W977" t="s">
        <v>17869</v>
      </c>
      <c r="X977" t="s">
        <v>17870</v>
      </c>
      <c r="Y977" t="s">
        <v>17871</v>
      </c>
      <c r="Z977" t="s">
        <v>17872</v>
      </c>
      <c r="AA977" t="s">
        <v>17873</v>
      </c>
      <c r="AB977" t="s">
        <v>17874</v>
      </c>
      <c r="AC977" t="s">
        <v>17875</v>
      </c>
      <c r="AD977" t="s">
        <v>17876</v>
      </c>
      <c r="AE977" t="s">
        <v>17877</v>
      </c>
      <c r="AF977" t="s">
        <v>74</v>
      </c>
      <c r="AG977">
        <v>27</v>
      </c>
      <c r="AH977">
        <v>21</v>
      </c>
      <c r="AI977">
        <v>23</v>
      </c>
      <c r="AJ977">
        <v>2</v>
      </c>
      <c r="AK977">
        <v>35</v>
      </c>
      <c r="AL977" t="s">
        <v>2732</v>
      </c>
      <c r="AM977" t="s">
        <v>2733</v>
      </c>
      <c r="AN977" t="s">
        <v>2734</v>
      </c>
      <c r="AO977" t="s">
        <v>2232</v>
      </c>
      <c r="AP977" t="s">
        <v>2253</v>
      </c>
      <c r="AQ977" t="s">
        <v>74</v>
      </c>
      <c r="AR977" t="s">
        <v>2233</v>
      </c>
      <c r="AS977" t="s">
        <v>2234</v>
      </c>
      <c r="AT977" t="s">
        <v>17003</v>
      </c>
      <c r="AU977">
        <v>2012</v>
      </c>
      <c r="AV977">
        <v>2</v>
      </c>
      <c r="AW977">
        <v>1</v>
      </c>
      <c r="AX977" t="s">
        <v>74</v>
      </c>
      <c r="AY977" t="s">
        <v>74</v>
      </c>
      <c r="AZ977" t="s">
        <v>74</v>
      </c>
      <c r="BA977" t="s">
        <v>74</v>
      </c>
      <c r="BB977">
        <v>47</v>
      </c>
      <c r="BC977">
        <v>52</v>
      </c>
      <c r="BD977" t="s">
        <v>74</v>
      </c>
      <c r="BE977" t="s">
        <v>17878</v>
      </c>
      <c r="BF977" t="str">
        <f>HYPERLINK("http://dx.doi.org/10.1038/NCLIMATE1289","http://dx.doi.org/10.1038/NCLIMATE1289")</f>
        <v>http://dx.doi.org/10.1038/NCLIMATE1289</v>
      </c>
      <c r="BG977" t="s">
        <v>74</v>
      </c>
      <c r="BH977" t="s">
        <v>74</v>
      </c>
      <c r="BI977">
        <v>6</v>
      </c>
      <c r="BJ977" t="s">
        <v>2235</v>
      </c>
      <c r="BK977" t="s">
        <v>2236</v>
      </c>
      <c r="BL977" t="s">
        <v>1759</v>
      </c>
      <c r="BM977" t="s">
        <v>17879</v>
      </c>
      <c r="BN977" t="s">
        <v>74</v>
      </c>
      <c r="BO977" t="s">
        <v>74</v>
      </c>
      <c r="BP977" t="s">
        <v>74</v>
      </c>
      <c r="BQ977" t="s">
        <v>74</v>
      </c>
      <c r="BR977" t="s">
        <v>101</v>
      </c>
      <c r="BS977" t="s">
        <v>17880</v>
      </c>
      <c r="BT977" t="str">
        <f>HYPERLINK("https%3A%2F%2Fwww.webofscience.com%2Fwos%2Fwoscc%2Ffull-record%2FWOS:000299495500020","View Full Record in Web of Science")</f>
        <v>View Full Record in Web of Science</v>
      </c>
    </row>
    <row r="978" spans="1:72" x14ac:dyDescent="0.15">
      <c r="A978" t="s">
        <v>72</v>
      </c>
      <c r="B978" t="s">
        <v>17881</v>
      </c>
      <c r="C978" t="s">
        <v>74</v>
      </c>
      <c r="D978" t="s">
        <v>74</v>
      </c>
      <c r="E978" t="s">
        <v>74</v>
      </c>
      <c r="F978" t="s">
        <v>17882</v>
      </c>
      <c r="G978" t="s">
        <v>74</v>
      </c>
      <c r="H978" t="s">
        <v>74</v>
      </c>
      <c r="I978" t="s">
        <v>17883</v>
      </c>
      <c r="J978" t="s">
        <v>4572</v>
      </c>
      <c r="K978" t="s">
        <v>74</v>
      </c>
      <c r="L978" t="s">
        <v>74</v>
      </c>
      <c r="M978" t="s">
        <v>78</v>
      </c>
      <c r="N978" t="s">
        <v>79</v>
      </c>
      <c r="O978" t="s">
        <v>74</v>
      </c>
      <c r="P978" t="s">
        <v>74</v>
      </c>
      <c r="Q978" t="s">
        <v>74</v>
      </c>
      <c r="R978" t="s">
        <v>74</v>
      </c>
      <c r="S978" t="s">
        <v>74</v>
      </c>
      <c r="T978" t="s">
        <v>17884</v>
      </c>
      <c r="U978" t="s">
        <v>17885</v>
      </c>
      <c r="V978" t="s">
        <v>17886</v>
      </c>
      <c r="W978" t="s">
        <v>17887</v>
      </c>
      <c r="X978" t="s">
        <v>17888</v>
      </c>
      <c r="Y978" t="s">
        <v>17889</v>
      </c>
      <c r="Z978" t="s">
        <v>17890</v>
      </c>
      <c r="AA978" t="s">
        <v>17891</v>
      </c>
      <c r="AB978" t="s">
        <v>17892</v>
      </c>
      <c r="AC978" t="s">
        <v>17893</v>
      </c>
      <c r="AD978" t="s">
        <v>17894</v>
      </c>
      <c r="AE978" t="s">
        <v>17895</v>
      </c>
      <c r="AF978" t="s">
        <v>74</v>
      </c>
      <c r="AG978">
        <v>76</v>
      </c>
      <c r="AH978">
        <v>13</v>
      </c>
      <c r="AI978">
        <v>13</v>
      </c>
      <c r="AJ978">
        <v>0</v>
      </c>
      <c r="AK978">
        <v>22</v>
      </c>
      <c r="AL978" t="s">
        <v>627</v>
      </c>
      <c r="AM978" t="s">
        <v>628</v>
      </c>
      <c r="AN978" t="s">
        <v>629</v>
      </c>
      <c r="AO978" t="s">
        <v>4584</v>
      </c>
      <c r="AP978" t="s">
        <v>4585</v>
      </c>
      <c r="AQ978" t="s">
        <v>74</v>
      </c>
      <c r="AR978" t="s">
        <v>4586</v>
      </c>
      <c r="AS978" t="s">
        <v>4587</v>
      </c>
      <c r="AT978" t="s">
        <v>17003</v>
      </c>
      <c r="AU978">
        <v>2012</v>
      </c>
      <c r="AV978">
        <v>99</v>
      </c>
      <c r="AW978">
        <v>1</v>
      </c>
      <c r="AX978" t="s">
        <v>74</v>
      </c>
      <c r="AY978" t="s">
        <v>74</v>
      </c>
      <c r="AZ978" t="s">
        <v>74</v>
      </c>
      <c r="BA978" t="s">
        <v>74</v>
      </c>
      <c r="BB978">
        <v>36</v>
      </c>
      <c r="BC978">
        <v>45</v>
      </c>
      <c r="BD978" t="s">
        <v>74</v>
      </c>
      <c r="BE978" t="s">
        <v>17896</v>
      </c>
      <c r="BF978" t="str">
        <f>HYPERLINK("http://dx.doi.org/10.3732/ajb.1100211","http://dx.doi.org/10.3732/ajb.1100211")</f>
        <v>http://dx.doi.org/10.3732/ajb.1100211</v>
      </c>
      <c r="BG978" t="s">
        <v>74</v>
      </c>
      <c r="BH978" t="s">
        <v>74</v>
      </c>
      <c r="BI978">
        <v>10</v>
      </c>
      <c r="BJ978" t="s">
        <v>396</v>
      </c>
      <c r="BK978" t="s">
        <v>99</v>
      </c>
      <c r="BL978" t="s">
        <v>396</v>
      </c>
      <c r="BM978" t="s">
        <v>17897</v>
      </c>
      <c r="BN978">
        <v>22210841</v>
      </c>
      <c r="BO978" t="s">
        <v>74</v>
      </c>
      <c r="BP978" t="s">
        <v>74</v>
      </c>
      <c r="BQ978" t="s">
        <v>74</v>
      </c>
      <c r="BR978" t="s">
        <v>101</v>
      </c>
      <c r="BS978" t="s">
        <v>17898</v>
      </c>
      <c r="BT978" t="str">
        <f>HYPERLINK("https%3A%2F%2Fwww.webofscience.com%2Fwos%2Fwoscc%2Ffull-record%2FWOS:000299167700015","View Full Record in Web of Science")</f>
        <v>View Full Record in Web of Science</v>
      </c>
    </row>
    <row r="979" spans="1:72" x14ac:dyDescent="0.15">
      <c r="A979" t="s">
        <v>72</v>
      </c>
      <c r="B979" t="s">
        <v>17899</v>
      </c>
      <c r="C979" t="s">
        <v>74</v>
      </c>
      <c r="D979" t="s">
        <v>74</v>
      </c>
      <c r="E979" t="s">
        <v>74</v>
      </c>
      <c r="F979" t="s">
        <v>17900</v>
      </c>
      <c r="G979" t="s">
        <v>74</v>
      </c>
      <c r="H979" t="s">
        <v>74</v>
      </c>
      <c r="I979" t="s">
        <v>17901</v>
      </c>
      <c r="J979" t="s">
        <v>14941</v>
      </c>
      <c r="K979" t="s">
        <v>74</v>
      </c>
      <c r="L979" t="s">
        <v>74</v>
      </c>
      <c r="M979" t="s">
        <v>78</v>
      </c>
      <c r="N979" t="s">
        <v>79</v>
      </c>
      <c r="O979" t="s">
        <v>74</v>
      </c>
      <c r="P979" t="s">
        <v>74</v>
      </c>
      <c r="Q979" t="s">
        <v>74</v>
      </c>
      <c r="R979" t="s">
        <v>74</v>
      </c>
      <c r="S979" t="s">
        <v>74</v>
      </c>
      <c r="T979" t="s">
        <v>17902</v>
      </c>
      <c r="U979" t="s">
        <v>17903</v>
      </c>
      <c r="V979" t="s">
        <v>17904</v>
      </c>
      <c r="W979" t="s">
        <v>17905</v>
      </c>
      <c r="X979" t="s">
        <v>17906</v>
      </c>
      <c r="Y979" t="s">
        <v>17907</v>
      </c>
      <c r="Z979" t="s">
        <v>17908</v>
      </c>
      <c r="AA979" t="s">
        <v>17909</v>
      </c>
      <c r="AB979" t="s">
        <v>74</v>
      </c>
      <c r="AC979" t="s">
        <v>17910</v>
      </c>
      <c r="AD979" t="s">
        <v>17911</v>
      </c>
      <c r="AE979" t="s">
        <v>17912</v>
      </c>
      <c r="AF979" t="s">
        <v>74</v>
      </c>
      <c r="AG979">
        <v>32</v>
      </c>
      <c r="AH979">
        <v>16</v>
      </c>
      <c r="AI979">
        <v>18</v>
      </c>
      <c r="AJ979">
        <v>0</v>
      </c>
      <c r="AK979">
        <v>3</v>
      </c>
      <c r="AL979" t="s">
        <v>13270</v>
      </c>
      <c r="AM979" t="s">
        <v>13271</v>
      </c>
      <c r="AN979" t="s">
        <v>13272</v>
      </c>
      <c r="AO979" t="s">
        <v>14954</v>
      </c>
      <c r="AP979" t="s">
        <v>14955</v>
      </c>
      <c r="AQ979" t="s">
        <v>74</v>
      </c>
      <c r="AR979" t="s">
        <v>14956</v>
      </c>
      <c r="AS979" t="s">
        <v>14957</v>
      </c>
      <c r="AT979" t="s">
        <v>74</v>
      </c>
      <c r="AU979">
        <v>2012</v>
      </c>
      <c r="AV979">
        <v>30</v>
      </c>
      <c r="AW979">
        <v>1</v>
      </c>
      <c r="AX979" t="s">
        <v>74</v>
      </c>
      <c r="AY979" t="s">
        <v>74</v>
      </c>
      <c r="AZ979" t="s">
        <v>74</v>
      </c>
      <c r="BA979" t="s">
        <v>74</v>
      </c>
      <c r="BB979">
        <v>221</v>
      </c>
      <c r="BC979">
        <v>233</v>
      </c>
      <c r="BD979" t="s">
        <v>74</v>
      </c>
      <c r="BE979" t="s">
        <v>17913</v>
      </c>
      <c r="BF979" t="str">
        <f>HYPERLINK("http://dx.doi.org/10.5194/angeo-30-221-2012","http://dx.doi.org/10.5194/angeo-30-221-2012")</f>
        <v>http://dx.doi.org/10.5194/angeo-30-221-2012</v>
      </c>
      <c r="BG979" t="s">
        <v>74</v>
      </c>
      <c r="BH979" t="s">
        <v>74</v>
      </c>
      <c r="BI979">
        <v>13</v>
      </c>
      <c r="BJ979" t="s">
        <v>14959</v>
      </c>
      <c r="BK979" t="s">
        <v>99</v>
      </c>
      <c r="BL979" t="s">
        <v>14960</v>
      </c>
      <c r="BM979" t="s">
        <v>17914</v>
      </c>
      <c r="BN979" t="s">
        <v>74</v>
      </c>
      <c r="BO979" t="s">
        <v>7430</v>
      </c>
      <c r="BP979" t="s">
        <v>74</v>
      </c>
      <c r="BQ979" t="s">
        <v>74</v>
      </c>
      <c r="BR979" t="s">
        <v>101</v>
      </c>
      <c r="BS979" t="s">
        <v>17915</v>
      </c>
      <c r="BT979" t="str">
        <f>HYPERLINK("https%3A%2F%2Fwww.webofscience.com%2Fwos%2Fwoscc%2Ffull-record%2FWOS:000300230100019","View Full Record in Web of Science")</f>
        <v>View Full Record in Web of Science</v>
      </c>
    </row>
    <row r="980" spans="1:72" x14ac:dyDescent="0.15">
      <c r="A980" t="s">
        <v>72</v>
      </c>
      <c r="B980" t="s">
        <v>17916</v>
      </c>
      <c r="C980" t="s">
        <v>74</v>
      </c>
      <c r="D980" t="s">
        <v>74</v>
      </c>
      <c r="E980" t="s">
        <v>74</v>
      </c>
      <c r="F980" t="s">
        <v>17917</v>
      </c>
      <c r="G980" t="s">
        <v>74</v>
      </c>
      <c r="H980" t="s">
        <v>74</v>
      </c>
      <c r="I980" t="s">
        <v>17918</v>
      </c>
      <c r="J980" t="s">
        <v>17843</v>
      </c>
      <c r="K980" t="s">
        <v>74</v>
      </c>
      <c r="L980" t="s">
        <v>74</v>
      </c>
      <c r="M980" t="s">
        <v>78</v>
      </c>
      <c r="N980" t="s">
        <v>79</v>
      </c>
      <c r="O980" t="s">
        <v>74</v>
      </c>
      <c r="P980" t="s">
        <v>74</v>
      </c>
      <c r="Q980" t="s">
        <v>74</v>
      </c>
      <c r="R980" t="s">
        <v>74</v>
      </c>
      <c r="S980" t="s">
        <v>74</v>
      </c>
      <c r="T980" t="s">
        <v>74</v>
      </c>
      <c r="U980" t="s">
        <v>17919</v>
      </c>
      <c r="V980" t="s">
        <v>17920</v>
      </c>
      <c r="W980" t="s">
        <v>17921</v>
      </c>
      <c r="X980" t="s">
        <v>546</v>
      </c>
      <c r="Y980" t="s">
        <v>17922</v>
      </c>
      <c r="Z980" t="s">
        <v>17923</v>
      </c>
      <c r="AA980" t="s">
        <v>17924</v>
      </c>
      <c r="AB980" t="s">
        <v>17925</v>
      </c>
      <c r="AC980" t="s">
        <v>17926</v>
      </c>
      <c r="AD980" t="s">
        <v>17927</v>
      </c>
      <c r="AE980" t="s">
        <v>17928</v>
      </c>
      <c r="AF980" t="s">
        <v>74</v>
      </c>
      <c r="AG980">
        <v>37</v>
      </c>
      <c r="AH980">
        <v>8</v>
      </c>
      <c r="AI980">
        <v>8</v>
      </c>
      <c r="AJ980">
        <v>0</v>
      </c>
      <c r="AK980">
        <v>26</v>
      </c>
      <c r="AL980" t="s">
        <v>12312</v>
      </c>
      <c r="AM980" t="s">
        <v>12313</v>
      </c>
      <c r="AN980" t="s">
        <v>15912</v>
      </c>
      <c r="AO980" t="s">
        <v>17856</v>
      </c>
      <c r="AP980" t="s">
        <v>74</v>
      </c>
      <c r="AQ980" t="s">
        <v>74</v>
      </c>
      <c r="AR980" t="s">
        <v>17858</v>
      </c>
      <c r="AS980" t="s">
        <v>17859</v>
      </c>
      <c r="AT980" t="s">
        <v>74</v>
      </c>
      <c r="AU980">
        <v>2012</v>
      </c>
      <c r="AV980">
        <v>63</v>
      </c>
      <c r="AW980">
        <v>2</v>
      </c>
      <c r="AX980" t="s">
        <v>74</v>
      </c>
      <c r="AY980" t="s">
        <v>74</v>
      </c>
      <c r="AZ980" t="s">
        <v>74</v>
      </c>
      <c r="BA980" t="s">
        <v>74</v>
      </c>
      <c r="BB980">
        <v>110</v>
      </c>
      <c r="BC980">
        <v>118</v>
      </c>
      <c r="BD980" t="s">
        <v>74</v>
      </c>
      <c r="BE980" t="s">
        <v>17929</v>
      </c>
      <c r="BF980" t="str">
        <f>HYPERLINK("http://dx.doi.org/10.1071/MF11121","http://dx.doi.org/10.1071/MF11121")</f>
        <v>http://dx.doi.org/10.1071/MF11121</v>
      </c>
      <c r="BG980" t="s">
        <v>74</v>
      </c>
      <c r="BH980" t="s">
        <v>74</v>
      </c>
      <c r="BI980">
        <v>9</v>
      </c>
      <c r="BJ980" t="s">
        <v>17861</v>
      </c>
      <c r="BK980" t="s">
        <v>99</v>
      </c>
      <c r="BL980" t="s">
        <v>8518</v>
      </c>
      <c r="BM980" t="s">
        <v>17930</v>
      </c>
      <c r="BN980" t="s">
        <v>74</v>
      </c>
      <c r="BO980" t="s">
        <v>74</v>
      </c>
      <c r="BP980" t="s">
        <v>74</v>
      </c>
      <c r="BQ980" t="s">
        <v>74</v>
      </c>
      <c r="BR980" t="s">
        <v>101</v>
      </c>
      <c r="BS980" t="s">
        <v>17931</v>
      </c>
      <c r="BT980" t="str">
        <f>HYPERLINK("https%3A%2F%2Fwww.webofscience.com%2Fwos%2Fwoscc%2Ffull-record%2FWOS:000299891100002","View Full Record in Web of Science")</f>
        <v>View Full Record in Web of Science</v>
      </c>
    </row>
    <row r="981" spans="1:72" x14ac:dyDescent="0.15">
      <c r="A981" t="s">
        <v>72</v>
      </c>
      <c r="B981" t="s">
        <v>17932</v>
      </c>
      <c r="C981" t="s">
        <v>74</v>
      </c>
      <c r="D981" t="s">
        <v>74</v>
      </c>
      <c r="E981" t="s">
        <v>74</v>
      </c>
      <c r="F981" t="s">
        <v>17933</v>
      </c>
      <c r="G981" t="s">
        <v>74</v>
      </c>
      <c r="H981" t="s">
        <v>74</v>
      </c>
      <c r="I981" t="s">
        <v>17934</v>
      </c>
      <c r="J981" t="s">
        <v>17843</v>
      </c>
      <c r="K981" t="s">
        <v>74</v>
      </c>
      <c r="L981" t="s">
        <v>74</v>
      </c>
      <c r="M981" t="s">
        <v>78</v>
      </c>
      <c r="N981" t="s">
        <v>79</v>
      </c>
      <c r="O981" t="s">
        <v>74</v>
      </c>
      <c r="P981" t="s">
        <v>74</v>
      </c>
      <c r="Q981" t="s">
        <v>74</v>
      </c>
      <c r="R981" t="s">
        <v>74</v>
      </c>
      <c r="S981" t="s">
        <v>74</v>
      </c>
      <c r="T981" t="s">
        <v>17935</v>
      </c>
      <c r="U981" t="s">
        <v>17936</v>
      </c>
      <c r="V981" t="s">
        <v>17937</v>
      </c>
      <c r="W981" t="s">
        <v>17938</v>
      </c>
      <c r="X981" t="s">
        <v>17939</v>
      </c>
      <c r="Y981" t="s">
        <v>17940</v>
      </c>
      <c r="Z981" t="s">
        <v>17941</v>
      </c>
      <c r="AA981" t="s">
        <v>17942</v>
      </c>
      <c r="AB981" t="s">
        <v>17943</v>
      </c>
      <c r="AC981" t="s">
        <v>17944</v>
      </c>
      <c r="AD981" t="s">
        <v>17945</v>
      </c>
      <c r="AE981" t="s">
        <v>17946</v>
      </c>
      <c r="AF981" t="s">
        <v>74</v>
      </c>
      <c r="AG981">
        <v>36</v>
      </c>
      <c r="AH981">
        <v>12</v>
      </c>
      <c r="AI981">
        <v>12</v>
      </c>
      <c r="AJ981">
        <v>3</v>
      </c>
      <c r="AK981">
        <v>27</v>
      </c>
      <c r="AL981" t="s">
        <v>12312</v>
      </c>
      <c r="AM981" t="s">
        <v>12328</v>
      </c>
      <c r="AN981" t="s">
        <v>12329</v>
      </c>
      <c r="AO981" t="s">
        <v>17856</v>
      </c>
      <c r="AP981" t="s">
        <v>17857</v>
      </c>
      <c r="AQ981" t="s">
        <v>74</v>
      </c>
      <c r="AR981" t="s">
        <v>17858</v>
      </c>
      <c r="AS981" t="s">
        <v>17859</v>
      </c>
      <c r="AT981" t="s">
        <v>74</v>
      </c>
      <c r="AU981">
        <v>2012</v>
      </c>
      <c r="AV981">
        <v>63</v>
      </c>
      <c r="AW981">
        <v>2</v>
      </c>
      <c r="AX981" t="s">
        <v>74</v>
      </c>
      <c r="AY981" t="s">
        <v>74</v>
      </c>
      <c r="AZ981" t="s">
        <v>74</v>
      </c>
      <c r="BA981" t="s">
        <v>74</v>
      </c>
      <c r="BB981">
        <v>142</v>
      </c>
      <c r="BC981">
        <v>149</v>
      </c>
      <c r="BD981" t="s">
        <v>74</v>
      </c>
      <c r="BE981" t="s">
        <v>17947</v>
      </c>
      <c r="BF981" t="str">
        <f>HYPERLINK("http://dx.doi.org/10.1071/MF11106","http://dx.doi.org/10.1071/MF11106")</f>
        <v>http://dx.doi.org/10.1071/MF11106</v>
      </c>
      <c r="BG981" t="s">
        <v>74</v>
      </c>
      <c r="BH981" t="s">
        <v>74</v>
      </c>
      <c r="BI981">
        <v>8</v>
      </c>
      <c r="BJ981" t="s">
        <v>17861</v>
      </c>
      <c r="BK981" t="s">
        <v>99</v>
      </c>
      <c r="BL981" t="s">
        <v>8518</v>
      </c>
      <c r="BM981" t="s">
        <v>17930</v>
      </c>
      <c r="BN981" t="s">
        <v>74</v>
      </c>
      <c r="BO981" t="s">
        <v>74</v>
      </c>
      <c r="BP981" t="s">
        <v>74</v>
      </c>
      <c r="BQ981" t="s">
        <v>74</v>
      </c>
      <c r="BR981" t="s">
        <v>101</v>
      </c>
      <c r="BS981" t="s">
        <v>17948</v>
      </c>
      <c r="BT981" t="str">
        <f>HYPERLINK("https%3A%2F%2Fwww.webofscience.com%2Fwos%2Fwoscc%2Ffull-record%2FWOS:000299891100005","View Full Record in Web of Science")</f>
        <v>View Full Record in Web of Science</v>
      </c>
    </row>
    <row r="982" spans="1:72" x14ac:dyDescent="0.15">
      <c r="A982" t="s">
        <v>72</v>
      </c>
      <c r="B982" t="s">
        <v>17949</v>
      </c>
      <c r="C982" t="s">
        <v>74</v>
      </c>
      <c r="D982" t="s">
        <v>74</v>
      </c>
      <c r="E982" t="s">
        <v>74</v>
      </c>
      <c r="F982" t="s">
        <v>17950</v>
      </c>
      <c r="G982" t="s">
        <v>74</v>
      </c>
      <c r="H982" t="s">
        <v>74</v>
      </c>
      <c r="I982" t="s">
        <v>17951</v>
      </c>
      <c r="J982" t="s">
        <v>13678</v>
      </c>
      <c r="K982" t="s">
        <v>74</v>
      </c>
      <c r="L982" t="s">
        <v>74</v>
      </c>
      <c r="M982" t="s">
        <v>78</v>
      </c>
      <c r="N982" t="s">
        <v>79</v>
      </c>
      <c r="O982" t="s">
        <v>74</v>
      </c>
      <c r="P982" t="s">
        <v>74</v>
      </c>
      <c r="Q982" t="s">
        <v>74</v>
      </c>
      <c r="R982" t="s">
        <v>74</v>
      </c>
      <c r="S982" t="s">
        <v>74</v>
      </c>
      <c r="T982" t="s">
        <v>74</v>
      </c>
      <c r="U982" t="s">
        <v>17952</v>
      </c>
      <c r="V982" t="s">
        <v>17953</v>
      </c>
      <c r="W982" t="s">
        <v>17954</v>
      </c>
      <c r="X982" t="s">
        <v>17955</v>
      </c>
      <c r="Y982" t="s">
        <v>17956</v>
      </c>
      <c r="Z982" t="s">
        <v>17957</v>
      </c>
      <c r="AA982" t="s">
        <v>17958</v>
      </c>
      <c r="AB982" t="s">
        <v>17959</v>
      </c>
      <c r="AC982" t="s">
        <v>17960</v>
      </c>
      <c r="AD982" t="s">
        <v>17961</v>
      </c>
      <c r="AE982" t="s">
        <v>17962</v>
      </c>
      <c r="AF982" t="s">
        <v>74</v>
      </c>
      <c r="AG982">
        <v>35</v>
      </c>
      <c r="AH982">
        <v>21</v>
      </c>
      <c r="AI982">
        <v>23</v>
      </c>
      <c r="AJ982">
        <v>0</v>
      </c>
      <c r="AK982">
        <v>19</v>
      </c>
      <c r="AL982" t="s">
        <v>13270</v>
      </c>
      <c r="AM982" t="s">
        <v>13271</v>
      </c>
      <c r="AN982" t="s">
        <v>13272</v>
      </c>
      <c r="AO982" t="s">
        <v>13690</v>
      </c>
      <c r="AP982" t="s">
        <v>74</v>
      </c>
      <c r="AQ982" t="s">
        <v>74</v>
      </c>
      <c r="AR982" t="s">
        <v>13692</v>
      </c>
      <c r="AS982" t="s">
        <v>13693</v>
      </c>
      <c r="AT982" t="s">
        <v>74</v>
      </c>
      <c r="AU982">
        <v>2012</v>
      </c>
      <c r="AV982">
        <v>8</v>
      </c>
      <c r="AW982">
        <v>1</v>
      </c>
      <c r="AX982" t="s">
        <v>74</v>
      </c>
      <c r="AY982" t="s">
        <v>74</v>
      </c>
      <c r="AZ982" t="s">
        <v>74</v>
      </c>
      <c r="BA982" t="s">
        <v>74</v>
      </c>
      <c r="BB982">
        <v>1</v>
      </c>
      <c r="BC982">
        <v>10</v>
      </c>
      <c r="BD982" t="s">
        <v>74</v>
      </c>
      <c r="BE982" t="s">
        <v>17963</v>
      </c>
      <c r="BF982" t="str">
        <f>HYPERLINK("http://dx.doi.org/10.5194/os-8-1-2012","http://dx.doi.org/10.5194/os-8-1-2012")</f>
        <v>http://dx.doi.org/10.5194/os-8-1-2012</v>
      </c>
      <c r="BG982" t="s">
        <v>74</v>
      </c>
      <c r="BH982" t="s">
        <v>74</v>
      </c>
      <c r="BI982">
        <v>10</v>
      </c>
      <c r="BJ982" t="s">
        <v>1601</v>
      </c>
      <c r="BK982" t="s">
        <v>99</v>
      </c>
      <c r="BL982" t="s">
        <v>1601</v>
      </c>
      <c r="BM982" t="s">
        <v>17964</v>
      </c>
      <c r="BN982" t="s">
        <v>74</v>
      </c>
      <c r="BO982" t="s">
        <v>564</v>
      </c>
      <c r="BP982" t="s">
        <v>74</v>
      </c>
      <c r="BQ982" t="s">
        <v>74</v>
      </c>
      <c r="BR982" t="s">
        <v>101</v>
      </c>
      <c r="BS982" t="s">
        <v>17965</v>
      </c>
      <c r="BT982" t="str">
        <f>HYPERLINK("https%3A%2F%2Fwww.webofscience.com%2Fwos%2Fwoscc%2Ffull-record%2FWOS:000300227200001","View Full Record in Web of Science")</f>
        <v>View Full Record in Web of Science</v>
      </c>
    </row>
    <row r="983" spans="1:72" x14ac:dyDescent="0.15">
      <c r="A983" t="s">
        <v>72</v>
      </c>
      <c r="B983" t="s">
        <v>17966</v>
      </c>
      <c r="C983" t="s">
        <v>74</v>
      </c>
      <c r="D983" t="s">
        <v>74</v>
      </c>
      <c r="E983" t="s">
        <v>74</v>
      </c>
      <c r="F983" t="s">
        <v>17967</v>
      </c>
      <c r="G983" t="s">
        <v>74</v>
      </c>
      <c r="H983" t="s">
        <v>74</v>
      </c>
      <c r="I983" t="s">
        <v>17968</v>
      </c>
      <c r="J983" t="s">
        <v>7830</v>
      </c>
      <c r="K983" t="s">
        <v>74</v>
      </c>
      <c r="L983" t="s">
        <v>74</v>
      </c>
      <c r="M983" t="s">
        <v>78</v>
      </c>
      <c r="N983" t="s">
        <v>79</v>
      </c>
      <c r="O983" t="s">
        <v>74</v>
      </c>
      <c r="P983" t="s">
        <v>74</v>
      </c>
      <c r="Q983" t="s">
        <v>74</v>
      </c>
      <c r="R983" t="s">
        <v>74</v>
      </c>
      <c r="S983" t="s">
        <v>74</v>
      </c>
      <c r="T983" t="s">
        <v>17969</v>
      </c>
      <c r="U983" t="s">
        <v>17970</v>
      </c>
      <c r="V983" t="s">
        <v>17971</v>
      </c>
      <c r="W983" t="s">
        <v>17972</v>
      </c>
      <c r="X983" t="s">
        <v>17973</v>
      </c>
      <c r="Y983" t="s">
        <v>17974</v>
      </c>
      <c r="Z983" t="s">
        <v>17975</v>
      </c>
      <c r="AA983" t="s">
        <v>17976</v>
      </c>
      <c r="AB983" t="s">
        <v>17977</v>
      </c>
      <c r="AC983" t="s">
        <v>17978</v>
      </c>
      <c r="AD983" t="s">
        <v>17979</v>
      </c>
      <c r="AE983" t="s">
        <v>17980</v>
      </c>
      <c r="AF983" t="s">
        <v>74</v>
      </c>
      <c r="AG983">
        <v>75</v>
      </c>
      <c r="AH983">
        <v>19</v>
      </c>
      <c r="AI983">
        <v>20</v>
      </c>
      <c r="AJ983">
        <v>1</v>
      </c>
      <c r="AK983">
        <v>20</v>
      </c>
      <c r="AL983" t="s">
        <v>368</v>
      </c>
      <c r="AM983" t="s">
        <v>369</v>
      </c>
      <c r="AN983" t="s">
        <v>370</v>
      </c>
      <c r="AO983" t="s">
        <v>7843</v>
      </c>
      <c r="AP983" t="s">
        <v>74</v>
      </c>
      <c r="AQ983" t="s">
        <v>74</v>
      </c>
      <c r="AR983" t="s">
        <v>7845</v>
      </c>
      <c r="AS983" t="s">
        <v>7846</v>
      </c>
      <c r="AT983" t="s">
        <v>17003</v>
      </c>
      <c r="AU983">
        <v>2012</v>
      </c>
      <c r="AV983">
        <v>70</v>
      </c>
      <c r="AW983" t="s">
        <v>74</v>
      </c>
      <c r="AX983" t="s">
        <v>74</v>
      </c>
      <c r="AY983" t="s">
        <v>74</v>
      </c>
      <c r="AZ983" t="s">
        <v>74</v>
      </c>
      <c r="BA983" t="s">
        <v>74</v>
      </c>
      <c r="BB983">
        <v>71</v>
      </c>
      <c r="BC983">
        <v>80</v>
      </c>
      <c r="BD983" t="s">
        <v>74</v>
      </c>
      <c r="BE983" t="s">
        <v>17981</v>
      </c>
      <c r="BF983" t="str">
        <f>HYPERLINK("http://dx.doi.org/10.1016/j.coldregions.2011.08.001","http://dx.doi.org/10.1016/j.coldregions.2011.08.001")</f>
        <v>http://dx.doi.org/10.1016/j.coldregions.2011.08.001</v>
      </c>
      <c r="BG983" t="s">
        <v>74</v>
      </c>
      <c r="BH983" t="s">
        <v>74</v>
      </c>
      <c r="BI983">
        <v>10</v>
      </c>
      <c r="BJ983" t="s">
        <v>7848</v>
      </c>
      <c r="BK983" t="s">
        <v>99</v>
      </c>
      <c r="BL983" t="s">
        <v>7849</v>
      </c>
      <c r="BM983" t="s">
        <v>17982</v>
      </c>
      <c r="BN983" t="s">
        <v>74</v>
      </c>
      <c r="BO983" t="s">
        <v>74</v>
      </c>
      <c r="BP983" t="s">
        <v>74</v>
      </c>
      <c r="BQ983" t="s">
        <v>74</v>
      </c>
      <c r="BR983" t="s">
        <v>101</v>
      </c>
      <c r="BS983" t="s">
        <v>17983</v>
      </c>
      <c r="BT983" t="str">
        <f>HYPERLINK("https%3A%2F%2Fwww.webofscience.com%2Fwos%2Fwoscc%2Ffull-record%2FWOS:000298775900008","View Full Record in Web of Science")</f>
        <v>View Full Record in Web of Science</v>
      </c>
    </row>
    <row r="984" spans="1:72" x14ac:dyDescent="0.15">
      <c r="A984" t="s">
        <v>72</v>
      </c>
      <c r="B984" t="s">
        <v>17984</v>
      </c>
      <c r="C984" t="s">
        <v>74</v>
      </c>
      <c r="D984" t="s">
        <v>74</v>
      </c>
      <c r="E984" t="s">
        <v>74</v>
      </c>
      <c r="F984" t="s">
        <v>17985</v>
      </c>
      <c r="G984" t="s">
        <v>74</v>
      </c>
      <c r="H984" t="s">
        <v>74</v>
      </c>
      <c r="I984" t="s">
        <v>17986</v>
      </c>
      <c r="J984" t="s">
        <v>923</v>
      </c>
      <c r="K984" t="s">
        <v>74</v>
      </c>
      <c r="L984" t="s">
        <v>74</v>
      </c>
      <c r="M984" t="s">
        <v>78</v>
      </c>
      <c r="N984" t="s">
        <v>79</v>
      </c>
      <c r="O984" t="s">
        <v>74</v>
      </c>
      <c r="P984" t="s">
        <v>74</v>
      </c>
      <c r="Q984" t="s">
        <v>74</v>
      </c>
      <c r="R984" t="s">
        <v>74</v>
      </c>
      <c r="S984" t="s">
        <v>74</v>
      </c>
      <c r="T984" t="s">
        <v>17987</v>
      </c>
      <c r="U984" t="s">
        <v>17988</v>
      </c>
      <c r="V984" t="s">
        <v>17989</v>
      </c>
      <c r="W984" t="s">
        <v>17990</v>
      </c>
      <c r="X984" t="s">
        <v>17991</v>
      </c>
      <c r="Y984" t="s">
        <v>17992</v>
      </c>
      <c r="Z984" t="s">
        <v>17993</v>
      </c>
      <c r="AA984" t="s">
        <v>17994</v>
      </c>
      <c r="AB984" t="s">
        <v>17995</v>
      </c>
      <c r="AC984" t="s">
        <v>17996</v>
      </c>
      <c r="AD984" t="s">
        <v>17997</v>
      </c>
      <c r="AE984" t="s">
        <v>17998</v>
      </c>
      <c r="AF984" t="s">
        <v>74</v>
      </c>
      <c r="AG984">
        <v>132</v>
      </c>
      <c r="AH984">
        <v>24</v>
      </c>
      <c r="AI984">
        <v>26</v>
      </c>
      <c r="AJ984">
        <v>3</v>
      </c>
      <c r="AK984">
        <v>20</v>
      </c>
      <c r="AL984" t="s">
        <v>935</v>
      </c>
      <c r="AM984" t="s">
        <v>369</v>
      </c>
      <c r="AN984" t="s">
        <v>936</v>
      </c>
      <c r="AO984" t="s">
        <v>937</v>
      </c>
      <c r="AP984" t="s">
        <v>938</v>
      </c>
      <c r="AQ984" t="s">
        <v>74</v>
      </c>
      <c r="AR984" t="s">
        <v>939</v>
      </c>
      <c r="AS984" t="s">
        <v>940</v>
      </c>
      <c r="AT984" t="s">
        <v>17003</v>
      </c>
      <c r="AU984">
        <v>2012</v>
      </c>
      <c r="AV984" t="s">
        <v>17999</v>
      </c>
      <c r="AW984" t="s">
        <v>74</v>
      </c>
      <c r="AX984" t="s">
        <v>74</v>
      </c>
      <c r="AY984" t="s">
        <v>74</v>
      </c>
      <c r="AZ984" t="s">
        <v>74</v>
      </c>
      <c r="BA984" t="s">
        <v>74</v>
      </c>
      <c r="BB984">
        <v>61</v>
      </c>
      <c r="BC984">
        <v>84</v>
      </c>
      <c r="BD984" t="s">
        <v>74</v>
      </c>
      <c r="BE984" t="s">
        <v>18000</v>
      </c>
      <c r="BF984" t="str">
        <f>HYPERLINK("http://dx.doi.org/10.1016/j.gloplacha.2011.10.002","http://dx.doi.org/10.1016/j.gloplacha.2011.10.002")</f>
        <v>http://dx.doi.org/10.1016/j.gloplacha.2011.10.002</v>
      </c>
      <c r="BG984" t="s">
        <v>74</v>
      </c>
      <c r="BH984" t="s">
        <v>74</v>
      </c>
      <c r="BI984">
        <v>24</v>
      </c>
      <c r="BJ984" t="s">
        <v>943</v>
      </c>
      <c r="BK984" t="s">
        <v>99</v>
      </c>
      <c r="BL984" t="s">
        <v>944</v>
      </c>
      <c r="BM984" t="s">
        <v>18001</v>
      </c>
      <c r="BN984" t="s">
        <v>74</v>
      </c>
      <c r="BO984" t="s">
        <v>74</v>
      </c>
      <c r="BP984" t="s">
        <v>74</v>
      </c>
      <c r="BQ984" t="s">
        <v>74</v>
      </c>
      <c r="BR984" t="s">
        <v>101</v>
      </c>
      <c r="BS984" t="s">
        <v>18002</v>
      </c>
      <c r="BT984" t="str">
        <f>HYPERLINK("https%3A%2F%2Fwww.webofscience.com%2Fwos%2Fwoscc%2Ffull-record%2FWOS:000299606600006","View Full Record in Web of Science")</f>
        <v>View Full Record in Web of Science</v>
      </c>
    </row>
    <row r="985" spans="1:72" x14ac:dyDescent="0.15">
      <c r="A985" t="s">
        <v>72</v>
      </c>
      <c r="B985" t="s">
        <v>18003</v>
      </c>
      <c r="C985" t="s">
        <v>74</v>
      </c>
      <c r="D985" t="s">
        <v>74</v>
      </c>
      <c r="E985" t="s">
        <v>74</v>
      </c>
      <c r="F985" t="s">
        <v>18004</v>
      </c>
      <c r="G985" t="s">
        <v>74</v>
      </c>
      <c r="H985" t="s">
        <v>74</v>
      </c>
      <c r="I985" t="s">
        <v>18005</v>
      </c>
      <c r="J985" t="s">
        <v>1952</v>
      </c>
      <c r="K985" t="s">
        <v>74</v>
      </c>
      <c r="L985" t="s">
        <v>74</v>
      </c>
      <c r="M985" t="s">
        <v>78</v>
      </c>
      <c r="N985" t="s">
        <v>79</v>
      </c>
      <c r="O985" t="s">
        <v>74</v>
      </c>
      <c r="P985" t="s">
        <v>74</v>
      </c>
      <c r="Q985" t="s">
        <v>74</v>
      </c>
      <c r="R985" t="s">
        <v>74</v>
      </c>
      <c r="S985" t="s">
        <v>74</v>
      </c>
      <c r="T985" t="s">
        <v>18006</v>
      </c>
      <c r="U985" t="s">
        <v>18007</v>
      </c>
      <c r="V985" t="s">
        <v>18008</v>
      </c>
      <c r="W985" t="s">
        <v>18009</v>
      </c>
      <c r="X985" t="s">
        <v>18010</v>
      </c>
      <c r="Y985" t="s">
        <v>18011</v>
      </c>
      <c r="Z985" t="s">
        <v>18012</v>
      </c>
      <c r="AA985" t="s">
        <v>18013</v>
      </c>
      <c r="AB985" t="s">
        <v>18014</v>
      </c>
      <c r="AC985" t="s">
        <v>18015</v>
      </c>
      <c r="AD985" t="s">
        <v>3874</v>
      </c>
      <c r="AE985" t="s">
        <v>18016</v>
      </c>
      <c r="AF985" t="s">
        <v>74</v>
      </c>
      <c r="AG985">
        <v>112</v>
      </c>
      <c r="AH985">
        <v>52</v>
      </c>
      <c r="AI985">
        <v>53</v>
      </c>
      <c r="AJ985">
        <v>0</v>
      </c>
      <c r="AK985">
        <v>11</v>
      </c>
      <c r="AL985" t="s">
        <v>1964</v>
      </c>
      <c r="AM985" t="s">
        <v>1965</v>
      </c>
      <c r="AN985" t="s">
        <v>1966</v>
      </c>
      <c r="AO985" t="s">
        <v>1967</v>
      </c>
      <c r="AP985" t="s">
        <v>1986</v>
      </c>
      <c r="AQ985" t="s">
        <v>74</v>
      </c>
      <c r="AR985" t="s">
        <v>1952</v>
      </c>
      <c r="AS985" t="s">
        <v>1968</v>
      </c>
      <c r="AT985" t="s">
        <v>17003</v>
      </c>
      <c r="AU985">
        <v>2012</v>
      </c>
      <c r="AV985">
        <v>217</v>
      </c>
      <c r="AW985">
        <v>1</v>
      </c>
      <c r="AX985" t="s">
        <v>74</v>
      </c>
      <c r="AY985" t="s">
        <v>74</v>
      </c>
      <c r="AZ985" t="s">
        <v>74</v>
      </c>
      <c r="BA985" t="s">
        <v>74</v>
      </c>
      <c r="BB985">
        <v>389</v>
      </c>
      <c r="BC985">
        <v>407</v>
      </c>
      <c r="BD985" t="s">
        <v>74</v>
      </c>
      <c r="BE985" t="s">
        <v>18017</v>
      </c>
      <c r="BF985" t="str">
        <f>HYPERLINK("http://dx.doi.org/10.1016/j.icarus.2011.11.004","http://dx.doi.org/10.1016/j.icarus.2011.11.004")</f>
        <v>http://dx.doi.org/10.1016/j.icarus.2011.11.004</v>
      </c>
      <c r="BG985" t="s">
        <v>74</v>
      </c>
      <c r="BH985" t="s">
        <v>74</v>
      </c>
      <c r="BI985">
        <v>19</v>
      </c>
      <c r="BJ985" t="s">
        <v>438</v>
      </c>
      <c r="BK985" t="s">
        <v>99</v>
      </c>
      <c r="BL985" t="s">
        <v>438</v>
      </c>
      <c r="BM985" t="s">
        <v>18018</v>
      </c>
      <c r="BN985" t="s">
        <v>74</v>
      </c>
      <c r="BO985" t="s">
        <v>74</v>
      </c>
      <c r="BP985" t="s">
        <v>74</v>
      </c>
      <c r="BQ985" t="s">
        <v>74</v>
      </c>
      <c r="BR985" t="s">
        <v>101</v>
      </c>
      <c r="BS985" t="s">
        <v>18019</v>
      </c>
      <c r="BT985" t="str">
        <f>HYPERLINK("https%3A%2F%2Fwww.webofscience.com%2Fwos%2Fwoscc%2Ffull-record%2FWOS:000299130900030","View Full Record in Web of Science")</f>
        <v>View Full Record in Web of Science</v>
      </c>
    </row>
    <row r="986" spans="1:72" x14ac:dyDescent="0.15">
      <c r="A986" t="s">
        <v>72</v>
      </c>
      <c r="B986" t="s">
        <v>18020</v>
      </c>
      <c r="C986" t="s">
        <v>74</v>
      </c>
      <c r="D986" t="s">
        <v>74</v>
      </c>
      <c r="E986" t="s">
        <v>74</v>
      </c>
      <c r="F986" t="s">
        <v>18021</v>
      </c>
      <c r="G986" t="s">
        <v>74</v>
      </c>
      <c r="H986" t="s">
        <v>74</v>
      </c>
      <c r="I986" t="s">
        <v>18022</v>
      </c>
      <c r="J986" t="s">
        <v>985</v>
      </c>
      <c r="K986" t="s">
        <v>74</v>
      </c>
      <c r="L986" t="s">
        <v>74</v>
      </c>
      <c r="M986" t="s">
        <v>78</v>
      </c>
      <c r="N986" t="s">
        <v>79</v>
      </c>
      <c r="O986" t="s">
        <v>74</v>
      </c>
      <c r="P986" t="s">
        <v>74</v>
      </c>
      <c r="Q986" t="s">
        <v>74</v>
      </c>
      <c r="R986" t="s">
        <v>74</v>
      </c>
      <c r="S986" t="s">
        <v>74</v>
      </c>
      <c r="T986" t="s">
        <v>74</v>
      </c>
      <c r="U986" t="s">
        <v>18023</v>
      </c>
      <c r="V986" t="s">
        <v>18024</v>
      </c>
      <c r="W986" t="s">
        <v>18025</v>
      </c>
      <c r="X986" t="s">
        <v>18026</v>
      </c>
      <c r="Y986" t="s">
        <v>18027</v>
      </c>
      <c r="Z986" t="s">
        <v>18028</v>
      </c>
      <c r="AA986" t="s">
        <v>18029</v>
      </c>
      <c r="AB986" t="s">
        <v>18030</v>
      </c>
      <c r="AC986" t="s">
        <v>74</v>
      </c>
      <c r="AD986" t="s">
        <v>74</v>
      </c>
      <c r="AE986" t="s">
        <v>74</v>
      </c>
      <c r="AF986" t="s">
        <v>74</v>
      </c>
      <c r="AG986">
        <v>35</v>
      </c>
      <c r="AH986">
        <v>41</v>
      </c>
      <c r="AI986">
        <v>45</v>
      </c>
      <c r="AJ986">
        <v>0</v>
      </c>
      <c r="AK986">
        <v>18</v>
      </c>
      <c r="AL986" t="s">
        <v>997</v>
      </c>
      <c r="AM986" t="s">
        <v>998</v>
      </c>
      <c r="AN986" t="s">
        <v>999</v>
      </c>
      <c r="AO986" t="s">
        <v>1000</v>
      </c>
      <c r="AP986" t="s">
        <v>74</v>
      </c>
      <c r="AQ986" t="s">
        <v>74</v>
      </c>
      <c r="AR986" t="s">
        <v>1001</v>
      </c>
      <c r="AS986" t="s">
        <v>1002</v>
      </c>
      <c r="AT986" t="s">
        <v>17003</v>
      </c>
      <c r="AU986">
        <v>2012</v>
      </c>
      <c r="AV986">
        <v>42</v>
      </c>
      <c r="AW986">
        <v>1</v>
      </c>
      <c r="AX986" t="s">
        <v>74</v>
      </c>
      <c r="AY986" t="s">
        <v>74</v>
      </c>
      <c r="AZ986" t="s">
        <v>74</v>
      </c>
      <c r="BA986" t="s">
        <v>74</v>
      </c>
      <c r="BB986">
        <v>18</v>
      </c>
      <c r="BC986">
        <v>38</v>
      </c>
      <c r="BD986" t="s">
        <v>74</v>
      </c>
      <c r="BE986" t="s">
        <v>18031</v>
      </c>
      <c r="BF986" t="str">
        <f>HYPERLINK("http://dx.doi.org/10.1175/JPO-D-11-09.1","http://dx.doi.org/10.1175/JPO-D-11-09.1")</f>
        <v>http://dx.doi.org/10.1175/JPO-D-11-09.1</v>
      </c>
      <c r="BG986" t="s">
        <v>74</v>
      </c>
      <c r="BH986" t="s">
        <v>74</v>
      </c>
      <c r="BI986">
        <v>21</v>
      </c>
      <c r="BJ986" t="s">
        <v>350</v>
      </c>
      <c r="BK986" t="s">
        <v>99</v>
      </c>
      <c r="BL986" t="s">
        <v>350</v>
      </c>
      <c r="BM986" t="s">
        <v>18032</v>
      </c>
      <c r="BN986" t="s">
        <v>74</v>
      </c>
      <c r="BO986" t="s">
        <v>1094</v>
      </c>
      <c r="BP986" t="s">
        <v>74</v>
      </c>
      <c r="BQ986" t="s">
        <v>74</v>
      </c>
      <c r="BR986" t="s">
        <v>101</v>
      </c>
      <c r="BS986" t="s">
        <v>18033</v>
      </c>
      <c r="BT986" t="str">
        <f>HYPERLINK("https%3A%2F%2Fwww.webofscience.com%2Fwos%2Fwoscc%2Ffull-record%2FWOS:000299584000002","View Full Record in Web of Science")</f>
        <v>View Full Record in Web of Science</v>
      </c>
    </row>
    <row r="987" spans="1:72" x14ac:dyDescent="0.15">
      <c r="A987" t="s">
        <v>72</v>
      </c>
      <c r="B987" t="s">
        <v>18034</v>
      </c>
      <c r="C987" t="s">
        <v>74</v>
      </c>
      <c r="D987" t="s">
        <v>74</v>
      </c>
      <c r="E987" t="s">
        <v>74</v>
      </c>
      <c r="F987" t="s">
        <v>18035</v>
      </c>
      <c r="G987" t="s">
        <v>74</v>
      </c>
      <c r="H987" t="s">
        <v>74</v>
      </c>
      <c r="I987" t="s">
        <v>18036</v>
      </c>
      <c r="J987" t="s">
        <v>985</v>
      </c>
      <c r="K987" t="s">
        <v>74</v>
      </c>
      <c r="L987" t="s">
        <v>74</v>
      </c>
      <c r="M987" t="s">
        <v>78</v>
      </c>
      <c r="N987" t="s">
        <v>79</v>
      </c>
      <c r="O987" t="s">
        <v>74</v>
      </c>
      <c r="P987" t="s">
        <v>74</v>
      </c>
      <c r="Q987" t="s">
        <v>74</v>
      </c>
      <c r="R987" t="s">
        <v>74</v>
      </c>
      <c r="S987" t="s">
        <v>74</v>
      </c>
      <c r="T987" t="s">
        <v>74</v>
      </c>
      <c r="U987" t="s">
        <v>18037</v>
      </c>
      <c r="V987" t="s">
        <v>18038</v>
      </c>
      <c r="W987" t="s">
        <v>18039</v>
      </c>
      <c r="X987" t="s">
        <v>18040</v>
      </c>
      <c r="Y987" t="s">
        <v>18041</v>
      </c>
      <c r="Z987" t="s">
        <v>18042</v>
      </c>
      <c r="AA987" t="s">
        <v>18043</v>
      </c>
      <c r="AB987" t="s">
        <v>74</v>
      </c>
      <c r="AC987" t="s">
        <v>18044</v>
      </c>
      <c r="AD987" t="s">
        <v>18045</v>
      </c>
      <c r="AE987" t="s">
        <v>18046</v>
      </c>
      <c r="AF987" t="s">
        <v>74</v>
      </c>
      <c r="AG987">
        <v>56</v>
      </c>
      <c r="AH987">
        <v>17</v>
      </c>
      <c r="AI987">
        <v>18</v>
      </c>
      <c r="AJ987">
        <v>0</v>
      </c>
      <c r="AK987">
        <v>20</v>
      </c>
      <c r="AL987" t="s">
        <v>997</v>
      </c>
      <c r="AM987" t="s">
        <v>998</v>
      </c>
      <c r="AN987" t="s">
        <v>999</v>
      </c>
      <c r="AO987" t="s">
        <v>1000</v>
      </c>
      <c r="AP987" t="s">
        <v>5020</v>
      </c>
      <c r="AQ987" t="s">
        <v>74</v>
      </c>
      <c r="AR987" t="s">
        <v>1001</v>
      </c>
      <c r="AS987" t="s">
        <v>1002</v>
      </c>
      <c r="AT987" t="s">
        <v>17003</v>
      </c>
      <c r="AU987">
        <v>2012</v>
      </c>
      <c r="AV987">
        <v>42</v>
      </c>
      <c r="AW987">
        <v>1</v>
      </c>
      <c r="AX987" t="s">
        <v>74</v>
      </c>
      <c r="AY987" t="s">
        <v>74</v>
      </c>
      <c r="AZ987" t="s">
        <v>74</v>
      </c>
      <c r="BA987" t="s">
        <v>74</v>
      </c>
      <c r="BB987">
        <v>141</v>
      </c>
      <c r="BC987">
        <v>164</v>
      </c>
      <c r="BD987" t="s">
        <v>74</v>
      </c>
      <c r="BE987" t="s">
        <v>18047</v>
      </c>
      <c r="BF987" t="str">
        <f>HYPERLINK("http://dx.doi.org/10.1175/2011JPO4590.1","http://dx.doi.org/10.1175/2011JPO4590.1")</f>
        <v>http://dx.doi.org/10.1175/2011JPO4590.1</v>
      </c>
      <c r="BG987" t="s">
        <v>74</v>
      </c>
      <c r="BH987" t="s">
        <v>74</v>
      </c>
      <c r="BI987">
        <v>24</v>
      </c>
      <c r="BJ987" t="s">
        <v>350</v>
      </c>
      <c r="BK987" t="s">
        <v>99</v>
      </c>
      <c r="BL987" t="s">
        <v>350</v>
      </c>
      <c r="BM987" t="s">
        <v>18032</v>
      </c>
      <c r="BN987" t="s">
        <v>74</v>
      </c>
      <c r="BO987" t="s">
        <v>217</v>
      </c>
      <c r="BP987" t="s">
        <v>74</v>
      </c>
      <c r="BQ987" t="s">
        <v>74</v>
      </c>
      <c r="BR987" t="s">
        <v>101</v>
      </c>
      <c r="BS987" t="s">
        <v>18048</v>
      </c>
      <c r="BT987" t="str">
        <f>HYPERLINK("https%3A%2F%2Fwww.webofscience.com%2Fwos%2Fwoscc%2Ffull-record%2FWOS:000299584000009","View Full Record in Web of Science")</f>
        <v>View Full Record in Web of Science</v>
      </c>
    </row>
    <row r="988" spans="1:72" x14ac:dyDescent="0.15">
      <c r="A988" t="s">
        <v>72</v>
      </c>
      <c r="B988" t="s">
        <v>18049</v>
      </c>
      <c r="C988" t="s">
        <v>74</v>
      </c>
      <c r="D988" t="s">
        <v>74</v>
      </c>
      <c r="E988" t="s">
        <v>74</v>
      </c>
      <c r="F988" t="s">
        <v>18050</v>
      </c>
      <c r="G988" t="s">
        <v>74</v>
      </c>
      <c r="H988" t="s">
        <v>74</v>
      </c>
      <c r="I988" t="s">
        <v>18051</v>
      </c>
      <c r="J988" t="s">
        <v>985</v>
      </c>
      <c r="K988" t="s">
        <v>74</v>
      </c>
      <c r="L988" t="s">
        <v>74</v>
      </c>
      <c r="M988" t="s">
        <v>78</v>
      </c>
      <c r="N988" t="s">
        <v>79</v>
      </c>
      <c r="O988" t="s">
        <v>74</v>
      </c>
      <c r="P988" t="s">
        <v>74</v>
      </c>
      <c r="Q988" t="s">
        <v>74</v>
      </c>
      <c r="R988" t="s">
        <v>74</v>
      </c>
      <c r="S988" t="s">
        <v>74</v>
      </c>
      <c r="T988" t="s">
        <v>74</v>
      </c>
      <c r="U988" t="s">
        <v>18052</v>
      </c>
      <c r="V988" t="s">
        <v>18053</v>
      </c>
      <c r="W988" t="s">
        <v>18054</v>
      </c>
      <c r="X988" t="s">
        <v>18055</v>
      </c>
      <c r="Y988" t="s">
        <v>18056</v>
      </c>
      <c r="Z988" t="s">
        <v>18057</v>
      </c>
      <c r="AA988" t="s">
        <v>74</v>
      </c>
      <c r="AB988" t="s">
        <v>74</v>
      </c>
      <c r="AC988" t="s">
        <v>18058</v>
      </c>
      <c r="AD988" t="s">
        <v>18059</v>
      </c>
      <c r="AE988" t="s">
        <v>18060</v>
      </c>
      <c r="AF988" t="s">
        <v>74</v>
      </c>
      <c r="AG988">
        <v>28</v>
      </c>
      <c r="AH988">
        <v>20</v>
      </c>
      <c r="AI988">
        <v>21</v>
      </c>
      <c r="AJ988">
        <v>1</v>
      </c>
      <c r="AK988">
        <v>16</v>
      </c>
      <c r="AL988" t="s">
        <v>997</v>
      </c>
      <c r="AM988" t="s">
        <v>998</v>
      </c>
      <c r="AN988" t="s">
        <v>999</v>
      </c>
      <c r="AO988" t="s">
        <v>1000</v>
      </c>
      <c r="AP988" t="s">
        <v>5020</v>
      </c>
      <c r="AQ988" t="s">
        <v>74</v>
      </c>
      <c r="AR988" t="s">
        <v>1001</v>
      </c>
      <c r="AS988" t="s">
        <v>1002</v>
      </c>
      <c r="AT988" t="s">
        <v>17003</v>
      </c>
      <c r="AU988">
        <v>2012</v>
      </c>
      <c r="AV988">
        <v>42</v>
      </c>
      <c r="AW988">
        <v>1</v>
      </c>
      <c r="AX988" t="s">
        <v>74</v>
      </c>
      <c r="AY988" t="s">
        <v>74</v>
      </c>
      <c r="AZ988" t="s">
        <v>74</v>
      </c>
      <c r="BA988" t="s">
        <v>74</v>
      </c>
      <c r="BB988">
        <v>207</v>
      </c>
      <c r="BC988">
        <v>222</v>
      </c>
      <c r="BD988" t="s">
        <v>74</v>
      </c>
      <c r="BE988" t="s">
        <v>18061</v>
      </c>
      <c r="BF988" t="str">
        <f>HYPERLINK("http://dx.doi.org/10.1175/JPO-D-11-058.1","http://dx.doi.org/10.1175/JPO-D-11-058.1")</f>
        <v>http://dx.doi.org/10.1175/JPO-D-11-058.1</v>
      </c>
      <c r="BG988" t="s">
        <v>74</v>
      </c>
      <c r="BH988" t="s">
        <v>74</v>
      </c>
      <c r="BI988">
        <v>16</v>
      </c>
      <c r="BJ988" t="s">
        <v>350</v>
      </c>
      <c r="BK988" t="s">
        <v>99</v>
      </c>
      <c r="BL988" t="s">
        <v>350</v>
      </c>
      <c r="BM988" t="s">
        <v>18032</v>
      </c>
      <c r="BN988" t="s">
        <v>74</v>
      </c>
      <c r="BO988" t="s">
        <v>5252</v>
      </c>
      <c r="BP988" t="s">
        <v>74</v>
      </c>
      <c r="BQ988" t="s">
        <v>74</v>
      </c>
      <c r="BR988" t="s">
        <v>101</v>
      </c>
      <c r="BS988" t="s">
        <v>18062</v>
      </c>
      <c r="BT988" t="str">
        <f>HYPERLINK("https%3A%2F%2Fwww.webofscience.com%2Fwos%2Fwoscc%2Ffull-record%2FWOS:000299584000013","View Full Record in Web of Science")</f>
        <v>View Full Record in Web of Science</v>
      </c>
    </row>
    <row r="989" spans="1:72" x14ac:dyDescent="0.15">
      <c r="A989" t="s">
        <v>72</v>
      </c>
      <c r="B989" t="s">
        <v>18063</v>
      </c>
      <c r="C989" t="s">
        <v>74</v>
      </c>
      <c r="D989" t="s">
        <v>74</v>
      </c>
      <c r="E989" t="s">
        <v>74</v>
      </c>
      <c r="F989" t="s">
        <v>18064</v>
      </c>
      <c r="G989" t="s">
        <v>74</v>
      </c>
      <c r="H989" t="s">
        <v>74</v>
      </c>
      <c r="I989" t="s">
        <v>18065</v>
      </c>
      <c r="J989" t="s">
        <v>18066</v>
      </c>
      <c r="K989" t="s">
        <v>74</v>
      </c>
      <c r="L989" t="s">
        <v>74</v>
      </c>
      <c r="M989" t="s">
        <v>78</v>
      </c>
      <c r="N989" t="s">
        <v>79</v>
      </c>
      <c r="O989" t="s">
        <v>74</v>
      </c>
      <c r="P989" t="s">
        <v>74</v>
      </c>
      <c r="Q989" t="s">
        <v>74</v>
      </c>
      <c r="R989" t="s">
        <v>74</v>
      </c>
      <c r="S989" t="s">
        <v>74</v>
      </c>
      <c r="T989" t="s">
        <v>74</v>
      </c>
      <c r="U989" t="s">
        <v>18067</v>
      </c>
      <c r="V989" t="s">
        <v>18068</v>
      </c>
      <c r="W989" t="s">
        <v>18069</v>
      </c>
      <c r="X989" t="s">
        <v>18070</v>
      </c>
      <c r="Y989" t="s">
        <v>18071</v>
      </c>
      <c r="Z989" t="s">
        <v>1497</v>
      </c>
      <c r="AA989" t="s">
        <v>18072</v>
      </c>
      <c r="AB989" t="s">
        <v>18073</v>
      </c>
      <c r="AC989" t="s">
        <v>18074</v>
      </c>
      <c r="AD989" t="s">
        <v>1501</v>
      </c>
      <c r="AE989" t="s">
        <v>18075</v>
      </c>
      <c r="AF989" t="s">
        <v>74</v>
      </c>
      <c r="AG989">
        <v>34</v>
      </c>
      <c r="AH989">
        <v>55</v>
      </c>
      <c r="AI989">
        <v>62</v>
      </c>
      <c r="AJ989">
        <v>4</v>
      </c>
      <c r="AK989">
        <v>96</v>
      </c>
      <c r="AL989" t="s">
        <v>7766</v>
      </c>
      <c r="AM989" t="s">
        <v>1112</v>
      </c>
      <c r="AN989" t="s">
        <v>7767</v>
      </c>
      <c r="AO989" t="s">
        <v>74</v>
      </c>
      <c r="AP989" t="s">
        <v>18076</v>
      </c>
      <c r="AQ989" t="s">
        <v>74</v>
      </c>
      <c r="AR989" t="s">
        <v>18077</v>
      </c>
      <c r="AS989" t="s">
        <v>18078</v>
      </c>
      <c r="AT989" t="s">
        <v>74</v>
      </c>
      <c r="AU989">
        <v>2012</v>
      </c>
      <c r="AV989">
        <v>2</v>
      </c>
      <c r="AW989">
        <v>4</v>
      </c>
      <c r="AX989" t="s">
        <v>74</v>
      </c>
      <c r="AY989" t="s">
        <v>74</v>
      </c>
      <c r="AZ989" t="s">
        <v>74</v>
      </c>
      <c r="BA989" t="s">
        <v>74</v>
      </c>
      <c r="BB989">
        <v>1350</v>
      </c>
      <c r="BC989">
        <v>1355</v>
      </c>
      <c r="BD989" t="s">
        <v>74</v>
      </c>
      <c r="BE989" t="s">
        <v>18079</v>
      </c>
      <c r="BF989" t="str">
        <f>HYPERLINK("http://dx.doi.org/10.1039/c1ra00462j","http://dx.doi.org/10.1039/c1ra00462j")</f>
        <v>http://dx.doi.org/10.1039/c1ra00462j</v>
      </c>
      <c r="BG989" t="s">
        <v>74</v>
      </c>
      <c r="BH989" t="s">
        <v>74</v>
      </c>
      <c r="BI989">
        <v>6</v>
      </c>
      <c r="BJ989" t="s">
        <v>16914</v>
      </c>
      <c r="BK989" t="s">
        <v>99</v>
      </c>
      <c r="BL989" t="s">
        <v>287</v>
      </c>
      <c r="BM989" t="s">
        <v>18080</v>
      </c>
      <c r="BN989" t="s">
        <v>74</v>
      </c>
      <c r="BO989" t="s">
        <v>74</v>
      </c>
      <c r="BP989" t="s">
        <v>74</v>
      </c>
      <c r="BQ989" t="s">
        <v>74</v>
      </c>
      <c r="BR989" t="s">
        <v>101</v>
      </c>
      <c r="BS989" t="s">
        <v>18081</v>
      </c>
      <c r="BT989" t="str">
        <f>HYPERLINK("https%3A%2F%2Fwww.webofscience.com%2Fwos%2Fwoscc%2Ffull-record%2FWOS:000299695300021","View Full Record in Web of Science")</f>
        <v>View Full Record in Web of Science</v>
      </c>
    </row>
    <row r="990" spans="1:72" x14ac:dyDescent="0.15">
      <c r="A990" t="s">
        <v>72</v>
      </c>
      <c r="B990" t="s">
        <v>18082</v>
      </c>
      <c r="C990" t="s">
        <v>74</v>
      </c>
      <c r="D990" t="s">
        <v>74</v>
      </c>
      <c r="E990" t="s">
        <v>74</v>
      </c>
      <c r="F990" t="s">
        <v>18083</v>
      </c>
      <c r="G990" t="s">
        <v>74</v>
      </c>
      <c r="H990" t="s">
        <v>74</v>
      </c>
      <c r="I990" t="s">
        <v>18084</v>
      </c>
      <c r="J990" t="s">
        <v>18085</v>
      </c>
      <c r="K990" t="s">
        <v>74</v>
      </c>
      <c r="L990" t="s">
        <v>74</v>
      </c>
      <c r="M990" t="s">
        <v>78</v>
      </c>
      <c r="N990" t="s">
        <v>79</v>
      </c>
      <c r="O990" t="s">
        <v>74</v>
      </c>
      <c r="P990" t="s">
        <v>74</v>
      </c>
      <c r="Q990" t="s">
        <v>74</v>
      </c>
      <c r="R990" t="s">
        <v>74</v>
      </c>
      <c r="S990" t="s">
        <v>74</v>
      </c>
      <c r="T990" t="s">
        <v>18086</v>
      </c>
      <c r="U990" t="s">
        <v>18087</v>
      </c>
      <c r="V990" t="s">
        <v>18088</v>
      </c>
      <c r="W990" t="s">
        <v>18089</v>
      </c>
      <c r="X990" t="s">
        <v>18090</v>
      </c>
      <c r="Y990" t="s">
        <v>18091</v>
      </c>
      <c r="Z990" t="s">
        <v>18092</v>
      </c>
      <c r="AA990" t="s">
        <v>74</v>
      </c>
      <c r="AB990" t="s">
        <v>18093</v>
      </c>
      <c r="AC990" t="s">
        <v>18094</v>
      </c>
      <c r="AD990" t="s">
        <v>18095</v>
      </c>
      <c r="AE990" t="s">
        <v>18096</v>
      </c>
      <c r="AF990" t="s">
        <v>74</v>
      </c>
      <c r="AG990">
        <v>88</v>
      </c>
      <c r="AH990">
        <v>59</v>
      </c>
      <c r="AI990">
        <v>72</v>
      </c>
      <c r="AJ990">
        <v>4</v>
      </c>
      <c r="AK990">
        <v>82</v>
      </c>
      <c r="AL990" t="s">
        <v>627</v>
      </c>
      <c r="AM990" t="s">
        <v>628</v>
      </c>
      <c r="AN990" t="s">
        <v>629</v>
      </c>
      <c r="AO990" t="s">
        <v>18097</v>
      </c>
      <c r="AP990" t="s">
        <v>18098</v>
      </c>
      <c r="AQ990" t="s">
        <v>74</v>
      </c>
      <c r="AR990" t="s">
        <v>18099</v>
      </c>
      <c r="AS990" t="s">
        <v>18100</v>
      </c>
      <c r="AT990" t="s">
        <v>17003</v>
      </c>
      <c r="AU990">
        <v>2012</v>
      </c>
      <c r="AV990">
        <v>81</v>
      </c>
      <c r="AW990">
        <v>1</v>
      </c>
      <c r="AX990" t="s">
        <v>74</v>
      </c>
      <c r="AY990" t="s">
        <v>74</v>
      </c>
      <c r="AZ990" t="s">
        <v>74</v>
      </c>
      <c r="BA990" t="s">
        <v>74</v>
      </c>
      <c r="BB990">
        <v>162</v>
      </c>
      <c r="BC990">
        <v>173</v>
      </c>
      <c r="BD990" t="s">
        <v>74</v>
      </c>
      <c r="BE990" t="s">
        <v>18101</v>
      </c>
      <c r="BF990" t="str">
        <f>HYPERLINK("http://dx.doi.org/10.1111/j.1365-2656.2011.01902.x","http://dx.doi.org/10.1111/j.1365-2656.2011.01902.x")</f>
        <v>http://dx.doi.org/10.1111/j.1365-2656.2011.01902.x</v>
      </c>
      <c r="BG990" t="s">
        <v>74</v>
      </c>
      <c r="BH990" t="s">
        <v>74</v>
      </c>
      <c r="BI990">
        <v>12</v>
      </c>
      <c r="BJ990" t="s">
        <v>2943</v>
      </c>
      <c r="BK990" t="s">
        <v>99</v>
      </c>
      <c r="BL990" t="s">
        <v>2944</v>
      </c>
      <c r="BM990" t="s">
        <v>18102</v>
      </c>
      <c r="BN990">
        <v>21939440</v>
      </c>
      <c r="BO990" t="s">
        <v>217</v>
      </c>
      <c r="BP990" t="s">
        <v>74</v>
      </c>
      <c r="BQ990" t="s">
        <v>74</v>
      </c>
      <c r="BR990" t="s">
        <v>101</v>
      </c>
      <c r="BS990" t="s">
        <v>18103</v>
      </c>
      <c r="BT990" t="str">
        <f>HYPERLINK("https%3A%2F%2Fwww.webofscience.com%2Fwos%2Fwoscc%2Ffull-record%2FWOS:000297849300017","View Full Record in Web of Science")</f>
        <v>View Full Record in Web of Science</v>
      </c>
    </row>
    <row r="991" spans="1:72" x14ac:dyDescent="0.15">
      <c r="A991" t="s">
        <v>72</v>
      </c>
      <c r="B991" t="s">
        <v>18104</v>
      </c>
      <c r="C991" t="s">
        <v>74</v>
      </c>
      <c r="D991" t="s">
        <v>74</v>
      </c>
      <c r="E991" t="s">
        <v>74</v>
      </c>
      <c r="F991" t="s">
        <v>18105</v>
      </c>
      <c r="G991" t="s">
        <v>74</v>
      </c>
      <c r="H991" t="s">
        <v>74</v>
      </c>
      <c r="I991" t="s">
        <v>18106</v>
      </c>
      <c r="J991" t="s">
        <v>2199</v>
      </c>
      <c r="K991" t="s">
        <v>74</v>
      </c>
      <c r="L991" t="s">
        <v>74</v>
      </c>
      <c r="M991" t="s">
        <v>78</v>
      </c>
      <c r="N991" t="s">
        <v>79</v>
      </c>
      <c r="O991" t="s">
        <v>74</v>
      </c>
      <c r="P991" t="s">
        <v>74</v>
      </c>
      <c r="Q991" t="s">
        <v>74</v>
      </c>
      <c r="R991" t="s">
        <v>74</v>
      </c>
      <c r="S991" t="s">
        <v>74</v>
      </c>
      <c r="T991" t="s">
        <v>18107</v>
      </c>
      <c r="U991" t="s">
        <v>18108</v>
      </c>
      <c r="V991" t="s">
        <v>18109</v>
      </c>
      <c r="W991" t="s">
        <v>18110</v>
      </c>
      <c r="X991" t="s">
        <v>18111</v>
      </c>
      <c r="Y991" t="s">
        <v>18112</v>
      </c>
      <c r="Z991" t="s">
        <v>18113</v>
      </c>
      <c r="AA991" t="s">
        <v>18114</v>
      </c>
      <c r="AB991" t="s">
        <v>18115</v>
      </c>
      <c r="AC991" t="s">
        <v>18116</v>
      </c>
      <c r="AD991" t="s">
        <v>18117</v>
      </c>
      <c r="AE991" t="s">
        <v>18118</v>
      </c>
      <c r="AF991" t="s">
        <v>74</v>
      </c>
      <c r="AG991">
        <v>76</v>
      </c>
      <c r="AH991">
        <v>22</v>
      </c>
      <c r="AI991">
        <v>24</v>
      </c>
      <c r="AJ991">
        <v>0</v>
      </c>
      <c r="AK991">
        <v>43</v>
      </c>
      <c r="AL991" t="s">
        <v>627</v>
      </c>
      <c r="AM991" t="s">
        <v>628</v>
      </c>
      <c r="AN991" t="s">
        <v>629</v>
      </c>
      <c r="AO991" t="s">
        <v>2212</v>
      </c>
      <c r="AP991" t="s">
        <v>2213</v>
      </c>
      <c r="AQ991" t="s">
        <v>74</v>
      </c>
      <c r="AR991" t="s">
        <v>2214</v>
      </c>
      <c r="AS991" t="s">
        <v>2215</v>
      </c>
      <c r="AT991" t="s">
        <v>17003</v>
      </c>
      <c r="AU991">
        <v>2012</v>
      </c>
      <c r="AV991">
        <v>21</v>
      </c>
      <c r="AW991">
        <v>1</v>
      </c>
      <c r="AX991" t="s">
        <v>74</v>
      </c>
      <c r="AY991" t="s">
        <v>74</v>
      </c>
      <c r="AZ991" t="s">
        <v>74</v>
      </c>
      <c r="BA991" t="s">
        <v>74</v>
      </c>
      <c r="BB991">
        <v>184</v>
      </c>
      <c r="BC991">
        <v>194</v>
      </c>
      <c r="BD991" t="s">
        <v>74</v>
      </c>
      <c r="BE991" t="s">
        <v>18119</v>
      </c>
      <c r="BF991" t="str">
        <f>HYPERLINK("http://dx.doi.org/10.1111/j.1365-294X.2011.05372.x","http://dx.doi.org/10.1111/j.1365-294X.2011.05372.x")</f>
        <v>http://dx.doi.org/10.1111/j.1365-294X.2011.05372.x</v>
      </c>
      <c r="BG991" t="s">
        <v>74</v>
      </c>
      <c r="BH991" t="s">
        <v>74</v>
      </c>
      <c r="BI991">
        <v>11</v>
      </c>
      <c r="BJ991" t="s">
        <v>2217</v>
      </c>
      <c r="BK991" t="s">
        <v>99</v>
      </c>
      <c r="BL991" t="s">
        <v>2218</v>
      </c>
      <c r="BM991" t="s">
        <v>18120</v>
      </c>
      <c r="BN991">
        <v>22129220</v>
      </c>
      <c r="BO991" t="s">
        <v>74</v>
      </c>
      <c r="BP991" t="s">
        <v>74</v>
      </c>
      <c r="BQ991" t="s">
        <v>74</v>
      </c>
      <c r="BR991" t="s">
        <v>101</v>
      </c>
      <c r="BS991" t="s">
        <v>18121</v>
      </c>
      <c r="BT991" t="str">
        <f>HYPERLINK("https%3A%2F%2Fwww.webofscience.com%2Fwos%2Fwoscc%2Ffull-record%2FWOS:000298582700015","View Full Record in Web of Science")</f>
        <v>View Full Record in Web of Science</v>
      </c>
    </row>
    <row r="992" spans="1:72" x14ac:dyDescent="0.15">
      <c r="A992" t="s">
        <v>72</v>
      </c>
      <c r="B992" t="s">
        <v>18122</v>
      </c>
      <c r="C992" t="s">
        <v>74</v>
      </c>
      <c r="D992" t="s">
        <v>74</v>
      </c>
      <c r="E992" t="s">
        <v>74</v>
      </c>
      <c r="F992" t="s">
        <v>18123</v>
      </c>
      <c r="G992" t="s">
        <v>74</v>
      </c>
      <c r="H992" t="s">
        <v>74</v>
      </c>
      <c r="I992" t="s">
        <v>18124</v>
      </c>
      <c r="J992" t="s">
        <v>18125</v>
      </c>
      <c r="K992" t="s">
        <v>74</v>
      </c>
      <c r="L992" t="s">
        <v>74</v>
      </c>
      <c r="M992" t="s">
        <v>78</v>
      </c>
      <c r="N992" t="s">
        <v>79</v>
      </c>
      <c r="O992" t="s">
        <v>74</v>
      </c>
      <c r="P992" t="s">
        <v>74</v>
      </c>
      <c r="Q992" t="s">
        <v>74</v>
      </c>
      <c r="R992" t="s">
        <v>74</v>
      </c>
      <c r="S992" t="s">
        <v>74</v>
      </c>
      <c r="T992" t="s">
        <v>18126</v>
      </c>
      <c r="U992" t="s">
        <v>18127</v>
      </c>
      <c r="V992" t="s">
        <v>18128</v>
      </c>
      <c r="W992" t="s">
        <v>18129</v>
      </c>
      <c r="X992" t="s">
        <v>18130</v>
      </c>
      <c r="Y992" t="s">
        <v>18131</v>
      </c>
      <c r="Z992" t="s">
        <v>18132</v>
      </c>
      <c r="AA992" t="s">
        <v>18133</v>
      </c>
      <c r="AB992" t="s">
        <v>74</v>
      </c>
      <c r="AC992" t="s">
        <v>74</v>
      </c>
      <c r="AD992" t="s">
        <v>74</v>
      </c>
      <c r="AE992" t="s">
        <v>74</v>
      </c>
      <c r="AF992" t="s">
        <v>74</v>
      </c>
      <c r="AG992">
        <v>36</v>
      </c>
      <c r="AH992">
        <v>28</v>
      </c>
      <c r="AI992">
        <v>30</v>
      </c>
      <c r="AJ992">
        <v>0</v>
      </c>
      <c r="AK992">
        <v>19</v>
      </c>
      <c r="AL992" t="s">
        <v>6933</v>
      </c>
      <c r="AM992" t="s">
        <v>6934</v>
      </c>
      <c r="AN992" t="s">
        <v>6935</v>
      </c>
      <c r="AO992" t="s">
        <v>18134</v>
      </c>
      <c r="AP992" t="s">
        <v>18135</v>
      </c>
      <c r="AQ992" t="s">
        <v>74</v>
      </c>
      <c r="AR992" t="s">
        <v>18136</v>
      </c>
      <c r="AS992" t="s">
        <v>18137</v>
      </c>
      <c r="AT992" t="s">
        <v>17003</v>
      </c>
      <c r="AU992">
        <v>2012</v>
      </c>
      <c r="AV992">
        <v>50</v>
      </c>
      <c r="AW992">
        <v>1</v>
      </c>
      <c r="AX992" t="s">
        <v>74</v>
      </c>
      <c r="AY992" t="s">
        <v>74</v>
      </c>
      <c r="AZ992" t="s">
        <v>74</v>
      </c>
      <c r="BA992" t="s">
        <v>74</v>
      </c>
      <c r="BB992">
        <v>3</v>
      </c>
      <c r="BC992">
        <v>12</v>
      </c>
      <c r="BD992" t="s">
        <v>74</v>
      </c>
      <c r="BE992" t="s">
        <v>18138</v>
      </c>
      <c r="BF992" t="str">
        <f>HYPERLINK("http://dx.doi.org/10.1109/TGRS.2011.2159121","http://dx.doi.org/10.1109/TGRS.2011.2159121")</f>
        <v>http://dx.doi.org/10.1109/TGRS.2011.2159121</v>
      </c>
      <c r="BG992" t="s">
        <v>74</v>
      </c>
      <c r="BH992" t="s">
        <v>74</v>
      </c>
      <c r="BI992">
        <v>10</v>
      </c>
      <c r="BJ992" t="s">
        <v>18139</v>
      </c>
      <c r="BK992" t="s">
        <v>99</v>
      </c>
      <c r="BL992" t="s">
        <v>18140</v>
      </c>
      <c r="BM992" t="s">
        <v>18141</v>
      </c>
      <c r="BN992" t="s">
        <v>74</v>
      </c>
      <c r="BO992" t="s">
        <v>328</v>
      </c>
      <c r="BP992" t="s">
        <v>74</v>
      </c>
      <c r="BQ992" t="s">
        <v>74</v>
      </c>
      <c r="BR992" t="s">
        <v>101</v>
      </c>
      <c r="BS992" t="s">
        <v>18142</v>
      </c>
      <c r="BT992" t="str">
        <f>HYPERLINK("https%3A%2F%2Fwww.webofscience.com%2Fwos%2Fwoscc%2Ffull-record%2FWOS:000298782000001","View Full Record in Web of Science")</f>
        <v>View Full Record in Web of Science</v>
      </c>
    </row>
    <row r="993" spans="1:72" x14ac:dyDescent="0.15">
      <c r="A993" t="s">
        <v>72</v>
      </c>
      <c r="B993" t="s">
        <v>18143</v>
      </c>
      <c r="C993" t="s">
        <v>74</v>
      </c>
      <c r="D993" t="s">
        <v>74</v>
      </c>
      <c r="E993" t="s">
        <v>74</v>
      </c>
      <c r="F993" t="s">
        <v>18144</v>
      </c>
      <c r="G993" t="s">
        <v>74</v>
      </c>
      <c r="H993" t="s">
        <v>74</v>
      </c>
      <c r="I993" t="s">
        <v>18145</v>
      </c>
      <c r="J993" t="s">
        <v>18146</v>
      </c>
      <c r="K993" t="s">
        <v>74</v>
      </c>
      <c r="L993" t="s">
        <v>74</v>
      </c>
      <c r="M993" t="s">
        <v>78</v>
      </c>
      <c r="N993" t="s">
        <v>79</v>
      </c>
      <c r="O993" t="s">
        <v>74</v>
      </c>
      <c r="P993" t="s">
        <v>74</v>
      </c>
      <c r="Q993" t="s">
        <v>74</v>
      </c>
      <c r="R993" t="s">
        <v>74</v>
      </c>
      <c r="S993" t="s">
        <v>74</v>
      </c>
      <c r="T993" t="s">
        <v>18147</v>
      </c>
      <c r="U993" t="s">
        <v>18148</v>
      </c>
      <c r="V993" t="s">
        <v>18149</v>
      </c>
      <c r="W993" t="s">
        <v>18150</v>
      </c>
      <c r="X993" t="s">
        <v>9705</v>
      </c>
      <c r="Y993" t="s">
        <v>18151</v>
      </c>
      <c r="Z993" t="s">
        <v>18152</v>
      </c>
      <c r="AA993" t="s">
        <v>18153</v>
      </c>
      <c r="AB993" t="s">
        <v>18154</v>
      </c>
      <c r="AC993" t="s">
        <v>74</v>
      </c>
      <c r="AD993" t="s">
        <v>74</v>
      </c>
      <c r="AE993" t="s">
        <v>74</v>
      </c>
      <c r="AF993" t="s">
        <v>74</v>
      </c>
      <c r="AG993">
        <v>54</v>
      </c>
      <c r="AH993">
        <v>10</v>
      </c>
      <c r="AI993">
        <v>16</v>
      </c>
      <c r="AJ993">
        <v>0</v>
      </c>
      <c r="AK993">
        <v>24</v>
      </c>
      <c r="AL993" t="s">
        <v>935</v>
      </c>
      <c r="AM993" t="s">
        <v>369</v>
      </c>
      <c r="AN993" t="s">
        <v>936</v>
      </c>
      <c r="AO993" t="s">
        <v>18155</v>
      </c>
      <c r="AP993" t="s">
        <v>18156</v>
      </c>
      <c r="AQ993" t="s">
        <v>74</v>
      </c>
      <c r="AR993" t="s">
        <v>18157</v>
      </c>
      <c r="AS993" t="s">
        <v>18158</v>
      </c>
      <c r="AT993" t="s">
        <v>16225</v>
      </c>
      <c r="AU993">
        <v>2012</v>
      </c>
      <c r="AV993">
        <v>309</v>
      </c>
      <c r="AW993" t="s">
        <v>74</v>
      </c>
      <c r="AX993" t="s">
        <v>74</v>
      </c>
      <c r="AY993" t="s">
        <v>74</v>
      </c>
      <c r="AZ993" t="s">
        <v>74</v>
      </c>
      <c r="BA993" t="s">
        <v>74</v>
      </c>
      <c r="BB993">
        <v>79</v>
      </c>
      <c r="BC993">
        <v>87</v>
      </c>
      <c r="BD993" t="s">
        <v>74</v>
      </c>
      <c r="BE993" t="s">
        <v>18159</v>
      </c>
      <c r="BF993" t="str">
        <f>HYPERLINK("http://dx.doi.org/10.1016/j.ijms.2011.09.001","http://dx.doi.org/10.1016/j.ijms.2011.09.001")</f>
        <v>http://dx.doi.org/10.1016/j.ijms.2011.09.001</v>
      </c>
      <c r="BG993" t="s">
        <v>74</v>
      </c>
      <c r="BH993" t="s">
        <v>74</v>
      </c>
      <c r="BI993">
        <v>9</v>
      </c>
      <c r="BJ993" t="s">
        <v>18160</v>
      </c>
      <c r="BK993" t="s">
        <v>99</v>
      </c>
      <c r="BL993" t="s">
        <v>18161</v>
      </c>
      <c r="BM993" t="s">
        <v>18162</v>
      </c>
      <c r="BN993" t="s">
        <v>74</v>
      </c>
      <c r="BO993" t="s">
        <v>74</v>
      </c>
      <c r="BP993" t="s">
        <v>74</v>
      </c>
      <c r="BQ993" t="s">
        <v>74</v>
      </c>
      <c r="BR993" t="s">
        <v>101</v>
      </c>
      <c r="BS993" t="s">
        <v>18163</v>
      </c>
      <c r="BT993" t="str">
        <f>HYPERLINK("https%3A%2F%2Fwww.webofscience.com%2Fwos%2Fwoscc%2Ffull-record%2FWOS:000299063100011","View Full Record in Web of Science")</f>
        <v>View Full Record in Web of Science</v>
      </c>
    </row>
    <row r="994" spans="1:72" x14ac:dyDescent="0.15">
      <c r="A994" t="s">
        <v>72</v>
      </c>
      <c r="B994" t="s">
        <v>18164</v>
      </c>
      <c r="C994" t="s">
        <v>74</v>
      </c>
      <c r="D994" t="s">
        <v>74</v>
      </c>
      <c r="E994" t="s">
        <v>74</v>
      </c>
      <c r="F994" t="s">
        <v>18165</v>
      </c>
      <c r="G994" t="s">
        <v>74</v>
      </c>
      <c r="H994" t="s">
        <v>74</v>
      </c>
      <c r="I994" t="s">
        <v>18166</v>
      </c>
      <c r="J994" t="s">
        <v>1151</v>
      </c>
      <c r="K994" t="s">
        <v>74</v>
      </c>
      <c r="L994" t="s">
        <v>74</v>
      </c>
      <c r="M994" t="s">
        <v>78</v>
      </c>
      <c r="N994" t="s">
        <v>79</v>
      </c>
      <c r="O994" t="s">
        <v>74</v>
      </c>
      <c r="P994" t="s">
        <v>74</v>
      </c>
      <c r="Q994" t="s">
        <v>74</v>
      </c>
      <c r="R994" t="s">
        <v>74</v>
      </c>
      <c r="S994" t="s">
        <v>74</v>
      </c>
      <c r="T994" t="s">
        <v>74</v>
      </c>
      <c r="U994" t="s">
        <v>18167</v>
      </c>
      <c r="V994" t="s">
        <v>18168</v>
      </c>
      <c r="W994" t="s">
        <v>18169</v>
      </c>
      <c r="X994" t="s">
        <v>18170</v>
      </c>
      <c r="Y994" t="s">
        <v>18171</v>
      </c>
      <c r="Z994" t="s">
        <v>18172</v>
      </c>
      <c r="AA994" t="s">
        <v>18173</v>
      </c>
      <c r="AB994" t="s">
        <v>74</v>
      </c>
      <c r="AC994" t="s">
        <v>18174</v>
      </c>
      <c r="AD994" t="s">
        <v>18175</v>
      </c>
      <c r="AE994" t="s">
        <v>18176</v>
      </c>
      <c r="AF994" t="s">
        <v>74</v>
      </c>
      <c r="AG994">
        <v>56</v>
      </c>
      <c r="AH994">
        <v>56</v>
      </c>
      <c r="AI994">
        <v>61</v>
      </c>
      <c r="AJ994">
        <v>1</v>
      </c>
      <c r="AK994">
        <v>29</v>
      </c>
      <c r="AL994" t="s">
        <v>997</v>
      </c>
      <c r="AM994" t="s">
        <v>998</v>
      </c>
      <c r="AN994" t="s">
        <v>999</v>
      </c>
      <c r="AO994" t="s">
        <v>1163</v>
      </c>
      <c r="AP994" t="s">
        <v>74</v>
      </c>
      <c r="AQ994" t="s">
        <v>74</v>
      </c>
      <c r="AR994" t="s">
        <v>1165</v>
      </c>
      <c r="AS994" t="s">
        <v>1166</v>
      </c>
      <c r="AT994" t="s">
        <v>17003</v>
      </c>
      <c r="AU994">
        <v>2012</v>
      </c>
      <c r="AV994">
        <v>25</v>
      </c>
      <c r="AW994">
        <v>1</v>
      </c>
      <c r="AX994" t="s">
        <v>74</v>
      </c>
      <c r="AY994" t="s">
        <v>74</v>
      </c>
      <c r="AZ994" t="s">
        <v>74</v>
      </c>
      <c r="BA994" t="s">
        <v>74</v>
      </c>
      <c r="BB994">
        <v>5</v>
      </c>
      <c r="BC994">
        <v>24</v>
      </c>
      <c r="BD994" t="s">
        <v>74</v>
      </c>
      <c r="BE994" t="s">
        <v>18177</v>
      </c>
      <c r="BF994" t="str">
        <f>HYPERLINK("http://dx.doi.org/10.1175/2011JCLI4138.1","http://dx.doi.org/10.1175/2011JCLI4138.1")</f>
        <v>http://dx.doi.org/10.1175/2011JCLI4138.1</v>
      </c>
      <c r="BG994" t="s">
        <v>74</v>
      </c>
      <c r="BH994" t="s">
        <v>74</v>
      </c>
      <c r="BI994">
        <v>20</v>
      </c>
      <c r="BJ994" t="s">
        <v>128</v>
      </c>
      <c r="BK994" t="s">
        <v>99</v>
      </c>
      <c r="BL994" t="s">
        <v>128</v>
      </c>
      <c r="BM994" t="s">
        <v>18178</v>
      </c>
      <c r="BN994" t="s">
        <v>74</v>
      </c>
      <c r="BO994" t="s">
        <v>777</v>
      </c>
      <c r="BP994" t="s">
        <v>74</v>
      </c>
      <c r="BQ994" t="s">
        <v>74</v>
      </c>
      <c r="BR994" t="s">
        <v>101</v>
      </c>
      <c r="BS994" t="s">
        <v>18179</v>
      </c>
      <c r="BT994" t="str">
        <f>HYPERLINK("https%3A%2F%2Fwww.webofscience.com%2Fwos%2Fwoscc%2Ffull-record%2FWOS:000299130000002","View Full Record in Web of Science")</f>
        <v>View Full Record in Web of Science</v>
      </c>
    </row>
    <row r="995" spans="1:72" x14ac:dyDescent="0.15">
      <c r="A995" t="s">
        <v>72</v>
      </c>
      <c r="B995" t="s">
        <v>18180</v>
      </c>
      <c r="C995" t="s">
        <v>74</v>
      </c>
      <c r="D995" t="s">
        <v>74</v>
      </c>
      <c r="E995" t="s">
        <v>74</v>
      </c>
      <c r="F995" t="s">
        <v>18181</v>
      </c>
      <c r="G995" t="s">
        <v>74</v>
      </c>
      <c r="H995" t="s">
        <v>74</v>
      </c>
      <c r="I995" t="s">
        <v>18182</v>
      </c>
      <c r="J995" t="s">
        <v>1151</v>
      </c>
      <c r="K995" t="s">
        <v>74</v>
      </c>
      <c r="L995" t="s">
        <v>74</v>
      </c>
      <c r="M995" t="s">
        <v>78</v>
      </c>
      <c r="N995" t="s">
        <v>79</v>
      </c>
      <c r="O995" t="s">
        <v>74</v>
      </c>
      <c r="P995" t="s">
        <v>74</v>
      </c>
      <c r="Q995" t="s">
        <v>74</v>
      </c>
      <c r="R995" t="s">
        <v>74</v>
      </c>
      <c r="S995" t="s">
        <v>74</v>
      </c>
      <c r="T995" t="s">
        <v>74</v>
      </c>
      <c r="U995" t="s">
        <v>18183</v>
      </c>
      <c r="V995" t="s">
        <v>18184</v>
      </c>
      <c r="W995" t="s">
        <v>18185</v>
      </c>
      <c r="X995" t="s">
        <v>2596</v>
      </c>
      <c r="Y995" t="s">
        <v>18186</v>
      </c>
      <c r="Z995" t="s">
        <v>18187</v>
      </c>
      <c r="AA995" t="s">
        <v>3198</v>
      </c>
      <c r="AB995" t="s">
        <v>18188</v>
      </c>
      <c r="AC995" t="s">
        <v>18189</v>
      </c>
      <c r="AD995" t="s">
        <v>18190</v>
      </c>
      <c r="AE995" t="s">
        <v>18191</v>
      </c>
      <c r="AF995" t="s">
        <v>74</v>
      </c>
      <c r="AG995">
        <v>41</v>
      </c>
      <c r="AH995">
        <v>47</v>
      </c>
      <c r="AI995">
        <v>51</v>
      </c>
      <c r="AJ995">
        <v>2</v>
      </c>
      <c r="AK995">
        <v>43</v>
      </c>
      <c r="AL995" t="s">
        <v>997</v>
      </c>
      <c r="AM995" t="s">
        <v>998</v>
      </c>
      <c r="AN995" t="s">
        <v>1359</v>
      </c>
      <c r="AO995" t="s">
        <v>1163</v>
      </c>
      <c r="AP995" t="s">
        <v>1164</v>
      </c>
      <c r="AQ995" t="s">
        <v>74</v>
      </c>
      <c r="AR995" t="s">
        <v>1165</v>
      </c>
      <c r="AS995" t="s">
        <v>1166</v>
      </c>
      <c r="AT995" t="s">
        <v>17003</v>
      </c>
      <c r="AU995">
        <v>2012</v>
      </c>
      <c r="AV995">
        <v>25</v>
      </c>
      <c r="AW995">
        <v>1</v>
      </c>
      <c r="AX995" t="s">
        <v>74</v>
      </c>
      <c r="AY995" t="s">
        <v>74</v>
      </c>
      <c r="AZ995" t="s">
        <v>74</v>
      </c>
      <c r="BA995" t="s">
        <v>74</v>
      </c>
      <c r="BB995">
        <v>207</v>
      </c>
      <c r="BC995">
        <v>221</v>
      </c>
      <c r="BD995" t="s">
        <v>74</v>
      </c>
      <c r="BE995" t="s">
        <v>18192</v>
      </c>
      <c r="BF995" t="str">
        <f>HYPERLINK("http://dx.doi.org/10.1175/JCLI-D-11-00021.1","http://dx.doi.org/10.1175/JCLI-D-11-00021.1")</f>
        <v>http://dx.doi.org/10.1175/JCLI-D-11-00021.1</v>
      </c>
      <c r="BG995" t="s">
        <v>74</v>
      </c>
      <c r="BH995" t="s">
        <v>74</v>
      </c>
      <c r="BI995">
        <v>15</v>
      </c>
      <c r="BJ995" t="s">
        <v>128</v>
      </c>
      <c r="BK995" t="s">
        <v>99</v>
      </c>
      <c r="BL995" t="s">
        <v>128</v>
      </c>
      <c r="BM995" t="s">
        <v>18178</v>
      </c>
      <c r="BN995" t="s">
        <v>74</v>
      </c>
      <c r="BO995" t="s">
        <v>130</v>
      </c>
      <c r="BP995" t="s">
        <v>74</v>
      </c>
      <c r="BQ995" t="s">
        <v>74</v>
      </c>
      <c r="BR995" t="s">
        <v>101</v>
      </c>
      <c r="BS995" t="s">
        <v>18193</v>
      </c>
      <c r="BT995" t="str">
        <f>HYPERLINK("https%3A%2F%2Fwww.webofscience.com%2Fwos%2Fwoscc%2Ffull-record%2FWOS:000299130000013","View Full Record in Web of Science")</f>
        <v>View Full Record in Web of Science</v>
      </c>
    </row>
    <row r="996" spans="1:72" x14ac:dyDescent="0.15">
      <c r="A996" t="s">
        <v>72</v>
      </c>
      <c r="B996" t="s">
        <v>18194</v>
      </c>
      <c r="C996" t="s">
        <v>74</v>
      </c>
      <c r="D996" t="s">
        <v>74</v>
      </c>
      <c r="E996" t="s">
        <v>74</v>
      </c>
      <c r="F996" t="s">
        <v>18195</v>
      </c>
      <c r="G996" t="s">
        <v>74</v>
      </c>
      <c r="H996" t="s">
        <v>74</v>
      </c>
      <c r="I996" t="s">
        <v>18196</v>
      </c>
      <c r="J996" t="s">
        <v>1151</v>
      </c>
      <c r="K996" t="s">
        <v>74</v>
      </c>
      <c r="L996" t="s">
        <v>74</v>
      </c>
      <c r="M996" t="s">
        <v>78</v>
      </c>
      <c r="N996" t="s">
        <v>79</v>
      </c>
      <c r="O996" t="s">
        <v>74</v>
      </c>
      <c r="P996" t="s">
        <v>74</v>
      </c>
      <c r="Q996" t="s">
        <v>74</v>
      </c>
      <c r="R996" t="s">
        <v>74</v>
      </c>
      <c r="S996" t="s">
        <v>74</v>
      </c>
      <c r="T996" t="s">
        <v>74</v>
      </c>
      <c r="U996" t="s">
        <v>18197</v>
      </c>
      <c r="V996" t="s">
        <v>18198</v>
      </c>
      <c r="W996" t="s">
        <v>18199</v>
      </c>
      <c r="X996" t="s">
        <v>13395</v>
      </c>
      <c r="Y996" t="s">
        <v>18200</v>
      </c>
      <c r="Z996" t="s">
        <v>5014</v>
      </c>
      <c r="AA996" t="s">
        <v>18201</v>
      </c>
      <c r="AB996" t="s">
        <v>18202</v>
      </c>
      <c r="AC996" t="s">
        <v>18203</v>
      </c>
      <c r="AD996" t="s">
        <v>18204</v>
      </c>
      <c r="AE996" t="s">
        <v>18205</v>
      </c>
      <c r="AF996" t="s">
        <v>74</v>
      </c>
      <c r="AG996">
        <v>14</v>
      </c>
      <c r="AH996">
        <v>3</v>
      </c>
      <c r="AI996">
        <v>3</v>
      </c>
      <c r="AJ996">
        <v>0</v>
      </c>
      <c r="AK996">
        <v>7</v>
      </c>
      <c r="AL996" t="s">
        <v>997</v>
      </c>
      <c r="AM996" t="s">
        <v>998</v>
      </c>
      <c r="AN996" t="s">
        <v>999</v>
      </c>
      <c r="AO996" t="s">
        <v>1163</v>
      </c>
      <c r="AP996" t="s">
        <v>1164</v>
      </c>
      <c r="AQ996" t="s">
        <v>74</v>
      </c>
      <c r="AR996" t="s">
        <v>1165</v>
      </c>
      <c r="AS996" t="s">
        <v>1166</v>
      </c>
      <c r="AT996" t="s">
        <v>17003</v>
      </c>
      <c r="AU996">
        <v>2012</v>
      </c>
      <c r="AV996">
        <v>25</v>
      </c>
      <c r="AW996">
        <v>1</v>
      </c>
      <c r="AX996" t="s">
        <v>74</v>
      </c>
      <c r="AY996" t="s">
        <v>74</v>
      </c>
      <c r="AZ996" t="s">
        <v>74</v>
      </c>
      <c r="BA996" t="s">
        <v>74</v>
      </c>
      <c r="BB996">
        <v>299</v>
      </c>
      <c r="BC996">
        <v>306</v>
      </c>
      <c r="BD996" t="s">
        <v>74</v>
      </c>
      <c r="BE996" t="s">
        <v>18206</v>
      </c>
      <c r="BF996" t="str">
        <f>HYPERLINK("http://dx.doi.org/10.1175/2011JCLI4246.1","http://dx.doi.org/10.1175/2011JCLI4246.1")</f>
        <v>http://dx.doi.org/10.1175/2011JCLI4246.1</v>
      </c>
      <c r="BG996" t="s">
        <v>74</v>
      </c>
      <c r="BH996" t="s">
        <v>74</v>
      </c>
      <c r="BI996">
        <v>8</v>
      </c>
      <c r="BJ996" t="s">
        <v>128</v>
      </c>
      <c r="BK996" t="s">
        <v>99</v>
      </c>
      <c r="BL996" t="s">
        <v>128</v>
      </c>
      <c r="BM996" t="s">
        <v>18178</v>
      </c>
      <c r="BN996" t="s">
        <v>74</v>
      </c>
      <c r="BO996" t="s">
        <v>217</v>
      </c>
      <c r="BP996" t="s">
        <v>74</v>
      </c>
      <c r="BQ996" t="s">
        <v>74</v>
      </c>
      <c r="BR996" t="s">
        <v>101</v>
      </c>
      <c r="BS996" t="s">
        <v>18207</v>
      </c>
      <c r="BT996" t="str">
        <f>HYPERLINK("https%3A%2F%2Fwww.webofscience.com%2Fwos%2Fwoscc%2Ffull-record%2FWOS:000299130000018","View Full Record in Web of Science")</f>
        <v>View Full Record in Web of Science</v>
      </c>
    </row>
    <row r="997" spans="1:72" x14ac:dyDescent="0.15">
      <c r="A997" t="s">
        <v>72</v>
      </c>
      <c r="B997" t="s">
        <v>18208</v>
      </c>
      <c r="C997" t="s">
        <v>74</v>
      </c>
      <c r="D997" t="s">
        <v>74</v>
      </c>
      <c r="E997" t="s">
        <v>74</v>
      </c>
      <c r="F997" t="s">
        <v>18209</v>
      </c>
      <c r="G997" t="s">
        <v>74</v>
      </c>
      <c r="H997" t="s">
        <v>74</v>
      </c>
      <c r="I997" t="s">
        <v>18210</v>
      </c>
      <c r="J997" t="s">
        <v>4369</v>
      </c>
      <c r="K997" t="s">
        <v>74</v>
      </c>
      <c r="L997" t="s">
        <v>74</v>
      </c>
      <c r="M997" t="s">
        <v>78</v>
      </c>
      <c r="N997" t="s">
        <v>79</v>
      </c>
      <c r="O997" t="s">
        <v>74</v>
      </c>
      <c r="P997" t="s">
        <v>74</v>
      </c>
      <c r="Q997" t="s">
        <v>74</v>
      </c>
      <c r="R997" t="s">
        <v>74</v>
      </c>
      <c r="S997" t="s">
        <v>74</v>
      </c>
      <c r="T997" t="s">
        <v>74</v>
      </c>
      <c r="U997" t="s">
        <v>18211</v>
      </c>
      <c r="V997" t="s">
        <v>18212</v>
      </c>
      <c r="W997" t="s">
        <v>18213</v>
      </c>
      <c r="X997" t="s">
        <v>18214</v>
      </c>
      <c r="Y997" t="s">
        <v>18215</v>
      </c>
      <c r="Z997" t="s">
        <v>18216</v>
      </c>
      <c r="AA997" t="s">
        <v>74</v>
      </c>
      <c r="AB997" t="s">
        <v>74</v>
      </c>
      <c r="AC997" t="s">
        <v>18217</v>
      </c>
      <c r="AD997" t="s">
        <v>18218</v>
      </c>
      <c r="AE997" t="s">
        <v>18219</v>
      </c>
      <c r="AF997" t="s">
        <v>74</v>
      </c>
      <c r="AG997">
        <v>60</v>
      </c>
      <c r="AH997">
        <v>31</v>
      </c>
      <c r="AI997">
        <v>34</v>
      </c>
      <c r="AJ997">
        <v>0</v>
      </c>
      <c r="AK997">
        <v>38</v>
      </c>
      <c r="AL997" t="s">
        <v>655</v>
      </c>
      <c r="AM997" t="s">
        <v>656</v>
      </c>
      <c r="AN997" t="s">
        <v>657</v>
      </c>
      <c r="AO997" t="s">
        <v>4380</v>
      </c>
      <c r="AP997" t="s">
        <v>74</v>
      </c>
      <c r="AQ997" t="s">
        <v>74</v>
      </c>
      <c r="AR997" t="s">
        <v>4382</v>
      </c>
      <c r="AS997" t="s">
        <v>4383</v>
      </c>
      <c r="AT997" t="s">
        <v>17003</v>
      </c>
      <c r="AU997">
        <v>2012</v>
      </c>
      <c r="AV997">
        <v>159</v>
      </c>
      <c r="AW997">
        <v>1</v>
      </c>
      <c r="AX997" t="s">
        <v>74</v>
      </c>
      <c r="AY997" t="s">
        <v>74</v>
      </c>
      <c r="AZ997" t="s">
        <v>74</v>
      </c>
      <c r="BA997" t="s">
        <v>74</v>
      </c>
      <c r="BB997">
        <v>15</v>
      </c>
      <c r="BC997">
        <v>24</v>
      </c>
      <c r="BD997" t="s">
        <v>74</v>
      </c>
      <c r="BE997" t="s">
        <v>18220</v>
      </c>
      <c r="BF997" t="str">
        <f>HYPERLINK("http://dx.doi.org/10.1007/s00227-011-1785-5","http://dx.doi.org/10.1007/s00227-011-1785-5")</f>
        <v>http://dx.doi.org/10.1007/s00227-011-1785-5</v>
      </c>
      <c r="BG997" t="s">
        <v>74</v>
      </c>
      <c r="BH997" t="s">
        <v>74</v>
      </c>
      <c r="BI997">
        <v>10</v>
      </c>
      <c r="BJ997" t="s">
        <v>588</v>
      </c>
      <c r="BK997" t="s">
        <v>99</v>
      </c>
      <c r="BL997" t="s">
        <v>588</v>
      </c>
      <c r="BM997" t="s">
        <v>18221</v>
      </c>
      <c r="BN997" t="s">
        <v>74</v>
      </c>
      <c r="BO997" t="s">
        <v>74</v>
      </c>
      <c r="BP997" t="s">
        <v>74</v>
      </c>
      <c r="BQ997" t="s">
        <v>74</v>
      </c>
      <c r="BR997" t="s">
        <v>101</v>
      </c>
      <c r="BS997" t="s">
        <v>18222</v>
      </c>
      <c r="BT997" t="str">
        <f>HYPERLINK("https%3A%2F%2Fwww.webofscience.com%2Fwos%2Fwoscc%2Ffull-record%2FWOS:000299198900002","View Full Record in Web of Science")</f>
        <v>View Full Record in Web of Science</v>
      </c>
    </row>
    <row r="998" spans="1:72" x14ac:dyDescent="0.15">
      <c r="A998" t="s">
        <v>72</v>
      </c>
      <c r="B998" t="s">
        <v>18223</v>
      </c>
      <c r="C998" t="s">
        <v>74</v>
      </c>
      <c r="D998" t="s">
        <v>74</v>
      </c>
      <c r="E998" t="s">
        <v>74</v>
      </c>
      <c r="F998" t="s">
        <v>18224</v>
      </c>
      <c r="G998" t="s">
        <v>74</v>
      </c>
      <c r="H998" t="s">
        <v>74</v>
      </c>
      <c r="I998" t="s">
        <v>18225</v>
      </c>
      <c r="J998" t="s">
        <v>4369</v>
      </c>
      <c r="K998" t="s">
        <v>74</v>
      </c>
      <c r="L998" t="s">
        <v>74</v>
      </c>
      <c r="M998" t="s">
        <v>78</v>
      </c>
      <c r="N998" t="s">
        <v>79</v>
      </c>
      <c r="O998" t="s">
        <v>74</v>
      </c>
      <c r="P998" t="s">
        <v>74</v>
      </c>
      <c r="Q998" t="s">
        <v>74</v>
      </c>
      <c r="R998" t="s">
        <v>74</v>
      </c>
      <c r="S998" t="s">
        <v>74</v>
      </c>
      <c r="T998" t="s">
        <v>74</v>
      </c>
      <c r="U998" t="s">
        <v>18226</v>
      </c>
      <c r="V998" t="s">
        <v>18227</v>
      </c>
      <c r="W998" t="s">
        <v>18228</v>
      </c>
      <c r="X998" t="s">
        <v>15675</v>
      </c>
      <c r="Y998" t="s">
        <v>18229</v>
      </c>
      <c r="Z998" t="s">
        <v>18230</v>
      </c>
      <c r="AA998" t="s">
        <v>18231</v>
      </c>
      <c r="AB998" t="s">
        <v>18232</v>
      </c>
      <c r="AC998" t="s">
        <v>18233</v>
      </c>
      <c r="AD998" t="s">
        <v>18234</v>
      </c>
      <c r="AE998" t="s">
        <v>18235</v>
      </c>
      <c r="AF998" t="s">
        <v>74</v>
      </c>
      <c r="AG998">
        <v>34</v>
      </c>
      <c r="AH998">
        <v>25</v>
      </c>
      <c r="AI998">
        <v>26</v>
      </c>
      <c r="AJ998">
        <v>2</v>
      </c>
      <c r="AK998">
        <v>41</v>
      </c>
      <c r="AL998" t="s">
        <v>655</v>
      </c>
      <c r="AM998" t="s">
        <v>656</v>
      </c>
      <c r="AN998" t="s">
        <v>657</v>
      </c>
      <c r="AO998" t="s">
        <v>4380</v>
      </c>
      <c r="AP998" t="s">
        <v>74</v>
      </c>
      <c r="AQ998" t="s">
        <v>74</v>
      </c>
      <c r="AR998" t="s">
        <v>4382</v>
      </c>
      <c r="AS998" t="s">
        <v>4383</v>
      </c>
      <c r="AT998" t="s">
        <v>17003</v>
      </c>
      <c r="AU998">
        <v>2012</v>
      </c>
      <c r="AV998">
        <v>159</v>
      </c>
      <c r="AW998">
        <v>1</v>
      </c>
      <c r="AX998" t="s">
        <v>74</v>
      </c>
      <c r="AY998" t="s">
        <v>74</v>
      </c>
      <c r="AZ998" t="s">
        <v>74</v>
      </c>
      <c r="BA998" t="s">
        <v>74</v>
      </c>
      <c r="BB998">
        <v>57</v>
      </c>
      <c r="BC998">
        <v>64</v>
      </c>
      <c r="BD998" t="s">
        <v>74</v>
      </c>
      <c r="BE998" t="s">
        <v>18236</v>
      </c>
      <c r="BF998" t="str">
        <f>HYPERLINK("http://dx.doi.org/10.1007/s00227-011-1789-1","http://dx.doi.org/10.1007/s00227-011-1789-1")</f>
        <v>http://dx.doi.org/10.1007/s00227-011-1789-1</v>
      </c>
      <c r="BG998" t="s">
        <v>74</v>
      </c>
      <c r="BH998" t="s">
        <v>74</v>
      </c>
      <c r="BI998">
        <v>8</v>
      </c>
      <c r="BJ998" t="s">
        <v>588</v>
      </c>
      <c r="BK998" t="s">
        <v>99</v>
      </c>
      <c r="BL998" t="s">
        <v>588</v>
      </c>
      <c r="BM998" t="s">
        <v>18221</v>
      </c>
      <c r="BN998" t="s">
        <v>74</v>
      </c>
      <c r="BO998" t="s">
        <v>74</v>
      </c>
      <c r="BP998" t="s">
        <v>74</v>
      </c>
      <c r="BQ998" t="s">
        <v>74</v>
      </c>
      <c r="BR998" t="s">
        <v>101</v>
      </c>
      <c r="BS998" t="s">
        <v>18237</v>
      </c>
      <c r="BT998" t="str">
        <f>HYPERLINK("https%3A%2F%2Fwww.webofscience.com%2Fwos%2Fwoscc%2Ffull-record%2FWOS:000299198900006","View Full Record in Web of Science")</f>
        <v>View Full Record in Web of Science</v>
      </c>
    </row>
    <row r="999" spans="1:72" x14ac:dyDescent="0.15">
      <c r="A999" t="s">
        <v>72</v>
      </c>
      <c r="B999" t="s">
        <v>18238</v>
      </c>
      <c r="C999" t="s">
        <v>74</v>
      </c>
      <c r="D999" t="s">
        <v>74</v>
      </c>
      <c r="E999" t="s">
        <v>74</v>
      </c>
      <c r="F999" t="s">
        <v>18239</v>
      </c>
      <c r="G999" t="s">
        <v>74</v>
      </c>
      <c r="H999" t="s">
        <v>74</v>
      </c>
      <c r="I999" t="s">
        <v>18240</v>
      </c>
      <c r="J999" t="s">
        <v>3865</v>
      </c>
      <c r="K999" t="s">
        <v>74</v>
      </c>
      <c r="L999" t="s">
        <v>74</v>
      </c>
      <c r="M999" t="s">
        <v>78</v>
      </c>
      <c r="N999" t="s">
        <v>79</v>
      </c>
      <c r="O999" t="s">
        <v>74</v>
      </c>
      <c r="P999" t="s">
        <v>74</v>
      </c>
      <c r="Q999" t="s">
        <v>74</v>
      </c>
      <c r="R999" t="s">
        <v>74</v>
      </c>
      <c r="S999" t="s">
        <v>74</v>
      </c>
      <c r="T999" t="s">
        <v>74</v>
      </c>
      <c r="U999" t="s">
        <v>18241</v>
      </c>
      <c r="V999" t="s">
        <v>18242</v>
      </c>
      <c r="W999" t="s">
        <v>18243</v>
      </c>
      <c r="X999" t="s">
        <v>18244</v>
      </c>
      <c r="Y999" t="s">
        <v>18245</v>
      </c>
      <c r="Z999" t="s">
        <v>18246</v>
      </c>
      <c r="AA999" t="s">
        <v>18247</v>
      </c>
      <c r="AB999" t="s">
        <v>18248</v>
      </c>
      <c r="AC999" t="s">
        <v>18249</v>
      </c>
      <c r="AD999" t="s">
        <v>18250</v>
      </c>
      <c r="AE999" t="s">
        <v>18251</v>
      </c>
      <c r="AF999" t="s">
        <v>74</v>
      </c>
      <c r="AG999">
        <v>75</v>
      </c>
      <c r="AH999">
        <v>43</v>
      </c>
      <c r="AI999">
        <v>45</v>
      </c>
      <c r="AJ999">
        <v>0</v>
      </c>
      <c r="AK999">
        <v>20</v>
      </c>
      <c r="AL999" t="s">
        <v>627</v>
      </c>
      <c r="AM999" t="s">
        <v>628</v>
      </c>
      <c r="AN999" t="s">
        <v>629</v>
      </c>
      <c r="AO999" t="s">
        <v>3876</v>
      </c>
      <c r="AP999" t="s">
        <v>3877</v>
      </c>
      <c r="AQ999" t="s">
        <v>74</v>
      </c>
      <c r="AR999" t="s">
        <v>3878</v>
      </c>
      <c r="AS999" t="s">
        <v>3879</v>
      </c>
      <c r="AT999" t="s">
        <v>17003</v>
      </c>
      <c r="AU999">
        <v>2012</v>
      </c>
      <c r="AV999">
        <v>47</v>
      </c>
      <c r="AW999">
        <v>1</v>
      </c>
      <c r="AX999" t="s">
        <v>74</v>
      </c>
      <c r="AY999" t="s">
        <v>74</v>
      </c>
      <c r="AZ999" t="s">
        <v>74</v>
      </c>
      <c r="BA999" t="s">
        <v>74</v>
      </c>
      <c r="BB999">
        <v>72</v>
      </c>
      <c r="BC999">
        <v>98</v>
      </c>
      <c r="BD999" t="s">
        <v>74</v>
      </c>
      <c r="BE999" t="s">
        <v>18252</v>
      </c>
      <c r="BF999" t="str">
        <f>HYPERLINK("http://dx.doi.org/10.1111/j.1945-5100.2011.01314.x","http://dx.doi.org/10.1111/j.1945-5100.2011.01314.x")</f>
        <v>http://dx.doi.org/10.1111/j.1945-5100.2011.01314.x</v>
      </c>
      <c r="BG999" t="s">
        <v>74</v>
      </c>
      <c r="BH999" t="s">
        <v>74</v>
      </c>
      <c r="BI999">
        <v>27</v>
      </c>
      <c r="BJ999" t="s">
        <v>1134</v>
      </c>
      <c r="BK999" t="s">
        <v>99</v>
      </c>
      <c r="BL999" t="s">
        <v>1134</v>
      </c>
      <c r="BM999" t="s">
        <v>18253</v>
      </c>
      <c r="BN999" t="s">
        <v>74</v>
      </c>
      <c r="BO999" t="s">
        <v>217</v>
      </c>
      <c r="BP999" t="s">
        <v>74</v>
      </c>
      <c r="BQ999" t="s">
        <v>74</v>
      </c>
      <c r="BR999" t="s">
        <v>101</v>
      </c>
      <c r="BS999" t="s">
        <v>18254</v>
      </c>
      <c r="BT999" t="str">
        <f>HYPERLINK("https%3A%2F%2Fwww.webofscience.com%2Fwos%2Fwoscc%2Ffull-record%2FWOS:000298743900005","View Full Record in Web of Science")</f>
        <v>View Full Record in Web of Science</v>
      </c>
    </row>
    <row r="1000" spans="1:72" x14ac:dyDescent="0.15">
      <c r="A1000" t="s">
        <v>72</v>
      </c>
      <c r="B1000" t="s">
        <v>18255</v>
      </c>
      <c r="C1000" t="s">
        <v>74</v>
      </c>
      <c r="D1000" t="s">
        <v>74</v>
      </c>
      <c r="E1000" t="s">
        <v>74</v>
      </c>
      <c r="F1000" t="s">
        <v>18256</v>
      </c>
      <c r="G1000" t="s">
        <v>74</v>
      </c>
      <c r="H1000" t="s">
        <v>74</v>
      </c>
      <c r="I1000" t="s">
        <v>18257</v>
      </c>
      <c r="J1000" t="s">
        <v>7454</v>
      </c>
      <c r="K1000" t="s">
        <v>74</v>
      </c>
      <c r="L1000" t="s">
        <v>74</v>
      </c>
      <c r="M1000" t="s">
        <v>78</v>
      </c>
      <c r="N1000" t="s">
        <v>79</v>
      </c>
      <c r="O1000" t="s">
        <v>74</v>
      </c>
      <c r="P1000" t="s">
        <v>74</v>
      </c>
      <c r="Q1000" t="s">
        <v>74</v>
      </c>
      <c r="R1000" t="s">
        <v>74</v>
      </c>
      <c r="S1000" t="s">
        <v>74</v>
      </c>
      <c r="T1000" t="s">
        <v>18258</v>
      </c>
      <c r="U1000" t="s">
        <v>74</v>
      </c>
      <c r="V1000" t="s">
        <v>18259</v>
      </c>
      <c r="W1000" t="s">
        <v>18260</v>
      </c>
      <c r="X1000" t="s">
        <v>18261</v>
      </c>
      <c r="Y1000" t="s">
        <v>18262</v>
      </c>
      <c r="Z1000" t="s">
        <v>18263</v>
      </c>
      <c r="AA1000" t="s">
        <v>74</v>
      </c>
      <c r="AB1000" t="s">
        <v>18264</v>
      </c>
      <c r="AC1000" t="s">
        <v>18265</v>
      </c>
      <c r="AD1000" t="s">
        <v>18266</v>
      </c>
      <c r="AE1000" t="s">
        <v>18267</v>
      </c>
      <c r="AF1000" t="s">
        <v>74</v>
      </c>
      <c r="AG1000">
        <v>23</v>
      </c>
      <c r="AH1000">
        <v>16</v>
      </c>
      <c r="AI1000">
        <v>19</v>
      </c>
      <c r="AJ1000">
        <v>0</v>
      </c>
      <c r="AK1000">
        <v>15</v>
      </c>
      <c r="AL1000" t="s">
        <v>655</v>
      </c>
      <c r="AM1000" t="s">
        <v>1442</v>
      </c>
      <c r="AN1000" t="s">
        <v>1443</v>
      </c>
      <c r="AO1000" t="s">
        <v>7466</v>
      </c>
      <c r="AP1000" t="s">
        <v>7467</v>
      </c>
      <c r="AQ1000" t="s">
        <v>74</v>
      </c>
      <c r="AR1000" t="s">
        <v>7468</v>
      </c>
      <c r="AS1000" t="s">
        <v>7469</v>
      </c>
      <c r="AT1000" t="s">
        <v>17003</v>
      </c>
      <c r="AU1000">
        <v>2012</v>
      </c>
      <c r="AV1000">
        <v>14</v>
      </c>
      <c r="AW1000">
        <v>1</v>
      </c>
      <c r="AX1000" t="s">
        <v>74</v>
      </c>
      <c r="AY1000" t="s">
        <v>74</v>
      </c>
      <c r="AZ1000" t="s">
        <v>74</v>
      </c>
      <c r="BA1000" t="s">
        <v>74</v>
      </c>
      <c r="BB1000">
        <v>15</v>
      </c>
      <c r="BC1000">
        <v>20</v>
      </c>
      <c r="BD1000" t="s">
        <v>74</v>
      </c>
      <c r="BE1000" t="s">
        <v>18268</v>
      </c>
      <c r="BF1000" t="str">
        <f>HYPERLINK("http://dx.doi.org/10.1007/s10530-011-9991-0","http://dx.doi.org/10.1007/s10530-011-9991-0")</f>
        <v>http://dx.doi.org/10.1007/s10530-011-9991-0</v>
      </c>
      <c r="BG1000" t="s">
        <v>74</v>
      </c>
      <c r="BH1000" t="s">
        <v>74</v>
      </c>
      <c r="BI1000">
        <v>6</v>
      </c>
      <c r="BJ1000" t="s">
        <v>2320</v>
      </c>
      <c r="BK1000" t="s">
        <v>99</v>
      </c>
      <c r="BL1000" t="s">
        <v>1784</v>
      </c>
      <c r="BM1000" t="s">
        <v>18269</v>
      </c>
      <c r="BN1000" t="s">
        <v>74</v>
      </c>
      <c r="BO1000" t="s">
        <v>18270</v>
      </c>
      <c r="BP1000" t="s">
        <v>74</v>
      </c>
      <c r="BQ1000" t="s">
        <v>74</v>
      </c>
      <c r="BR1000" t="s">
        <v>101</v>
      </c>
      <c r="BS1000" t="s">
        <v>18271</v>
      </c>
      <c r="BT1000" t="str">
        <f>HYPERLINK("https%3A%2F%2Fwww.webofscience.com%2Fwos%2Fwoscc%2Ffull-record%2FWOS:000298646200003","View Full Record in Web of Science")</f>
        <v>View Full Record in Web of Science</v>
      </c>
    </row>
    <row r="1001" spans="1:72" x14ac:dyDescent="0.15">
      <c r="A1001" t="s">
        <v>72</v>
      </c>
      <c r="B1001" t="s">
        <v>5609</v>
      </c>
      <c r="C1001" t="s">
        <v>74</v>
      </c>
      <c r="D1001" t="s">
        <v>74</v>
      </c>
      <c r="E1001" t="s">
        <v>74</v>
      </c>
      <c r="F1001" t="s">
        <v>5610</v>
      </c>
      <c r="G1001" t="s">
        <v>74</v>
      </c>
      <c r="H1001" t="s">
        <v>74</v>
      </c>
      <c r="I1001" t="s">
        <v>18272</v>
      </c>
      <c r="J1001" t="s">
        <v>18273</v>
      </c>
      <c r="K1001" t="s">
        <v>74</v>
      </c>
      <c r="L1001" t="s">
        <v>74</v>
      </c>
      <c r="M1001" t="s">
        <v>78</v>
      </c>
      <c r="N1001" t="s">
        <v>79</v>
      </c>
      <c r="O1001" t="s">
        <v>74</v>
      </c>
      <c r="P1001" t="s">
        <v>74</v>
      </c>
      <c r="Q1001" t="s">
        <v>74</v>
      </c>
      <c r="R1001" t="s">
        <v>74</v>
      </c>
      <c r="S1001" t="s">
        <v>74</v>
      </c>
      <c r="T1001" t="s">
        <v>74</v>
      </c>
      <c r="U1001" t="s">
        <v>18274</v>
      </c>
      <c r="V1001" t="s">
        <v>18275</v>
      </c>
      <c r="W1001" t="s">
        <v>18276</v>
      </c>
      <c r="X1001" t="s">
        <v>5617</v>
      </c>
      <c r="Y1001" t="s">
        <v>18277</v>
      </c>
      <c r="Z1001" t="s">
        <v>5619</v>
      </c>
      <c r="AA1001" t="s">
        <v>5620</v>
      </c>
      <c r="AB1001" t="s">
        <v>5621</v>
      </c>
      <c r="AC1001" t="s">
        <v>18278</v>
      </c>
      <c r="AD1001" t="s">
        <v>18279</v>
      </c>
      <c r="AE1001" t="s">
        <v>18280</v>
      </c>
      <c r="AF1001" t="s">
        <v>74</v>
      </c>
      <c r="AG1001">
        <v>95</v>
      </c>
      <c r="AH1001">
        <v>29</v>
      </c>
      <c r="AI1001">
        <v>33</v>
      </c>
      <c r="AJ1001">
        <v>0</v>
      </c>
      <c r="AK1001">
        <v>13</v>
      </c>
      <c r="AL1001" t="s">
        <v>13246</v>
      </c>
      <c r="AM1001" t="s">
        <v>147</v>
      </c>
      <c r="AN1001" t="s">
        <v>13247</v>
      </c>
      <c r="AO1001" t="s">
        <v>18281</v>
      </c>
      <c r="AP1001" t="s">
        <v>18282</v>
      </c>
      <c r="AQ1001" t="s">
        <v>74</v>
      </c>
      <c r="AR1001" t="s">
        <v>18283</v>
      </c>
      <c r="AS1001" t="s">
        <v>18284</v>
      </c>
      <c r="AT1001" t="s">
        <v>74</v>
      </c>
      <c r="AU1001">
        <v>2012</v>
      </c>
      <c r="AV1001">
        <v>2012</v>
      </c>
      <c r="AW1001" t="s">
        <v>74</v>
      </c>
      <c r="AX1001" t="s">
        <v>74</v>
      </c>
      <c r="AY1001" t="s">
        <v>74</v>
      </c>
      <c r="AZ1001" t="s">
        <v>74</v>
      </c>
      <c r="BA1001" t="s">
        <v>74</v>
      </c>
      <c r="BB1001" t="s">
        <v>74</v>
      </c>
      <c r="BC1001" t="s">
        <v>74</v>
      </c>
      <c r="BD1001">
        <v>901918</v>
      </c>
      <c r="BE1001" t="s">
        <v>18285</v>
      </c>
      <c r="BF1001" t="str">
        <f>HYPERLINK("http://dx.doi.org/10.1155/2012/901918","http://dx.doi.org/10.1155/2012/901918")</f>
        <v>http://dx.doi.org/10.1155/2012/901918</v>
      </c>
      <c r="BG1001" t="s">
        <v>74</v>
      </c>
      <c r="BH1001" t="s">
        <v>74</v>
      </c>
      <c r="BI1001">
        <v>12</v>
      </c>
      <c r="BJ1001" t="s">
        <v>18286</v>
      </c>
      <c r="BK1001" t="s">
        <v>99</v>
      </c>
      <c r="BL1001" t="s">
        <v>18286</v>
      </c>
      <c r="BM1001" t="s">
        <v>18287</v>
      </c>
      <c r="BN1001">
        <v>22194774</v>
      </c>
      <c r="BO1001" t="s">
        <v>13052</v>
      </c>
      <c r="BP1001" t="s">
        <v>74</v>
      </c>
      <c r="BQ1001" t="s">
        <v>74</v>
      </c>
      <c r="BR1001" t="s">
        <v>101</v>
      </c>
      <c r="BS1001" t="s">
        <v>18288</v>
      </c>
      <c r="BT1001" t="str">
        <f>HYPERLINK("https%3A%2F%2Fwww.webofscience.com%2Fwos%2Fwoscc%2Ffull-record%2FWOS:000298809200001","View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2024-07-28T15:24:14Z</dcterms:created>
  <dcterms:modified xsi:type="dcterms:W3CDTF">2024-07-28T15:24:15Z</dcterms:modified>
</cp:coreProperties>
</file>